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06" yWindow="64576" windowWidth="9690" windowHeight="8115" tabRatio="601" activeTab="1"/>
  </bookViews>
  <sheets>
    <sheet name="Лист1" sheetId="1" r:id="rId1"/>
    <sheet name="Місто" sheetId="2" r:id="rId2"/>
    <sheet name="Місто (2)" sheetId="3" state="hidden" r:id="rId3"/>
  </sheets>
  <externalReferences>
    <externalReference r:id="rId6"/>
  </externalReferences>
  <definedNames>
    <definedName name="_xlnm.Print_Area" localSheetId="1">'Місто'!$B$1:$P$593</definedName>
    <definedName name="_xlnm.Print_Area" localSheetId="2">'Місто (2)'!$A$1:$Q$585</definedName>
  </definedNames>
  <calcPr fullCalcOnLoad="1"/>
</workbook>
</file>

<file path=xl/sharedStrings.xml><?xml version="1.0" encoding="utf-8"?>
<sst xmlns="http://schemas.openxmlformats.org/spreadsheetml/2006/main" count="2466" uniqueCount="498">
  <si>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</si>
  <si>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</si>
  <si>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</si>
  <si>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</si>
  <si>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</si>
  <si>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</si>
  <si>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</si>
  <si>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</si>
  <si>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</si>
  <si>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</si>
  <si>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</si>
  <si>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</si>
  <si>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</si>
  <si>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</si>
  <si>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</si>
  <si>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</si>
  <si>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</si>
  <si>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41030800</t>
  </si>
  <si>
    <t>субвенции</t>
  </si>
  <si>
    <t>41030900</t>
  </si>
  <si>
    <t>41031000</t>
  </si>
  <si>
    <t>41030600</t>
  </si>
  <si>
    <t>41035800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</si>
  <si>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</si>
  <si>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</si>
  <si>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</si>
  <si>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</si>
  <si>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</si>
  <si>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</si>
  <si>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</si>
  <si>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</si>
  <si>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</si>
  <si>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</si>
  <si>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</si>
  <si>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</si>
  <si>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</si>
  <si>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</si>
  <si>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</si>
  <si>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власні</t>
  </si>
  <si>
    <t>070501</t>
  </si>
  <si>
    <t>0930</t>
  </si>
  <si>
    <t>Професійно-технічні заклади освіти</t>
  </si>
  <si>
    <t>Заходи з  призову</t>
  </si>
  <si>
    <t>Заходи з призову</t>
  </si>
  <si>
    <t>інше</t>
  </si>
  <si>
    <t>33</t>
  </si>
  <si>
    <t>ремонт нежитлових приміщень</t>
  </si>
  <si>
    <t>депутат.фонд</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</si>
  <si>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</si>
  <si>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</si>
  <si>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Заходи з  призову та мобілізації</t>
  </si>
  <si>
    <t>Заходи з призову та мобілізації</t>
  </si>
  <si>
    <t>090501</t>
  </si>
  <si>
    <t>Організація та проведення громадських робіт</t>
  </si>
  <si>
    <t>1050</t>
  </si>
  <si>
    <t>Фінансова підтримка КП "Преса"</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</si>
  <si>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</si>
  <si>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</si>
  <si>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</si>
  <si>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грн.</t>
  </si>
  <si>
    <t>100208</t>
  </si>
  <si>
    <t>Видатки на впровадження засобів обліку витрат та регулювання споживання води та теплової енергії</t>
  </si>
  <si>
    <t>30.03.2016 №26</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</si>
  <si>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</si>
  <si>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</si>
  <si>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</si>
  <si>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</si>
  <si>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</si>
  <si>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</si>
  <si>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</si>
  <si>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</si>
  <si>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</si>
  <si>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</si>
  <si>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</si>
  <si>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</si>
  <si>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</si>
  <si>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</si>
  <si>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</si>
  <si>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</si>
  <si>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</si>
  <si>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</si>
  <si>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</si>
  <si>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</si>
  <si>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</si>
  <si>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</si>
  <si>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</si>
  <si>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</si>
  <si>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</si>
  <si>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</si>
  <si>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</si>
  <si>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</si>
  <si>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</si>
  <si>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</si>
  <si>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</si>
  <si>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</si>
  <si>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</si>
  <si>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</si>
  <si>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</si>
  <si>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</si>
  <si>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</si>
  <si>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</si>
  <si>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</si>
  <si>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</si>
  <si>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</si>
  <si>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</si>
  <si>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</si>
  <si>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</si>
  <si>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</si>
  <si>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</si>
  <si>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</si>
  <si>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</si>
  <si>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</si>
  <si>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</si>
  <si>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</si>
  <si>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</si>
  <si>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</si>
  <si>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</si>
  <si>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</si>
  <si>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</si>
  <si>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</si>
  <si>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</si>
  <si>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</si>
  <si>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</si>
  <si>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</si>
  <si>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</si>
  <si>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</si>
  <si>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</si>
  <si>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</si>
  <si>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</si>
  <si>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</si>
  <si>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</si>
  <si>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</si>
  <si>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</si>
  <si>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</si>
  <si>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</si>
  <si>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</si>
  <si>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</si>
  <si>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</si>
  <si>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</si>
  <si>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</si>
  <si>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</si>
  <si>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</si>
  <si>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</si>
  <si>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</si>
  <si>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</si>
  <si>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</si>
  <si>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</si>
  <si>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</si>
  <si>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</si>
  <si>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</si>
  <si>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</si>
  <si>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</si>
  <si>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</si>
  <si>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</si>
  <si>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</si>
  <si>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</si>
  <si>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</si>
  <si>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</si>
  <si>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</si>
  <si>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</si>
  <si>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</si>
  <si>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</si>
  <si>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</si>
  <si>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</si>
  <si>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</si>
  <si>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</si>
  <si>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</si>
  <si>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</si>
  <si>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</si>
  <si>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</si>
  <si>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</si>
  <si>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</si>
  <si>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</si>
  <si>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</si>
  <si>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</si>
  <si>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</si>
  <si>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</si>
  <si>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</si>
  <si>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</si>
  <si>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</si>
  <si>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</si>
  <si>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</si>
  <si>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</si>
  <si>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</si>
  <si>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</si>
  <si>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</si>
  <si>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</si>
  <si>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</si>
  <si>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</si>
  <si>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</si>
  <si>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</si>
  <si>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</si>
  <si>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</si>
  <si>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</si>
  <si>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</si>
  <si>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</si>
  <si>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</si>
  <si>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</si>
  <si>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</si>
  <si>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</si>
  <si>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</si>
  <si>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</si>
  <si>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</si>
  <si>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</si>
  <si>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</si>
  <si>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</si>
  <si>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</si>
  <si>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</si>
  <si>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</si>
  <si>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</si>
  <si>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</si>
  <si>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</si>
  <si>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</si>
  <si>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</si>
  <si>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</si>
  <si>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</si>
  <si>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</si>
  <si>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</si>
  <si>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</si>
  <si>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</si>
  <si>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</si>
  <si>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</si>
  <si>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</si>
  <si>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</si>
  <si>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</si>
  <si>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</si>
  <si>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</si>
  <si>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</si>
  <si>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</si>
  <si>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</si>
  <si>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</si>
  <si>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</si>
  <si>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</si>
  <si>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</si>
  <si>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</si>
  <si>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</si>
  <si>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</si>
  <si>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</si>
  <si>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</si>
  <si>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</si>
  <si>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</si>
  <si>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</si>
  <si>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</si>
  <si>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</si>
  <si>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</si>
  <si>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</si>
  <si>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</si>
  <si>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</si>
  <si>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</si>
  <si>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</si>
  <si>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</si>
  <si>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</si>
  <si>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</si>
  <si>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</si>
  <si>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</si>
  <si>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</si>
  <si>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</si>
  <si>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</si>
  <si>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</si>
  <si>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</si>
  <si>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</si>
  <si>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</si>
  <si>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</si>
  <si>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</si>
  <si>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</si>
  <si>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</si>
  <si>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</si>
  <si>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</si>
  <si>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</si>
  <si>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</si>
  <si>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</si>
  <si>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</si>
  <si>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</si>
  <si>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</si>
  <si>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</si>
  <si>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</si>
  <si>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</si>
  <si>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</si>
  <si>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</si>
  <si>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</si>
  <si>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</si>
  <si>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</si>
  <si>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</si>
  <si>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</si>
  <si>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</si>
  <si>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</si>
  <si>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</si>
  <si>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</si>
  <si>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</si>
  <si>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</si>
  <si>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</si>
  <si>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</si>
  <si>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</si>
  <si>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</si>
  <si>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</si>
  <si>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</si>
  <si>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</si>
  <si>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</si>
  <si>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</si>
  <si>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</si>
  <si>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</si>
  <si>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</si>
  <si>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</si>
  <si>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</si>
  <si>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</si>
  <si>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</si>
  <si>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</si>
  <si>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</si>
  <si>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</si>
  <si>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</si>
  <si>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</si>
  <si>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</si>
  <si>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</si>
  <si>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</si>
  <si>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</si>
  <si>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</si>
  <si>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</si>
  <si>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</si>
  <si>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</si>
  <si>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</si>
  <si>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</si>
  <si>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</si>
  <si>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</si>
  <si>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</si>
  <si>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</si>
  <si>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</si>
  <si>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</si>
  <si>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</si>
  <si>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</si>
  <si>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</si>
  <si>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</si>
  <si>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</si>
  <si>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</si>
  <si>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</si>
  <si>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</si>
  <si>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</si>
  <si>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</si>
  <si>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</si>
  <si>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</si>
  <si>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</si>
  <si>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</si>
  <si>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</si>
  <si>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</si>
  <si>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</si>
  <si>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</si>
  <si>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</si>
  <si>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</si>
  <si>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</si>
  <si>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</si>
  <si>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</si>
  <si>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</si>
  <si>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</si>
  <si>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</si>
  <si>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</si>
  <si>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</si>
  <si>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</si>
  <si>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</si>
  <si>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</si>
  <si>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</si>
  <si>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</si>
  <si>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</si>
  <si>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</si>
  <si>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</si>
  <si>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</si>
  <si>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</si>
  <si>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</si>
  <si>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</si>
  <si>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</si>
  <si>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</si>
  <si>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</si>
  <si>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</si>
  <si>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</si>
  <si>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</si>
  <si>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</si>
  <si>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</si>
  <si>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</si>
  <si>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</si>
  <si>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</si>
  <si>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</si>
  <si>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</si>
  <si>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</si>
  <si>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</si>
  <si>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</si>
  <si>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</si>
  <si>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</si>
  <si>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</si>
  <si>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</si>
  <si>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</si>
  <si>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</si>
  <si>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</si>
  <si>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</si>
  <si>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</si>
  <si>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</si>
  <si>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</si>
  <si>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</si>
  <si>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</si>
  <si>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</si>
  <si>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</si>
  <si>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</si>
  <si>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</si>
  <si>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</si>
  <si>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</si>
  <si>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</si>
  <si>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</si>
  <si>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</si>
  <si>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</si>
  <si>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</si>
  <si>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</si>
  <si>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</si>
  <si>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</si>
  <si>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</si>
  <si>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</si>
  <si>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</si>
  <si>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</si>
  <si>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</si>
  <si>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</si>
  <si>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</si>
  <si>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</si>
  <si>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</si>
  <si>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</si>
  <si>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</si>
  <si>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</si>
  <si>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</si>
  <si>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</si>
  <si>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</si>
  <si>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</si>
  <si>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</si>
  <si>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</si>
  <si>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</si>
  <si>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</si>
  <si>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</si>
  <si>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</si>
  <si>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</si>
  <si>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</si>
  <si>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</si>
  <si>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</si>
  <si>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</si>
  <si>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___________  №  ____________</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</si>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</sst>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36">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sz val="14"/>
      <color indexed="1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91"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91" fontId="0" fillId="0" borderId="0" xfId="0" applyNumberFormat="1" applyFont="1" applyBorder="1" applyAlignment="1">
      <alignment horizontal="right"/>
    </xf>
    <xf numFmtId="191"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91"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1" fontId="0" fillId="0" borderId="10" xfId="0" applyNumberFormat="1" applyBorder="1" applyAlignment="1">
      <alignment horizontal="right" wrapText="1"/>
    </xf>
    <xf numFmtId="1" fontId="9"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1" fontId="32" fillId="0" borderId="10" xfId="0" applyNumberFormat="1" applyFont="1" applyBorder="1" applyAlignment="1">
      <alignment horizontal="right"/>
    </xf>
    <xf numFmtId="1" fontId="32" fillId="0" borderId="10" xfId="0" applyNumberFormat="1" applyFont="1" applyBorder="1" applyAlignment="1">
      <alignment/>
    </xf>
    <xf numFmtId="1" fontId="32" fillId="22" borderId="0" xfId="0" applyNumberFormat="1" applyFont="1" applyFill="1" applyAlignment="1">
      <alignment/>
    </xf>
    <xf numFmtId="1" fontId="32" fillId="0" borderId="0" xfId="0" applyNumberFormat="1" applyFont="1" applyAlignment="1">
      <alignment/>
    </xf>
    <xf numFmtId="0" fontId="32" fillId="0" borderId="0" xfId="0" applyFont="1" applyAlignment="1">
      <alignment/>
    </xf>
    <xf numFmtId="49" fontId="32" fillId="0" borderId="10" xfId="0" applyNumberFormat="1" applyFont="1" applyFill="1" applyBorder="1" applyAlignment="1">
      <alignment horizontal="center"/>
    </xf>
    <xf numFmtId="0" fontId="32" fillId="0" borderId="10" xfId="0" applyFont="1" applyFill="1" applyBorder="1" applyAlignment="1">
      <alignment horizontal="left" wrapText="1"/>
    </xf>
    <xf numFmtId="1" fontId="32" fillId="0" borderId="10" xfId="0" applyNumberFormat="1" applyFont="1" applyFill="1" applyBorder="1" applyAlignment="1">
      <alignment horizontal="right"/>
    </xf>
    <xf numFmtId="1" fontId="32" fillId="0" borderId="0" xfId="0" applyNumberFormat="1" applyFont="1" applyFill="1" applyAlignment="1">
      <alignment/>
    </xf>
    <xf numFmtId="0" fontId="32" fillId="0" borderId="0" xfId="0" applyFont="1" applyFill="1" applyAlignment="1">
      <alignment/>
    </xf>
    <xf numFmtId="49" fontId="32" fillId="0" borderId="10" xfId="0" applyNumberFormat="1" applyFont="1" applyFill="1" applyBorder="1" applyAlignment="1">
      <alignment horizontal="center"/>
    </xf>
    <xf numFmtId="1" fontId="32" fillId="22" borderId="0" xfId="0" applyNumberFormat="1" applyFont="1" applyFill="1" applyAlignment="1">
      <alignment/>
    </xf>
    <xf numFmtId="0" fontId="32" fillId="0" borderId="0" xfId="0" applyFont="1" applyFill="1" applyAlignment="1">
      <alignment/>
    </xf>
    <xf numFmtId="49" fontId="32"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9" fillId="0" borderId="10" xfId="0" applyNumberFormat="1" applyFont="1" applyFill="1" applyBorder="1" applyAlignment="1">
      <alignment horizontal="right"/>
    </xf>
    <xf numFmtId="1" fontId="33" fillId="0" borderId="10" xfId="0" applyNumberFormat="1" applyFont="1" applyBorder="1" applyAlignment="1">
      <alignment horizontal="right"/>
    </xf>
    <xf numFmtId="180" fontId="4" fillId="0" borderId="0" xfId="0" applyNumberFormat="1" applyFont="1" applyAlignment="1">
      <alignment/>
    </xf>
    <xf numFmtId="1" fontId="34" fillId="22" borderId="0" xfId="0" applyNumberFormat="1" applyFont="1" applyFill="1" applyAlignment="1">
      <alignment/>
    </xf>
    <xf numFmtId="1" fontId="34" fillId="0" borderId="0" xfId="0" applyNumberFormat="1" applyFont="1" applyAlignment="1">
      <alignment/>
    </xf>
    <xf numFmtId="0" fontId="0" fillId="0" borderId="10" xfId="0" applyBorder="1" applyAlignment="1">
      <alignment horizontal="left" vertical="center" wrapText="1"/>
    </xf>
    <xf numFmtId="0" fontId="6" fillId="0" borderId="10" xfId="0" applyFont="1" applyBorder="1" applyAlignment="1">
      <alignment wrapText="1"/>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20-%20&#1088;&#1110;&#1096;.&#1087;&#1088;&#1086;%20&#1073;&#1102;&#1076;&#1078;&#1077;&#1090;\&#1044;&#1086;&#1076;&#1072;&#1090;&#1086;&#1082;%203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E11">
            <v>23848573</v>
          </cell>
          <cell r="F11">
            <v>23848573</v>
          </cell>
          <cell r="G11">
            <v>11026422</v>
          </cell>
          <cell r="H11">
            <v>1734175</v>
          </cell>
          <cell r="I11">
            <v>0</v>
          </cell>
          <cell r="J11">
            <v>690610</v>
          </cell>
          <cell r="K11">
            <v>415610</v>
          </cell>
          <cell r="L11">
            <v>0</v>
          </cell>
          <cell r="M11">
            <v>0</v>
          </cell>
          <cell r="N11">
            <v>275000</v>
          </cell>
          <cell r="O11">
            <v>275000</v>
          </cell>
          <cell r="P11">
            <v>24539183</v>
          </cell>
        </row>
        <row r="12">
          <cell r="E12">
            <v>16729754</v>
          </cell>
          <cell r="F12">
            <v>16729754</v>
          </cell>
          <cell r="G12">
            <v>8612251</v>
          </cell>
          <cell r="H12">
            <v>1614550</v>
          </cell>
          <cell r="J12">
            <v>255610</v>
          </cell>
          <cell r="K12">
            <v>255610</v>
          </cell>
          <cell r="L12">
            <v>0</v>
          </cell>
          <cell r="M12">
            <v>0</v>
          </cell>
          <cell r="N12">
            <v>0</v>
          </cell>
          <cell r="O12">
            <v>0</v>
          </cell>
          <cell r="P12">
            <v>16985364</v>
          </cell>
        </row>
        <row r="13">
          <cell r="E13">
            <v>16729754</v>
          </cell>
          <cell r="F13">
            <v>16729754</v>
          </cell>
          <cell r="G13">
            <v>8612251</v>
          </cell>
          <cell r="H13">
            <v>1614550</v>
          </cell>
          <cell r="J13">
            <v>255610</v>
          </cell>
          <cell r="K13">
            <v>255610</v>
          </cell>
          <cell r="N13">
            <v>0</v>
          </cell>
          <cell r="P13">
            <v>16985364</v>
          </cell>
        </row>
        <row r="14">
          <cell r="E14">
            <v>200000</v>
          </cell>
          <cell r="F14">
            <v>200000</v>
          </cell>
          <cell r="G14">
            <v>0</v>
          </cell>
          <cell r="H14">
            <v>0</v>
          </cell>
          <cell r="J14">
            <v>0</v>
          </cell>
          <cell r="K14">
            <v>0</v>
          </cell>
          <cell r="L14">
            <v>0</v>
          </cell>
          <cell r="M14">
            <v>0</v>
          </cell>
          <cell r="N14">
            <v>0</v>
          </cell>
          <cell r="O14">
            <v>0</v>
          </cell>
          <cell r="P14">
            <v>200000</v>
          </cell>
        </row>
        <row r="15">
          <cell r="E15">
            <v>200000</v>
          </cell>
          <cell r="F15">
            <v>200000</v>
          </cell>
          <cell r="J15">
            <v>0</v>
          </cell>
          <cell r="N15">
            <v>0</v>
          </cell>
          <cell r="P15">
            <v>200000</v>
          </cell>
        </row>
        <row r="16">
          <cell r="E16">
            <v>0</v>
          </cell>
          <cell r="J16">
            <v>0</v>
          </cell>
          <cell r="N16">
            <v>0</v>
          </cell>
          <cell r="O16">
            <v>0</v>
          </cell>
          <cell r="P16">
            <v>0</v>
          </cell>
        </row>
        <row r="17">
          <cell r="E17">
            <v>0</v>
          </cell>
          <cell r="J17">
            <v>0</v>
          </cell>
          <cell r="N17">
            <v>0</v>
          </cell>
          <cell r="P17">
            <v>0</v>
          </cell>
        </row>
        <row r="18">
          <cell r="E18">
            <v>0</v>
          </cell>
          <cell r="J18" t="e">
            <v>#REF!</v>
          </cell>
          <cell r="N18" t="e">
            <v>#REF!</v>
          </cell>
          <cell r="O18" t="e">
            <v>#REF!</v>
          </cell>
          <cell r="P18" t="e">
            <v>#REF!</v>
          </cell>
        </row>
        <row r="19">
          <cell r="E19">
            <v>0</v>
          </cell>
          <cell r="J19">
            <v>0</v>
          </cell>
          <cell r="N19">
            <v>0</v>
          </cell>
          <cell r="P19">
            <v>0</v>
          </cell>
        </row>
        <row r="20">
          <cell r="E20">
            <v>0</v>
          </cell>
          <cell r="J20">
            <v>0</v>
          </cell>
          <cell r="P20">
            <v>0</v>
          </cell>
        </row>
        <row r="21">
          <cell r="E21">
            <v>0</v>
          </cell>
          <cell r="J21">
            <v>0</v>
          </cell>
          <cell r="P21">
            <v>0</v>
          </cell>
        </row>
        <row r="22">
          <cell r="E22">
            <v>0</v>
          </cell>
          <cell r="J22">
            <v>0</v>
          </cell>
          <cell r="N22">
            <v>0</v>
          </cell>
          <cell r="O22">
            <v>0</v>
          </cell>
          <cell r="P22">
            <v>0</v>
          </cell>
        </row>
        <row r="23">
          <cell r="E23">
            <v>0</v>
          </cell>
          <cell r="J23">
            <v>0</v>
          </cell>
          <cell r="N23">
            <v>0</v>
          </cell>
          <cell r="P23">
            <v>0</v>
          </cell>
        </row>
        <row r="24">
          <cell r="J24">
            <v>0</v>
          </cell>
          <cell r="N24">
            <v>0</v>
          </cell>
          <cell r="P24">
            <v>0</v>
          </cell>
        </row>
        <row r="25">
          <cell r="E25">
            <v>0</v>
          </cell>
          <cell r="J25">
            <v>160000</v>
          </cell>
          <cell r="K25">
            <v>160000</v>
          </cell>
          <cell r="N25">
            <v>0</v>
          </cell>
          <cell r="P25">
            <v>160000</v>
          </cell>
        </row>
        <row r="26">
          <cell r="E26">
            <v>0</v>
          </cell>
          <cell r="J26">
            <v>160000</v>
          </cell>
          <cell r="K26">
            <v>160000</v>
          </cell>
          <cell r="P26">
            <v>160000</v>
          </cell>
        </row>
        <row r="27">
          <cell r="E27">
            <v>6918819</v>
          </cell>
          <cell r="F27">
            <v>6918819</v>
          </cell>
          <cell r="G27">
            <v>2414171</v>
          </cell>
          <cell r="H27">
            <v>119625</v>
          </cell>
          <cell r="I27">
            <v>0</v>
          </cell>
          <cell r="J27">
            <v>275000</v>
          </cell>
          <cell r="K27">
            <v>0</v>
          </cell>
          <cell r="L27">
            <v>0</v>
          </cell>
          <cell r="M27">
            <v>0</v>
          </cell>
          <cell r="N27">
            <v>275000</v>
          </cell>
          <cell r="O27">
            <v>275000</v>
          </cell>
          <cell r="P27">
            <v>7193819</v>
          </cell>
        </row>
        <row r="28">
          <cell r="E28">
            <v>0</v>
          </cell>
          <cell r="J28">
            <v>0</v>
          </cell>
          <cell r="P28">
            <v>0</v>
          </cell>
        </row>
        <row r="29">
          <cell r="E29">
            <v>0</v>
          </cell>
          <cell r="F29">
            <v>0</v>
          </cell>
          <cell r="G29">
            <v>0</v>
          </cell>
          <cell r="H29">
            <v>0</v>
          </cell>
          <cell r="I29">
            <v>0</v>
          </cell>
          <cell r="J29">
            <v>0</v>
          </cell>
          <cell r="P29">
            <v>0</v>
          </cell>
        </row>
        <row r="30">
          <cell r="E30">
            <v>6918819</v>
          </cell>
          <cell r="F30">
            <v>6918819</v>
          </cell>
          <cell r="G30">
            <v>2414171</v>
          </cell>
          <cell r="H30">
            <v>119625</v>
          </cell>
          <cell r="J30">
            <v>275000</v>
          </cell>
          <cell r="K30">
            <v>0</v>
          </cell>
          <cell r="L30">
            <v>0</v>
          </cell>
          <cell r="M30">
            <v>0</v>
          </cell>
          <cell r="N30">
            <v>275000</v>
          </cell>
          <cell r="O30">
            <v>275000</v>
          </cell>
          <cell r="P30">
            <v>7193819</v>
          </cell>
        </row>
        <row r="31">
          <cell r="E31">
            <v>0</v>
          </cell>
          <cell r="J31">
            <v>0</v>
          </cell>
          <cell r="P31">
            <v>0</v>
          </cell>
        </row>
        <row r="32">
          <cell r="E32">
            <v>240000</v>
          </cell>
          <cell r="F32">
            <v>240000</v>
          </cell>
          <cell r="J32">
            <v>275000</v>
          </cell>
          <cell r="N32">
            <v>275000</v>
          </cell>
          <cell r="O32">
            <v>275000</v>
          </cell>
          <cell r="P32">
            <v>515000</v>
          </cell>
        </row>
        <row r="33">
          <cell r="E33">
            <v>320052</v>
          </cell>
          <cell r="F33">
            <v>320052</v>
          </cell>
          <cell r="J33">
            <v>0</v>
          </cell>
          <cell r="N33">
            <v>0</v>
          </cell>
          <cell r="P33">
            <v>320052</v>
          </cell>
        </row>
        <row r="34">
          <cell r="E34">
            <v>364797</v>
          </cell>
          <cell r="F34">
            <v>364797</v>
          </cell>
          <cell r="J34">
            <v>0</v>
          </cell>
          <cell r="P34">
            <v>364797</v>
          </cell>
        </row>
        <row r="35">
          <cell r="E35">
            <v>5944170</v>
          </cell>
          <cell r="F35">
            <v>5944170</v>
          </cell>
          <cell r="G35">
            <v>2414171</v>
          </cell>
          <cell r="H35">
            <v>119625</v>
          </cell>
          <cell r="J35">
            <v>0</v>
          </cell>
          <cell r="P35">
            <v>5944170</v>
          </cell>
        </row>
        <row r="36">
          <cell r="E36">
            <v>49800</v>
          </cell>
          <cell r="F36">
            <v>49800</v>
          </cell>
          <cell r="J36">
            <v>0</v>
          </cell>
          <cell r="P36">
            <v>49800</v>
          </cell>
        </row>
        <row r="37">
          <cell r="E37">
            <v>1186698095</v>
          </cell>
          <cell r="F37">
            <v>1186698095</v>
          </cell>
          <cell r="G37">
            <v>625156865</v>
          </cell>
          <cell r="H37">
            <v>215514813</v>
          </cell>
          <cell r="I37">
            <v>0</v>
          </cell>
          <cell r="J37">
            <v>157761045</v>
          </cell>
          <cell r="K37">
            <v>51869620</v>
          </cell>
          <cell r="L37">
            <v>7760719</v>
          </cell>
          <cell r="M37">
            <v>499520</v>
          </cell>
          <cell r="N37">
            <v>105891425</v>
          </cell>
          <cell r="O37">
            <v>105572614</v>
          </cell>
          <cell r="P37">
            <v>1344459140</v>
          </cell>
        </row>
        <row r="38">
          <cell r="E38">
            <v>6712579</v>
          </cell>
          <cell r="F38">
            <v>6712579</v>
          </cell>
          <cell r="G38">
            <v>4392304</v>
          </cell>
          <cell r="H38">
            <v>422609</v>
          </cell>
          <cell r="J38">
            <v>0</v>
          </cell>
          <cell r="N38">
            <v>0</v>
          </cell>
          <cell r="O38">
            <v>0</v>
          </cell>
          <cell r="P38">
            <v>6712579</v>
          </cell>
        </row>
        <row r="39">
          <cell r="E39">
            <v>6712579</v>
          </cell>
          <cell r="F39">
            <v>6712579</v>
          </cell>
          <cell r="G39">
            <v>4392304</v>
          </cell>
          <cell r="H39">
            <v>422609</v>
          </cell>
          <cell r="J39">
            <v>0</v>
          </cell>
          <cell r="N39">
            <v>0</v>
          </cell>
          <cell r="P39">
            <v>6712579</v>
          </cell>
        </row>
        <row r="40">
          <cell r="E40">
            <v>1129669312</v>
          </cell>
          <cell r="F40">
            <v>1129669312</v>
          </cell>
          <cell r="G40">
            <v>602406217</v>
          </cell>
          <cell r="H40">
            <v>210944516</v>
          </cell>
          <cell r="J40">
            <v>61535568</v>
          </cell>
          <cell r="K40">
            <v>50877509</v>
          </cell>
          <cell r="L40">
            <v>7508897</v>
          </cell>
          <cell r="M40">
            <v>343411</v>
          </cell>
          <cell r="N40">
            <v>10658059</v>
          </cell>
          <cell r="O40">
            <v>10339248</v>
          </cell>
          <cell r="P40">
            <v>1191204880</v>
          </cell>
        </row>
        <row r="41">
          <cell r="E41">
            <v>343483538</v>
          </cell>
          <cell r="F41">
            <v>343483538</v>
          </cell>
          <cell r="G41">
            <v>173911778</v>
          </cell>
          <cell r="H41">
            <v>73293893</v>
          </cell>
          <cell r="J41">
            <v>34863581</v>
          </cell>
          <cell r="K41">
            <v>30956001</v>
          </cell>
          <cell r="L41">
            <v>131305</v>
          </cell>
          <cell r="M41">
            <v>10294</v>
          </cell>
          <cell r="N41">
            <v>3907580</v>
          </cell>
          <cell r="O41">
            <v>3907580</v>
          </cell>
          <cell r="P41">
            <v>378347119</v>
          </cell>
        </row>
        <row r="42">
          <cell r="E42">
            <v>0</v>
          </cell>
          <cell r="J42">
            <v>0</v>
          </cell>
          <cell r="P42">
            <v>0</v>
          </cell>
        </row>
        <row r="43">
          <cell r="E43">
            <v>688924539</v>
          </cell>
          <cell r="F43">
            <v>688924539</v>
          </cell>
          <cell r="G43">
            <v>371605382</v>
          </cell>
          <cell r="H43">
            <v>121583492</v>
          </cell>
          <cell r="J43">
            <v>25379548</v>
          </cell>
          <cell r="K43">
            <v>18645069</v>
          </cell>
          <cell r="L43">
            <v>7256859</v>
          </cell>
          <cell r="M43">
            <v>322962</v>
          </cell>
          <cell r="N43">
            <v>6734479</v>
          </cell>
          <cell r="O43">
            <v>6431668</v>
          </cell>
          <cell r="P43">
            <v>714304087</v>
          </cell>
        </row>
        <row r="44">
          <cell r="E44">
            <v>0</v>
          </cell>
          <cell r="J44">
            <v>0</v>
          </cell>
          <cell r="N44">
            <v>0</v>
          </cell>
          <cell r="P44">
            <v>0</v>
          </cell>
        </row>
        <row r="45">
          <cell r="E45">
            <v>457852673</v>
          </cell>
          <cell r="F45">
            <v>457852673</v>
          </cell>
          <cell r="G45">
            <v>336177769</v>
          </cell>
          <cell r="N45">
            <v>0</v>
          </cell>
          <cell r="P45">
            <v>457852673</v>
          </cell>
        </row>
        <row r="46">
          <cell r="E46">
            <v>9886472</v>
          </cell>
          <cell r="F46">
            <v>9886472</v>
          </cell>
          <cell r="G46">
            <v>6214289</v>
          </cell>
          <cell r="H46">
            <v>1428989</v>
          </cell>
          <cell r="J46">
            <v>32870</v>
          </cell>
          <cell r="K46">
            <v>32870</v>
          </cell>
          <cell r="N46">
            <v>0</v>
          </cell>
          <cell r="P46">
            <v>9919342</v>
          </cell>
        </row>
        <row r="47">
          <cell r="E47">
            <v>8402060</v>
          </cell>
          <cell r="F47">
            <v>8402060</v>
          </cell>
          <cell r="G47">
            <v>6209489</v>
          </cell>
          <cell r="P47">
            <v>8402060</v>
          </cell>
        </row>
        <row r="48">
          <cell r="E48">
            <v>7416516</v>
          </cell>
          <cell r="F48">
            <v>7416516</v>
          </cell>
          <cell r="G48">
            <v>4652781</v>
          </cell>
          <cell r="H48">
            <v>1105949</v>
          </cell>
          <cell r="J48">
            <v>0</v>
          </cell>
          <cell r="N48">
            <v>0</v>
          </cell>
          <cell r="P48">
            <v>7416516</v>
          </cell>
        </row>
        <row r="49">
          <cell r="E49">
            <v>6310567</v>
          </cell>
          <cell r="F49">
            <v>6310567</v>
          </cell>
          <cell r="G49">
            <v>4652781</v>
          </cell>
          <cell r="P49">
            <v>6310567</v>
          </cell>
        </row>
        <row r="50">
          <cell r="E50">
            <v>44120226</v>
          </cell>
          <cell r="F50">
            <v>44120226</v>
          </cell>
          <cell r="G50">
            <v>23839441</v>
          </cell>
          <cell r="H50">
            <v>10647723</v>
          </cell>
          <cell r="J50">
            <v>607209</v>
          </cell>
          <cell r="K50">
            <v>607209</v>
          </cell>
          <cell r="L50">
            <v>120733</v>
          </cell>
          <cell r="M50">
            <v>10155</v>
          </cell>
          <cell r="N50">
            <v>0</v>
          </cell>
          <cell r="P50">
            <v>44727435</v>
          </cell>
        </row>
        <row r="51">
          <cell r="E51">
            <v>0</v>
          </cell>
          <cell r="J51">
            <v>0</v>
          </cell>
          <cell r="P51">
            <v>0</v>
          </cell>
        </row>
        <row r="52">
          <cell r="E52">
            <v>4522404</v>
          </cell>
          <cell r="F52">
            <v>4522404</v>
          </cell>
          <cell r="G52">
            <v>3122437</v>
          </cell>
          <cell r="H52">
            <v>189948</v>
          </cell>
          <cell r="J52">
            <v>0</v>
          </cell>
          <cell r="N52">
            <v>0</v>
          </cell>
          <cell r="P52">
            <v>4522404</v>
          </cell>
        </row>
        <row r="53">
          <cell r="E53">
            <v>1411071</v>
          </cell>
          <cell r="F53">
            <v>1411071</v>
          </cell>
          <cell r="G53">
            <v>793730</v>
          </cell>
          <cell r="H53">
            <v>42770</v>
          </cell>
          <cell r="J53">
            <v>0</v>
          </cell>
          <cell r="N53">
            <v>0</v>
          </cell>
          <cell r="P53">
            <v>1411071</v>
          </cell>
        </row>
        <row r="54">
          <cell r="E54">
            <v>16840952</v>
          </cell>
          <cell r="F54">
            <v>16840952</v>
          </cell>
          <cell r="G54">
            <v>10640853</v>
          </cell>
          <cell r="H54">
            <v>1035043</v>
          </cell>
          <cell r="J54">
            <v>40773</v>
          </cell>
          <cell r="K54">
            <v>40773</v>
          </cell>
          <cell r="N54">
            <v>0</v>
          </cell>
          <cell r="P54">
            <v>16881725</v>
          </cell>
        </row>
        <row r="55">
          <cell r="E55">
            <v>6814760</v>
          </cell>
          <cell r="F55">
            <v>6814760</v>
          </cell>
          <cell r="G55">
            <v>3931719</v>
          </cell>
          <cell r="H55">
            <v>787317</v>
          </cell>
          <cell r="J55">
            <v>611587</v>
          </cell>
          <cell r="K55">
            <v>595587</v>
          </cell>
          <cell r="N55">
            <v>16000</v>
          </cell>
          <cell r="P55">
            <v>7426347</v>
          </cell>
        </row>
        <row r="56">
          <cell r="E56">
            <v>6013534</v>
          </cell>
          <cell r="F56">
            <v>6013534</v>
          </cell>
          <cell r="G56">
            <v>3693807</v>
          </cell>
          <cell r="H56">
            <v>829392</v>
          </cell>
          <cell r="J56">
            <v>0</v>
          </cell>
          <cell r="N56">
            <v>0</v>
          </cell>
          <cell r="P56">
            <v>6013534</v>
          </cell>
        </row>
        <row r="57">
          <cell r="E57">
            <v>235300</v>
          </cell>
          <cell r="F57">
            <v>235300</v>
          </cell>
          <cell r="J57">
            <v>0</v>
          </cell>
          <cell r="N57">
            <v>0</v>
          </cell>
          <cell r="P57">
            <v>235300</v>
          </cell>
        </row>
        <row r="58">
          <cell r="J58">
            <v>0</v>
          </cell>
          <cell r="P58">
            <v>0</v>
          </cell>
        </row>
        <row r="59">
          <cell r="P59">
            <v>0</v>
          </cell>
        </row>
        <row r="60">
          <cell r="E60">
            <v>10437267</v>
          </cell>
          <cell r="F60">
            <v>10437267</v>
          </cell>
          <cell r="G60">
            <v>0</v>
          </cell>
          <cell r="H60">
            <v>0</v>
          </cell>
          <cell r="J60">
            <v>0</v>
          </cell>
          <cell r="K60">
            <v>0</v>
          </cell>
          <cell r="L60">
            <v>0</v>
          </cell>
          <cell r="M60">
            <v>0</v>
          </cell>
          <cell r="N60">
            <v>0</v>
          </cell>
          <cell r="O60">
            <v>0</v>
          </cell>
          <cell r="P60">
            <v>10437267</v>
          </cell>
        </row>
        <row r="61">
          <cell r="E61">
            <v>0</v>
          </cell>
          <cell r="G61">
            <v>0</v>
          </cell>
          <cell r="H61">
            <v>0</v>
          </cell>
          <cell r="J61">
            <v>0</v>
          </cell>
          <cell r="N61">
            <v>0</v>
          </cell>
          <cell r="O61">
            <v>0</v>
          </cell>
          <cell r="P61">
            <v>0</v>
          </cell>
        </row>
        <row r="62">
          <cell r="E62">
            <v>0</v>
          </cell>
          <cell r="G62">
            <v>0</v>
          </cell>
          <cell r="J62">
            <v>0</v>
          </cell>
          <cell r="P62">
            <v>0</v>
          </cell>
        </row>
        <row r="63">
          <cell r="E63">
            <v>441109</v>
          </cell>
          <cell r="F63">
            <v>441109</v>
          </cell>
          <cell r="J63">
            <v>0</v>
          </cell>
          <cell r="P63">
            <v>441109</v>
          </cell>
        </row>
        <row r="64">
          <cell r="E64">
            <v>9996158</v>
          </cell>
          <cell r="F64">
            <v>9996158</v>
          </cell>
          <cell r="P64">
            <v>9996158</v>
          </cell>
        </row>
        <row r="65">
          <cell r="E65">
            <v>39878937</v>
          </cell>
          <cell r="F65">
            <v>39878937</v>
          </cell>
          <cell r="G65">
            <v>18358344</v>
          </cell>
          <cell r="H65">
            <v>4147688</v>
          </cell>
          <cell r="J65">
            <v>1444119</v>
          </cell>
          <cell r="K65">
            <v>922111</v>
          </cell>
          <cell r="L65">
            <v>251822</v>
          </cell>
          <cell r="M65">
            <v>156109</v>
          </cell>
          <cell r="N65">
            <v>522008</v>
          </cell>
          <cell r="O65">
            <v>522008</v>
          </cell>
          <cell r="P65">
            <v>41323056</v>
          </cell>
        </row>
        <row r="66">
          <cell r="E66">
            <v>221182</v>
          </cell>
          <cell r="F66">
            <v>221182</v>
          </cell>
          <cell r="J66">
            <v>0</v>
          </cell>
          <cell r="P66">
            <v>221182</v>
          </cell>
        </row>
        <row r="67">
          <cell r="E67">
            <v>73322</v>
          </cell>
          <cell r="F67">
            <v>73322</v>
          </cell>
          <cell r="P67">
            <v>73322</v>
          </cell>
        </row>
        <row r="68">
          <cell r="E68">
            <v>27538586</v>
          </cell>
          <cell r="F68">
            <v>27538586</v>
          </cell>
          <cell r="G68">
            <v>16514307</v>
          </cell>
          <cell r="H68">
            <v>3365069</v>
          </cell>
          <cell r="J68">
            <v>1292639</v>
          </cell>
          <cell r="K68">
            <v>770631</v>
          </cell>
          <cell r="L68">
            <v>207915</v>
          </cell>
          <cell r="M68">
            <v>121816</v>
          </cell>
          <cell r="N68">
            <v>522008</v>
          </cell>
          <cell r="O68">
            <v>522008</v>
          </cell>
          <cell r="P68">
            <v>28831225</v>
          </cell>
        </row>
        <row r="69">
          <cell r="E69">
            <v>11309662</v>
          </cell>
          <cell r="F69">
            <v>11309662</v>
          </cell>
          <cell r="G69">
            <v>1486701</v>
          </cell>
          <cell r="H69">
            <v>624129</v>
          </cell>
          <cell r="J69">
            <v>85600</v>
          </cell>
          <cell r="K69">
            <v>85600</v>
          </cell>
          <cell r="L69">
            <v>13900</v>
          </cell>
          <cell r="M69">
            <v>16960</v>
          </cell>
          <cell r="N69">
            <v>0</v>
          </cell>
          <cell r="P69">
            <v>11395262</v>
          </cell>
        </row>
        <row r="70">
          <cell r="E70">
            <v>736185</v>
          </cell>
          <cell r="F70">
            <v>736185</v>
          </cell>
          <cell r="G70">
            <v>357336</v>
          </cell>
          <cell r="H70">
            <v>158490</v>
          </cell>
          <cell r="J70">
            <v>65880</v>
          </cell>
          <cell r="K70">
            <v>65880</v>
          </cell>
          <cell r="L70">
            <v>30007</v>
          </cell>
          <cell r="M70">
            <v>17333</v>
          </cell>
          <cell r="P70">
            <v>802065</v>
          </cell>
        </row>
        <row r="71">
          <cell r="E71">
            <v>0</v>
          </cell>
          <cell r="F71">
            <v>0</v>
          </cell>
          <cell r="G71">
            <v>0</v>
          </cell>
          <cell r="H71">
            <v>0</v>
          </cell>
          <cell r="I71">
            <v>0</v>
          </cell>
          <cell r="J71">
            <v>94711358</v>
          </cell>
          <cell r="K71">
            <v>0</v>
          </cell>
          <cell r="L71">
            <v>0</v>
          </cell>
          <cell r="M71">
            <v>0</v>
          </cell>
          <cell r="N71">
            <v>94711358</v>
          </cell>
          <cell r="O71">
            <v>94711358</v>
          </cell>
          <cell r="P71">
            <v>94711358</v>
          </cell>
        </row>
        <row r="72">
          <cell r="J72">
            <v>67816382</v>
          </cell>
          <cell r="N72">
            <v>67816382</v>
          </cell>
          <cell r="O72">
            <v>67816382</v>
          </cell>
          <cell r="P72">
            <v>67816382</v>
          </cell>
        </row>
        <row r="73">
          <cell r="J73">
            <v>0</v>
          </cell>
          <cell r="N73">
            <v>0</v>
          </cell>
          <cell r="P73">
            <v>0</v>
          </cell>
        </row>
        <row r="74">
          <cell r="J74">
            <v>0</v>
          </cell>
          <cell r="O74">
            <v>0</v>
          </cell>
          <cell r="P74">
            <v>0</v>
          </cell>
        </row>
        <row r="75">
          <cell r="J75">
            <v>0</v>
          </cell>
          <cell r="O75">
            <v>0</v>
          </cell>
          <cell r="P75">
            <v>0</v>
          </cell>
        </row>
        <row r="76">
          <cell r="J76">
            <v>20487424</v>
          </cell>
          <cell r="N76">
            <v>20487424</v>
          </cell>
          <cell r="O76">
            <v>20487424</v>
          </cell>
          <cell r="P76">
            <v>20487424</v>
          </cell>
        </row>
        <row r="77">
          <cell r="J77">
            <v>0</v>
          </cell>
          <cell r="N77">
            <v>0</v>
          </cell>
          <cell r="P77">
            <v>0</v>
          </cell>
        </row>
        <row r="78">
          <cell r="J78">
            <v>6407552</v>
          </cell>
          <cell r="N78">
            <v>6407552</v>
          </cell>
          <cell r="O78">
            <v>6407552</v>
          </cell>
          <cell r="P78">
            <v>6407552</v>
          </cell>
        </row>
        <row r="79">
          <cell r="E79">
            <v>0</v>
          </cell>
          <cell r="F79">
            <v>0</v>
          </cell>
          <cell r="J79">
            <v>0</v>
          </cell>
          <cell r="P79">
            <v>0</v>
          </cell>
        </row>
        <row r="80">
          <cell r="E80">
            <v>0</v>
          </cell>
          <cell r="J80">
            <v>0</v>
          </cell>
          <cell r="P80">
            <v>0</v>
          </cell>
        </row>
        <row r="81">
          <cell r="E81">
            <v>0</v>
          </cell>
          <cell r="F81">
            <v>0</v>
          </cell>
          <cell r="I81">
            <v>0</v>
          </cell>
          <cell r="J81">
            <v>0</v>
          </cell>
          <cell r="N81">
            <v>0</v>
          </cell>
          <cell r="O81">
            <v>0</v>
          </cell>
          <cell r="P81">
            <v>0</v>
          </cell>
        </row>
        <row r="82">
          <cell r="E82">
            <v>0</v>
          </cell>
          <cell r="J82">
            <v>0</v>
          </cell>
          <cell r="N82">
            <v>0</v>
          </cell>
          <cell r="P82">
            <v>0</v>
          </cell>
        </row>
        <row r="83">
          <cell r="E83">
            <v>0</v>
          </cell>
          <cell r="F83">
            <v>0</v>
          </cell>
          <cell r="J83">
            <v>70000</v>
          </cell>
          <cell r="K83">
            <v>70000</v>
          </cell>
          <cell r="L83">
            <v>0</v>
          </cell>
          <cell r="M83">
            <v>0</v>
          </cell>
          <cell r="N83">
            <v>0</v>
          </cell>
          <cell r="O83">
            <v>0</v>
          </cell>
          <cell r="P83">
            <v>70000</v>
          </cell>
        </row>
        <row r="84">
          <cell r="E84">
            <v>0</v>
          </cell>
          <cell r="J84">
            <v>70000</v>
          </cell>
          <cell r="K84">
            <v>70000</v>
          </cell>
          <cell r="P84">
            <v>70000</v>
          </cell>
        </row>
        <row r="85">
          <cell r="J85">
            <v>0</v>
          </cell>
          <cell r="K85">
            <v>0</v>
          </cell>
          <cell r="N85">
            <v>0</v>
          </cell>
          <cell r="P85">
            <v>0</v>
          </cell>
        </row>
        <row r="86">
          <cell r="E86">
            <v>0</v>
          </cell>
          <cell r="F86">
            <v>0</v>
          </cell>
          <cell r="P86">
            <v>0</v>
          </cell>
        </row>
        <row r="87">
          <cell r="E87">
            <v>0</v>
          </cell>
          <cell r="J87">
            <v>0</v>
          </cell>
          <cell r="P87">
            <v>0</v>
          </cell>
        </row>
        <row r="88">
          <cell r="E88">
            <v>740709147</v>
          </cell>
          <cell r="F88">
            <v>740709147</v>
          </cell>
          <cell r="G88">
            <v>418549074</v>
          </cell>
          <cell r="H88">
            <v>87019509</v>
          </cell>
          <cell r="J88">
            <v>69094989</v>
          </cell>
          <cell r="K88">
            <v>29006676</v>
          </cell>
          <cell r="L88">
            <v>11252237</v>
          </cell>
          <cell r="M88">
            <v>2229233</v>
          </cell>
          <cell r="N88">
            <v>40088313</v>
          </cell>
          <cell r="O88">
            <v>37961464</v>
          </cell>
          <cell r="P88">
            <v>809804136</v>
          </cell>
        </row>
        <row r="89">
          <cell r="E89">
            <v>1585453</v>
          </cell>
          <cell r="F89">
            <v>1585453</v>
          </cell>
          <cell r="G89">
            <v>919454</v>
          </cell>
          <cell r="H89">
            <v>211590</v>
          </cell>
          <cell r="J89">
            <v>0</v>
          </cell>
          <cell r="K89">
            <v>0</v>
          </cell>
          <cell r="L89">
            <v>0</v>
          </cell>
          <cell r="M89">
            <v>0</v>
          </cell>
          <cell r="N89">
            <v>0</v>
          </cell>
          <cell r="O89">
            <v>0</v>
          </cell>
          <cell r="P89">
            <v>1585453</v>
          </cell>
        </row>
        <row r="90">
          <cell r="E90">
            <v>1585453</v>
          </cell>
          <cell r="F90">
            <v>1585453</v>
          </cell>
          <cell r="G90">
            <v>919454</v>
          </cell>
          <cell r="H90">
            <v>211590</v>
          </cell>
          <cell r="J90">
            <v>0</v>
          </cell>
          <cell r="N90">
            <v>0</v>
          </cell>
          <cell r="P90">
            <v>1585453</v>
          </cell>
        </row>
        <row r="91">
          <cell r="E91">
            <v>739123694</v>
          </cell>
          <cell r="F91">
            <v>739123694</v>
          </cell>
          <cell r="G91">
            <v>417629620</v>
          </cell>
          <cell r="H91">
            <v>86807919</v>
          </cell>
          <cell r="J91">
            <v>38255029</v>
          </cell>
          <cell r="K91">
            <v>29006676</v>
          </cell>
          <cell r="L91">
            <v>11252237</v>
          </cell>
          <cell r="M91">
            <v>2229233</v>
          </cell>
          <cell r="N91">
            <v>9248353</v>
          </cell>
          <cell r="O91">
            <v>7121504</v>
          </cell>
          <cell r="P91">
            <v>777378723</v>
          </cell>
        </row>
        <row r="92">
          <cell r="E92">
            <v>492636256</v>
          </cell>
          <cell r="F92">
            <v>492636256</v>
          </cell>
          <cell r="G92">
            <v>285968246</v>
          </cell>
          <cell r="H92">
            <v>62362211</v>
          </cell>
          <cell r="J92">
            <v>19103703</v>
          </cell>
          <cell r="K92">
            <v>12503634</v>
          </cell>
          <cell r="L92">
            <v>3425655</v>
          </cell>
          <cell r="M92">
            <v>1260697</v>
          </cell>
          <cell r="N92">
            <v>6600069</v>
          </cell>
          <cell r="O92">
            <v>5498507</v>
          </cell>
          <cell r="P92">
            <v>511739959</v>
          </cell>
        </row>
        <row r="93">
          <cell r="E93">
            <v>0</v>
          </cell>
          <cell r="J93">
            <v>0</v>
          </cell>
          <cell r="N93">
            <v>0</v>
          </cell>
          <cell r="P93">
            <v>0</v>
          </cell>
        </row>
        <row r="94">
          <cell r="E94">
            <v>359523508</v>
          </cell>
          <cell r="F94">
            <v>359523508</v>
          </cell>
          <cell r="G94">
            <v>264869693</v>
          </cell>
          <cell r="P94">
            <v>359523508</v>
          </cell>
        </row>
        <row r="95">
          <cell r="E95">
            <v>67612606</v>
          </cell>
          <cell r="F95">
            <v>67612606</v>
          </cell>
          <cell r="G95">
            <v>38790341</v>
          </cell>
          <cell r="H95">
            <v>11604193</v>
          </cell>
          <cell r="J95">
            <v>1908286</v>
          </cell>
          <cell r="K95">
            <v>285289</v>
          </cell>
          <cell r="N95">
            <v>1622997</v>
          </cell>
          <cell r="O95">
            <v>1622997</v>
          </cell>
          <cell r="P95">
            <v>69520892</v>
          </cell>
        </row>
        <row r="96">
          <cell r="E96">
            <v>48836905</v>
          </cell>
          <cell r="F96">
            <v>48836905</v>
          </cell>
          <cell r="G96">
            <v>35928415</v>
          </cell>
          <cell r="P96">
            <v>48836905</v>
          </cell>
        </row>
        <row r="97">
          <cell r="E97">
            <v>5740571</v>
          </cell>
          <cell r="F97">
            <v>5740571</v>
          </cell>
          <cell r="G97">
            <v>3469107</v>
          </cell>
          <cell r="H97">
            <v>277382</v>
          </cell>
          <cell r="J97">
            <v>0</v>
          </cell>
          <cell r="N97">
            <v>0</v>
          </cell>
          <cell r="P97">
            <v>5740571</v>
          </cell>
        </row>
        <row r="98">
          <cell r="E98">
            <v>0</v>
          </cell>
          <cell r="J98">
            <v>0</v>
          </cell>
          <cell r="P98">
            <v>0</v>
          </cell>
        </row>
        <row r="99">
          <cell r="E99">
            <v>4352951</v>
          </cell>
          <cell r="F99">
            <v>4352951</v>
          </cell>
          <cell r="G99">
            <v>3213159</v>
          </cell>
          <cell r="P99">
            <v>4352951</v>
          </cell>
        </row>
        <row r="100">
          <cell r="E100">
            <v>26878899</v>
          </cell>
          <cell r="F100">
            <v>26878899</v>
          </cell>
          <cell r="G100">
            <v>15765709</v>
          </cell>
          <cell r="H100">
            <v>2100368</v>
          </cell>
          <cell r="J100">
            <v>14086385</v>
          </cell>
          <cell r="K100">
            <v>13061098</v>
          </cell>
          <cell r="L100">
            <v>7112418</v>
          </cell>
          <cell r="M100">
            <v>879687</v>
          </cell>
          <cell r="N100">
            <v>1025287</v>
          </cell>
          <cell r="P100">
            <v>40965284</v>
          </cell>
        </row>
        <row r="101">
          <cell r="E101">
            <v>19856976</v>
          </cell>
          <cell r="F101">
            <v>19856976</v>
          </cell>
          <cell r="G101">
            <v>14602525</v>
          </cell>
          <cell r="P101">
            <v>19856976</v>
          </cell>
        </row>
        <row r="102">
          <cell r="E102">
            <v>453596</v>
          </cell>
          <cell r="F102">
            <v>453596</v>
          </cell>
          <cell r="G102">
            <v>306092</v>
          </cell>
          <cell r="H102">
            <v>31449</v>
          </cell>
          <cell r="J102">
            <v>0</v>
          </cell>
          <cell r="P102">
            <v>453596</v>
          </cell>
        </row>
        <row r="103">
          <cell r="E103">
            <v>386422</v>
          </cell>
          <cell r="F103">
            <v>386422</v>
          </cell>
          <cell r="G103">
            <v>283509</v>
          </cell>
          <cell r="P103">
            <v>386422</v>
          </cell>
        </row>
        <row r="104">
          <cell r="E104">
            <v>134912639</v>
          </cell>
          <cell r="F104">
            <v>134912639</v>
          </cell>
          <cell r="G104">
            <v>71852896</v>
          </cell>
          <cell r="H104">
            <v>10282310</v>
          </cell>
          <cell r="J104">
            <v>3156655</v>
          </cell>
          <cell r="K104">
            <v>3156655</v>
          </cell>
          <cell r="L104">
            <v>714164</v>
          </cell>
          <cell r="M104">
            <v>88849</v>
          </cell>
          <cell r="N104">
            <v>0</v>
          </cell>
          <cell r="P104">
            <v>138069294</v>
          </cell>
        </row>
        <row r="105">
          <cell r="E105">
            <v>90089438</v>
          </cell>
          <cell r="F105">
            <v>90089438</v>
          </cell>
          <cell r="G105">
            <v>66551636</v>
          </cell>
          <cell r="P105">
            <v>90089438</v>
          </cell>
        </row>
        <row r="106">
          <cell r="E106">
            <v>939887</v>
          </cell>
          <cell r="F106">
            <v>939887</v>
          </cell>
          <cell r="G106">
            <v>625830</v>
          </cell>
          <cell r="H106">
            <v>33661</v>
          </cell>
          <cell r="J106">
            <v>0</v>
          </cell>
          <cell r="N106">
            <v>0</v>
          </cell>
          <cell r="P106">
            <v>939887</v>
          </cell>
        </row>
        <row r="107">
          <cell r="E107">
            <v>1691623</v>
          </cell>
          <cell r="F107">
            <v>1691623</v>
          </cell>
          <cell r="G107">
            <v>851399</v>
          </cell>
          <cell r="H107">
            <v>116345</v>
          </cell>
          <cell r="J107">
            <v>0</v>
          </cell>
          <cell r="N107">
            <v>0</v>
          </cell>
          <cell r="P107">
            <v>1691623</v>
          </cell>
        </row>
        <row r="108">
          <cell r="E108">
            <v>0</v>
          </cell>
          <cell r="J108">
            <v>0</v>
          </cell>
          <cell r="P108">
            <v>0</v>
          </cell>
        </row>
        <row r="109">
          <cell r="E109">
            <v>8257617</v>
          </cell>
          <cell r="F109">
            <v>8257617</v>
          </cell>
          <cell r="J109">
            <v>0</v>
          </cell>
          <cell r="P109">
            <v>8257617</v>
          </cell>
        </row>
        <row r="110">
          <cell r="E110">
            <v>0</v>
          </cell>
          <cell r="G110">
            <v>0</v>
          </cell>
          <cell r="H110">
            <v>0</v>
          </cell>
          <cell r="J110">
            <v>30839960</v>
          </cell>
          <cell r="K110">
            <v>0</v>
          </cell>
          <cell r="L110">
            <v>0</v>
          </cell>
          <cell r="M110">
            <v>0</v>
          </cell>
          <cell r="N110">
            <v>30839960</v>
          </cell>
          <cell r="O110">
            <v>30839960</v>
          </cell>
          <cell r="P110">
            <v>30839960</v>
          </cell>
        </row>
        <row r="111">
          <cell r="J111">
            <v>30839960</v>
          </cell>
          <cell r="N111">
            <v>30839960</v>
          </cell>
          <cell r="O111">
            <v>30839960</v>
          </cell>
          <cell r="P111">
            <v>30839960</v>
          </cell>
        </row>
        <row r="112">
          <cell r="J112">
            <v>0</v>
          </cell>
          <cell r="N112">
            <v>0</v>
          </cell>
          <cell r="P112">
            <v>0</v>
          </cell>
        </row>
        <row r="113">
          <cell r="J113">
            <v>0</v>
          </cell>
          <cell r="P113">
            <v>0</v>
          </cell>
        </row>
        <row r="114">
          <cell r="J114">
            <v>0</v>
          </cell>
          <cell r="O114">
            <v>0</v>
          </cell>
          <cell r="P114">
            <v>0</v>
          </cell>
        </row>
        <row r="115">
          <cell r="E115">
            <v>0</v>
          </cell>
          <cell r="J115">
            <v>0</v>
          </cell>
          <cell r="K115">
            <v>0</v>
          </cell>
          <cell r="L115">
            <v>0</v>
          </cell>
          <cell r="M115">
            <v>0</v>
          </cell>
          <cell r="N115">
            <v>0</v>
          </cell>
          <cell r="O115">
            <v>0</v>
          </cell>
          <cell r="P115">
            <v>0</v>
          </cell>
        </row>
        <row r="116">
          <cell r="J116">
            <v>0</v>
          </cell>
          <cell r="P116">
            <v>0</v>
          </cell>
        </row>
        <row r="117">
          <cell r="E117">
            <v>1197956955</v>
          </cell>
          <cell r="F117">
            <v>1197956955</v>
          </cell>
          <cell r="G117">
            <v>47360304</v>
          </cell>
          <cell r="H117">
            <v>4298118</v>
          </cell>
          <cell r="I117">
            <v>0</v>
          </cell>
          <cell r="J117">
            <v>625463</v>
          </cell>
          <cell r="K117">
            <v>102333</v>
          </cell>
          <cell r="L117">
            <v>60095</v>
          </cell>
          <cell r="M117">
            <v>0</v>
          </cell>
          <cell r="N117">
            <v>523130</v>
          </cell>
          <cell r="O117">
            <v>523130</v>
          </cell>
          <cell r="P117">
            <v>1198582418</v>
          </cell>
        </row>
        <row r="118">
          <cell r="E118">
            <v>47129653</v>
          </cell>
          <cell r="F118">
            <v>47129653</v>
          </cell>
          <cell r="G118">
            <v>31683653</v>
          </cell>
          <cell r="H118">
            <v>1628854</v>
          </cell>
          <cell r="J118">
            <v>85230</v>
          </cell>
          <cell r="K118">
            <v>0</v>
          </cell>
          <cell r="L118">
            <v>0</v>
          </cell>
          <cell r="M118">
            <v>0</v>
          </cell>
          <cell r="N118">
            <v>85230</v>
          </cell>
          <cell r="O118">
            <v>85230</v>
          </cell>
          <cell r="P118">
            <v>47214883</v>
          </cell>
        </row>
        <row r="119">
          <cell r="E119">
            <v>47129653</v>
          </cell>
          <cell r="F119">
            <v>47129653</v>
          </cell>
          <cell r="G119">
            <v>31683653</v>
          </cell>
          <cell r="H119">
            <v>1628854</v>
          </cell>
          <cell r="J119">
            <v>85230</v>
          </cell>
          <cell r="N119">
            <v>85230</v>
          </cell>
          <cell r="O119">
            <v>85230</v>
          </cell>
          <cell r="P119">
            <v>47214883</v>
          </cell>
        </row>
        <row r="120">
          <cell r="E120">
            <v>1666311</v>
          </cell>
          <cell r="F120">
            <v>1666311</v>
          </cell>
          <cell r="G120">
            <v>0</v>
          </cell>
          <cell r="H120">
            <v>0</v>
          </cell>
          <cell r="J120">
            <v>0</v>
          </cell>
          <cell r="N120">
            <v>0</v>
          </cell>
          <cell r="O120">
            <v>0</v>
          </cell>
          <cell r="P120">
            <v>1666311</v>
          </cell>
        </row>
        <row r="121">
          <cell r="E121">
            <v>1666311</v>
          </cell>
          <cell r="F121">
            <v>1666311</v>
          </cell>
          <cell r="J121">
            <v>0</v>
          </cell>
          <cell r="P121">
            <v>1666311</v>
          </cell>
        </row>
        <row r="122">
          <cell r="E122">
            <v>1666311</v>
          </cell>
          <cell r="F122">
            <v>1666311</v>
          </cell>
          <cell r="P122">
            <v>1666311</v>
          </cell>
        </row>
        <row r="123">
          <cell r="E123">
            <v>1093307393</v>
          </cell>
          <cell r="F123">
            <v>1093307393</v>
          </cell>
          <cell r="G123">
            <v>15676651</v>
          </cell>
          <cell r="H123">
            <v>2669264</v>
          </cell>
          <cell r="I123">
            <v>0</v>
          </cell>
          <cell r="J123">
            <v>197333</v>
          </cell>
          <cell r="K123">
            <v>102333</v>
          </cell>
          <cell r="L123">
            <v>60095</v>
          </cell>
          <cell r="M123">
            <v>0</v>
          </cell>
          <cell r="N123">
            <v>95000</v>
          </cell>
          <cell r="O123">
            <v>95000</v>
          </cell>
          <cell r="P123">
            <v>1093504726</v>
          </cell>
        </row>
        <row r="124">
          <cell r="E124">
            <v>154079000</v>
          </cell>
          <cell r="F124">
            <v>154079000</v>
          </cell>
          <cell r="J124">
            <v>0</v>
          </cell>
          <cell r="P124">
            <v>154079000</v>
          </cell>
        </row>
        <row r="125">
          <cell r="E125">
            <v>154079000</v>
          </cell>
          <cell r="F125">
            <v>154079000</v>
          </cell>
          <cell r="J125">
            <v>0</v>
          </cell>
          <cell r="K125">
            <v>0</v>
          </cell>
          <cell r="P125">
            <v>154079000</v>
          </cell>
        </row>
        <row r="126">
          <cell r="E126">
            <v>129114</v>
          </cell>
          <cell r="F126">
            <v>129114</v>
          </cell>
          <cell r="J126">
            <v>0</v>
          </cell>
          <cell r="P126">
            <v>129114</v>
          </cell>
        </row>
        <row r="127">
          <cell r="E127">
            <v>129114</v>
          </cell>
          <cell r="F127">
            <v>129114</v>
          </cell>
          <cell r="P127">
            <v>129114</v>
          </cell>
        </row>
        <row r="128">
          <cell r="E128">
            <v>1373702</v>
          </cell>
          <cell r="F128">
            <v>1373702</v>
          </cell>
          <cell r="J128">
            <v>95000</v>
          </cell>
          <cell r="N128">
            <v>95000</v>
          </cell>
          <cell r="O128">
            <v>95000</v>
          </cell>
          <cell r="P128">
            <v>1468702</v>
          </cell>
        </row>
        <row r="129">
          <cell r="E129">
            <v>1373702</v>
          </cell>
          <cell r="F129">
            <v>1373702</v>
          </cell>
          <cell r="G129">
            <v>0</v>
          </cell>
          <cell r="H129">
            <v>0</v>
          </cell>
          <cell r="I129">
            <v>0</v>
          </cell>
          <cell r="J129">
            <v>95000</v>
          </cell>
          <cell r="K129">
            <v>0</v>
          </cell>
          <cell r="L129">
            <v>0</v>
          </cell>
          <cell r="M129">
            <v>0</v>
          </cell>
          <cell r="N129">
            <v>95000</v>
          </cell>
          <cell r="O129">
            <v>95000</v>
          </cell>
          <cell r="P129">
            <v>1468702</v>
          </cell>
        </row>
        <row r="130">
          <cell r="E130">
            <v>20796000</v>
          </cell>
          <cell r="F130">
            <v>20796000</v>
          </cell>
          <cell r="J130">
            <v>0</v>
          </cell>
          <cell r="P130">
            <v>20796000</v>
          </cell>
        </row>
        <row r="132">
          <cell r="E132">
            <v>20796000</v>
          </cell>
          <cell r="F132">
            <v>20796000</v>
          </cell>
          <cell r="J132">
            <v>0</v>
          </cell>
          <cell r="K132">
            <v>0</v>
          </cell>
          <cell r="P132">
            <v>20796000</v>
          </cell>
        </row>
        <row r="133">
          <cell r="E133">
            <v>4058</v>
          </cell>
          <cell r="F133">
            <v>4058</v>
          </cell>
          <cell r="J133">
            <v>0</v>
          </cell>
          <cell r="P133">
            <v>4058</v>
          </cell>
        </row>
        <row r="134">
          <cell r="J134">
            <v>0</v>
          </cell>
          <cell r="P134">
            <v>0</v>
          </cell>
        </row>
        <row r="135">
          <cell r="E135">
            <v>4058</v>
          </cell>
          <cell r="F135">
            <v>4058</v>
          </cell>
          <cell r="P135">
            <v>4058</v>
          </cell>
        </row>
        <row r="136">
          <cell r="E136">
            <v>7618000</v>
          </cell>
          <cell r="F136">
            <v>7618000</v>
          </cell>
          <cell r="J136">
            <v>0</v>
          </cell>
          <cell r="P136">
            <v>7618000</v>
          </cell>
        </row>
        <row r="137">
          <cell r="E137">
            <v>7618000</v>
          </cell>
          <cell r="F137">
            <v>7618000</v>
          </cell>
          <cell r="J137">
            <v>0</v>
          </cell>
          <cell r="K137">
            <v>0</v>
          </cell>
          <cell r="P137">
            <v>7618000</v>
          </cell>
        </row>
        <row r="138">
          <cell r="E138">
            <v>6607</v>
          </cell>
          <cell r="F138">
            <v>6607</v>
          </cell>
          <cell r="J138">
            <v>0</v>
          </cell>
          <cell r="P138">
            <v>6607</v>
          </cell>
        </row>
        <row r="139">
          <cell r="E139">
            <v>6607</v>
          </cell>
          <cell r="F139">
            <v>6607</v>
          </cell>
          <cell r="P139">
            <v>6607</v>
          </cell>
        </row>
        <row r="140">
          <cell r="E140">
            <v>45200</v>
          </cell>
          <cell r="F140">
            <v>45200</v>
          </cell>
          <cell r="J140">
            <v>0</v>
          </cell>
          <cell r="P140">
            <v>45200</v>
          </cell>
        </row>
        <row r="141">
          <cell r="E141">
            <v>45200</v>
          </cell>
          <cell r="F141">
            <v>45200</v>
          </cell>
          <cell r="J141">
            <v>0</v>
          </cell>
          <cell r="P141">
            <v>45200</v>
          </cell>
        </row>
        <row r="142">
          <cell r="E142">
            <v>3485000</v>
          </cell>
          <cell r="F142">
            <v>3485000</v>
          </cell>
          <cell r="J142">
            <v>0</v>
          </cell>
          <cell r="P142">
            <v>3485000</v>
          </cell>
        </row>
        <row r="143">
          <cell r="E143">
            <v>3485000</v>
          </cell>
          <cell r="F143">
            <v>3485000</v>
          </cell>
          <cell r="J143">
            <v>0</v>
          </cell>
          <cell r="P143">
            <v>3485000</v>
          </cell>
        </row>
        <row r="144">
          <cell r="E144">
            <v>11923000</v>
          </cell>
          <cell r="F144">
            <v>11923000</v>
          </cell>
          <cell r="J144">
            <v>0</v>
          </cell>
          <cell r="P144">
            <v>11923000</v>
          </cell>
        </row>
        <row r="145">
          <cell r="E145">
            <v>11923000</v>
          </cell>
          <cell r="F145">
            <v>11923000</v>
          </cell>
          <cell r="J145">
            <v>0</v>
          </cell>
          <cell r="K145">
            <v>0</v>
          </cell>
          <cell r="P145">
            <v>11923000</v>
          </cell>
        </row>
        <row r="146">
          <cell r="E146">
            <v>35734</v>
          </cell>
          <cell r="F146">
            <v>35734</v>
          </cell>
          <cell r="J146">
            <v>0</v>
          </cell>
          <cell r="P146">
            <v>35734</v>
          </cell>
        </row>
        <row r="147">
          <cell r="E147">
            <v>35734</v>
          </cell>
          <cell r="F147">
            <v>35734</v>
          </cell>
          <cell r="J147">
            <v>0</v>
          </cell>
          <cell r="P147">
            <v>35734</v>
          </cell>
        </row>
        <row r="148">
          <cell r="E148">
            <v>6500000</v>
          </cell>
          <cell r="F148">
            <v>6500000</v>
          </cell>
          <cell r="J148">
            <v>0</v>
          </cell>
          <cell r="P148">
            <v>6500000</v>
          </cell>
        </row>
        <row r="149">
          <cell r="E149">
            <v>6500000</v>
          </cell>
          <cell r="F149">
            <v>6500000</v>
          </cell>
          <cell r="P149">
            <v>6500000</v>
          </cell>
        </row>
        <row r="150">
          <cell r="E150">
            <v>6050000</v>
          </cell>
          <cell r="F150">
            <v>6050000</v>
          </cell>
          <cell r="J150">
            <v>0</v>
          </cell>
          <cell r="P150">
            <v>6050000</v>
          </cell>
        </row>
        <row r="151">
          <cell r="E151">
            <v>6050000</v>
          </cell>
          <cell r="F151">
            <v>6050000</v>
          </cell>
          <cell r="P151">
            <v>6050000</v>
          </cell>
        </row>
        <row r="152">
          <cell r="E152">
            <v>339261435</v>
          </cell>
          <cell r="F152">
            <v>339261435</v>
          </cell>
          <cell r="J152">
            <v>0</v>
          </cell>
          <cell r="P152">
            <v>339261435</v>
          </cell>
        </row>
        <row r="153">
          <cell r="E153">
            <v>339261435</v>
          </cell>
          <cell r="F153">
            <v>339261435</v>
          </cell>
          <cell r="P153">
            <v>339261435</v>
          </cell>
        </row>
        <row r="154">
          <cell r="E154">
            <v>25000000</v>
          </cell>
          <cell r="F154">
            <v>25000000</v>
          </cell>
          <cell r="J154">
            <v>0</v>
          </cell>
          <cell r="P154">
            <v>25000000</v>
          </cell>
        </row>
        <row r="155">
          <cell r="E155">
            <v>25000000</v>
          </cell>
          <cell r="F155">
            <v>25000000</v>
          </cell>
          <cell r="P155">
            <v>25000000</v>
          </cell>
        </row>
        <row r="156">
          <cell r="E156">
            <v>70000000</v>
          </cell>
          <cell r="F156">
            <v>70000000</v>
          </cell>
          <cell r="J156">
            <v>0</v>
          </cell>
          <cell r="P156">
            <v>70000000</v>
          </cell>
        </row>
        <row r="157">
          <cell r="E157">
            <v>70000000</v>
          </cell>
          <cell r="F157">
            <v>70000000</v>
          </cell>
          <cell r="P157">
            <v>70000000</v>
          </cell>
        </row>
        <row r="158">
          <cell r="E158">
            <v>10500000</v>
          </cell>
          <cell r="F158">
            <v>10500000</v>
          </cell>
          <cell r="P158">
            <v>10500000</v>
          </cell>
        </row>
        <row r="159">
          <cell r="E159">
            <v>10500000</v>
          </cell>
          <cell r="F159">
            <v>10500000</v>
          </cell>
          <cell r="P159">
            <v>10500000</v>
          </cell>
        </row>
        <row r="160">
          <cell r="E160">
            <v>1050000</v>
          </cell>
          <cell r="F160">
            <v>1050000</v>
          </cell>
          <cell r="P160">
            <v>1050000</v>
          </cell>
        </row>
        <row r="161">
          <cell r="E161">
            <v>1050000</v>
          </cell>
          <cell r="F161">
            <v>1050000</v>
          </cell>
          <cell r="P161">
            <v>1050000</v>
          </cell>
        </row>
        <row r="162">
          <cell r="E162">
            <v>48000000</v>
          </cell>
          <cell r="F162">
            <v>48000000</v>
          </cell>
          <cell r="J162">
            <v>0</v>
          </cell>
          <cell r="P162">
            <v>48000000</v>
          </cell>
        </row>
        <row r="163">
          <cell r="E163">
            <v>48000000</v>
          </cell>
          <cell r="F163">
            <v>48000000</v>
          </cell>
          <cell r="P163">
            <v>48000000</v>
          </cell>
        </row>
        <row r="164">
          <cell r="E164">
            <v>231365700</v>
          </cell>
          <cell r="F164">
            <v>231365700</v>
          </cell>
          <cell r="J164">
            <v>0</v>
          </cell>
          <cell r="P164">
            <v>231365700</v>
          </cell>
        </row>
        <row r="165">
          <cell r="E165">
            <v>231365700</v>
          </cell>
          <cell r="F165">
            <v>231365700</v>
          </cell>
          <cell r="J165">
            <v>0</v>
          </cell>
          <cell r="K165">
            <v>0</v>
          </cell>
          <cell r="P165">
            <v>231365700</v>
          </cell>
        </row>
        <row r="166">
          <cell r="E166">
            <v>171187</v>
          </cell>
          <cell r="F166">
            <v>171187</v>
          </cell>
          <cell r="J166">
            <v>0</v>
          </cell>
          <cell r="P166">
            <v>171187</v>
          </cell>
        </row>
        <row r="167">
          <cell r="E167">
            <v>171187</v>
          </cell>
          <cell r="F167">
            <v>171187</v>
          </cell>
          <cell r="J167">
            <v>0</v>
          </cell>
          <cell r="K167">
            <v>0</v>
          </cell>
          <cell r="P167">
            <v>171187</v>
          </cell>
        </row>
        <row r="168">
          <cell r="E168">
            <v>0</v>
          </cell>
          <cell r="P168">
            <v>0</v>
          </cell>
        </row>
        <row r="169">
          <cell r="E169">
            <v>0</v>
          </cell>
          <cell r="F169">
            <v>0</v>
          </cell>
          <cell r="P169">
            <v>0</v>
          </cell>
        </row>
        <row r="170">
          <cell r="E170">
            <v>25799773</v>
          </cell>
          <cell r="F170">
            <v>25799773</v>
          </cell>
          <cell r="J170">
            <v>0</v>
          </cell>
          <cell r="P170">
            <v>25799773</v>
          </cell>
        </row>
        <row r="171">
          <cell r="P171">
            <v>0</v>
          </cell>
        </row>
        <row r="172">
          <cell r="E172">
            <v>7800000</v>
          </cell>
          <cell r="F172">
            <v>7800000</v>
          </cell>
          <cell r="P172">
            <v>7800000</v>
          </cell>
        </row>
        <row r="173">
          <cell r="E173">
            <v>7800000</v>
          </cell>
          <cell r="F173">
            <v>7800000</v>
          </cell>
          <cell r="P173">
            <v>7800000</v>
          </cell>
        </row>
        <row r="174">
          <cell r="E174">
            <v>0</v>
          </cell>
          <cell r="P174">
            <v>0</v>
          </cell>
        </row>
        <row r="175">
          <cell r="E175">
            <v>0</v>
          </cell>
          <cell r="F175">
            <v>0</v>
          </cell>
          <cell r="J175">
            <v>0</v>
          </cell>
          <cell r="P175">
            <v>0</v>
          </cell>
        </row>
        <row r="176">
          <cell r="E176">
            <v>2470419</v>
          </cell>
          <cell r="F176">
            <v>2470419</v>
          </cell>
          <cell r="G176">
            <v>1577199</v>
          </cell>
          <cell r="H176">
            <v>160639</v>
          </cell>
          <cell r="J176">
            <v>0</v>
          </cell>
          <cell r="N176">
            <v>0</v>
          </cell>
          <cell r="P176">
            <v>2470419</v>
          </cell>
        </row>
        <row r="177">
          <cell r="E177">
            <v>241392</v>
          </cell>
          <cell r="F177">
            <v>241392</v>
          </cell>
          <cell r="G177">
            <v>145482</v>
          </cell>
          <cell r="J177">
            <v>0</v>
          </cell>
          <cell r="P177">
            <v>241392</v>
          </cell>
        </row>
        <row r="178">
          <cell r="J178">
            <v>0</v>
          </cell>
          <cell r="P178">
            <v>0</v>
          </cell>
        </row>
        <row r="179">
          <cell r="E179">
            <v>0</v>
          </cell>
          <cell r="J179">
            <v>0</v>
          </cell>
          <cell r="P179">
            <v>0</v>
          </cell>
        </row>
        <row r="180">
          <cell r="E180">
            <v>24282162</v>
          </cell>
          <cell r="F180">
            <v>24282162</v>
          </cell>
          <cell r="G180">
            <v>13953970</v>
          </cell>
          <cell r="H180">
            <v>2508625</v>
          </cell>
          <cell r="J180">
            <v>102333</v>
          </cell>
          <cell r="K180">
            <v>102333</v>
          </cell>
          <cell r="L180">
            <v>60095</v>
          </cell>
          <cell r="N180">
            <v>0</v>
          </cell>
          <cell r="P180">
            <v>24384495</v>
          </cell>
        </row>
        <row r="181">
          <cell r="E181">
            <v>3063355</v>
          </cell>
          <cell r="F181">
            <v>3063355</v>
          </cell>
          <cell r="P181">
            <v>3063355</v>
          </cell>
        </row>
        <row r="182">
          <cell r="E182">
            <v>1756555</v>
          </cell>
          <cell r="F182">
            <v>1756555</v>
          </cell>
          <cell r="J182">
            <v>0</v>
          </cell>
          <cell r="N182">
            <v>0</v>
          </cell>
          <cell r="P182">
            <v>1756555</v>
          </cell>
        </row>
        <row r="183">
          <cell r="E183">
            <v>90500000</v>
          </cell>
          <cell r="F183">
            <v>90500000</v>
          </cell>
          <cell r="J183">
            <v>0</v>
          </cell>
          <cell r="P183">
            <v>90500000</v>
          </cell>
        </row>
        <row r="184">
          <cell r="E184">
            <v>90500000</v>
          </cell>
          <cell r="F184">
            <v>90500000</v>
          </cell>
          <cell r="P184">
            <v>90500000</v>
          </cell>
        </row>
        <row r="185">
          <cell r="E185">
            <v>0</v>
          </cell>
          <cell r="G185">
            <v>0</v>
          </cell>
          <cell r="H185">
            <v>0</v>
          </cell>
          <cell r="J185">
            <v>342900</v>
          </cell>
          <cell r="K185">
            <v>0</v>
          </cell>
          <cell r="L185">
            <v>0</v>
          </cell>
          <cell r="M185">
            <v>0</v>
          </cell>
          <cell r="N185">
            <v>342900</v>
          </cell>
          <cell r="O185">
            <v>342900</v>
          </cell>
          <cell r="P185">
            <v>342900</v>
          </cell>
        </row>
        <row r="186">
          <cell r="J186">
            <v>342900</v>
          </cell>
          <cell r="N186">
            <v>342900</v>
          </cell>
          <cell r="O186">
            <v>342900</v>
          </cell>
          <cell r="P186">
            <v>342900</v>
          </cell>
        </row>
        <row r="187">
          <cell r="J187">
            <v>0</v>
          </cell>
          <cell r="N187">
            <v>0</v>
          </cell>
          <cell r="P187">
            <v>0</v>
          </cell>
        </row>
        <row r="188">
          <cell r="E188">
            <v>55853598</v>
          </cell>
          <cell r="F188">
            <v>55853598</v>
          </cell>
          <cell r="G188">
            <v>0</v>
          </cell>
          <cell r="H188">
            <v>0</v>
          </cell>
          <cell r="J188">
            <v>0</v>
          </cell>
          <cell r="K188">
            <v>0</v>
          </cell>
          <cell r="L188">
            <v>0</v>
          </cell>
          <cell r="M188">
            <v>0</v>
          </cell>
          <cell r="O188">
            <v>0</v>
          </cell>
          <cell r="P188">
            <v>55853598</v>
          </cell>
        </row>
        <row r="189">
          <cell r="E189">
            <v>5697098</v>
          </cell>
          <cell r="F189">
            <v>5697098</v>
          </cell>
          <cell r="J189">
            <v>0</v>
          </cell>
          <cell r="P189">
            <v>5697098</v>
          </cell>
        </row>
        <row r="190">
          <cell r="E190">
            <v>5256998</v>
          </cell>
          <cell r="F190">
            <v>5256998</v>
          </cell>
          <cell r="P190">
            <v>5256998</v>
          </cell>
        </row>
        <row r="191">
          <cell r="E191">
            <v>1284900</v>
          </cell>
          <cell r="F191">
            <v>1284900</v>
          </cell>
          <cell r="J191">
            <v>0</v>
          </cell>
          <cell r="P191">
            <v>1284900</v>
          </cell>
        </row>
        <row r="192">
          <cell r="E192">
            <v>1284900</v>
          </cell>
          <cell r="F192">
            <v>1284900</v>
          </cell>
          <cell r="P192">
            <v>1284900</v>
          </cell>
        </row>
        <row r="193">
          <cell r="E193">
            <v>5808000</v>
          </cell>
          <cell r="F193">
            <v>5808000</v>
          </cell>
          <cell r="P193">
            <v>5808000</v>
          </cell>
        </row>
        <row r="194">
          <cell r="E194">
            <v>5808000</v>
          </cell>
          <cell r="F194">
            <v>5808000</v>
          </cell>
          <cell r="P194">
            <v>5808000</v>
          </cell>
        </row>
        <row r="195">
          <cell r="E195">
            <v>43063600</v>
          </cell>
          <cell r="F195">
            <v>43063600</v>
          </cell>
          <cell r="J195">
            <v>0</v>
          </cell>
          <cell r="P195">
            <v>43063600</v>
          </cell>
        </row>
        <row r="196">
          <cell r="E196">
            <v>41303200</v>
          </cell>
          <cell r="F196">
            <v>41303200</v>
          </cell>
          <cell r="P196">
            <v>41303200</v>
          </cell>
        </row>
        <row r="197">
          <cell r="E197">
            <v>0</v>
          </cell>
          <cell r="F197">
            <v>0</v>
          </cell>
          <cell r="G197">
            <v>0</v>
          </cell>
          <cell r="H197">
            <v>0</v>
          </cell>
          <cell r="J197">
            <v>0</v>
          </cell>
          <cell r="K197">
            <v>0</v>
          </cell>
          <cell r="L197">
            <v>0</v>
          </cell>
          <cell r="M197">
            <v>0</v>
          </cell>
          <cell r="N197">
            <v>0</v>
          </cell>
          <cell r="O197">
            <v>0</v>
          </cell>
          <cell r="P197">
            <v>0</v>
          </cell>
        </row>
        <row r="198">
          <cell r="J198">
            <v>0</v>
          </cell>
          <cell r="P198">
            <v>0</v>
          </cell>
        </row>
        <row r="199">
          <cell r="E199">
            <v>0</v>
          </cell>
          <cell r="G199">
            <v>0</v>
          </cell>
          <cell r="H199">
            <v>0</v>
          </cell>
          <cell r="J199">
            <v>0</v>
          </cell>
          <cell r="K199">
            <v>0</v>
          </cell>
          <cell r="L199">
            <v>0</v>
          </cell>
          <cell r="M199">
            <v>0</v>
          </cell>
          <cell r="N199">
            <v>0</v>
          </cell>
          <cell r="O199">
            <v>0</v>
          </cell>
          <cell r="P199">
            <v>0</v>
          </cell>
        </row>
        <row r="200">
          <cell r="J200">
            <v>0</v>
          </cell>
          <cell r="P200">
            <v>0</v>
          </cell>
        </row>
        <row r="201">
          <cell r="J201">
            <v>0</v>
          </cell>
          <cell r="P201">
            <v>0</v>
          </cell>
        </row>
        <row r="202">
          <cell r="J202">
            <v>0</v>
          </cell>
          <cell r="K202">
            <v>0</v>
          </cell>
          <cell r="L202">
            <v>0</v>
          </cell>
          <cell r="M202">
            <v>0</v>
          </cell>
          <cell r="N202">
            <v>0</v>
          </cell>
          <cell r="O202">
            <v>0</v>
          </cell>
          <cell r="P202">
            <v>0</v>
          </cell>
        </row>
        <row r="203">
          <cell r="E203">
            <v>3985513</v>
          </cell>
          <cell r="F203">
            <v>3985513</v>
          </cell>
          <cell r="G203">
            <v>2709858</v>
          </cell>
          <cell r="H203">
            <v>161088</v>
          </cell>
          <cell r="I203">
            <v>0</v>
          </cell>
          <cell r="J203">
            <v>0</v>
          </cell>
          <cell r="K203">
            <v>0</v>
          </cell>
          <cell r="L203">
            <v>0</v>
          </cell>
          <cell r="M203">
            <v>0</v>
          </cell>
          <cell r="N203">
            <v>0</v>
          </cell>
          <cell r="O203">
            <v>0</v>
          </cell>
          <cell r="P203">
            <v>3985513</v>
          </cell>
        </row>
        <row r="204">
          <cell r="E204">
            <v>3985513</v>
          </cell>
          <cell r="F204">
            <v>3985513</v>
          </cell>
          <cell r="G204">
            <v>2709858</v>
          </cell>
          <cell r="H204">
            <v>161088</v>
          </cell>
          <cell r="J204">
            <v>0</v>
          </cell>
          <cell r="N204">
            <v>0</v>
          </cell>
          <cell r="O204">
            <v>0</v>
          </cell>
          <cell r="P204">
            <v>3985513</v>
          </cell>
        </row>
        <row r="205">
          <cell r="E205">
            <v>3985513</v>
          </cell>
          <cell r="F205">
            <v>3985513</v>
          </cell>
          <cell r="G205">
            <v>2709858</v>
          </cell>
          <cell r="H205">
            <v>161088</v>
          </cell>
          <cell r="J205">
            <v>0</v>
          </cell>
          <cell r="N205">
            <v>0</v>
          </cell>
          <cell r="P205">
            <v>3985513</v>
          </cell>
        </row>
        <row r="206">
          <cell r="E206">
            <v>0</v>
          </cell>
          <cell r="F206">
            <v>0</v>
          </cell>
          <cell r="P206">
            <v>0</v>
          </cell>
        </row>
        <row r="207">
          <cell r="E207">
            <v>0</v>
          </cell>
          <cell r="P207">
            <v>0</v>
          </cell>
        </row>
        <row r="208">
          <cell r="J208">
            <v>0</v>
          </cell>
          <cell r="K208">
            <v>0</v>
          </cell>
          <cell r="L208">
            <v>0</v>
          </cell>
          <cell r="M208">
            <v>0</v>
          </cell>
          <cell r="N208">
            <v>0</v>
          </cell>
          <cell r="O208">
            <v>0</v>
          </cell>
          <cell r="P208">
            <v>0</v>
          </cell>
        </row>
        <row r="209">
          <cell r="J209">
            <v>0</v>
          </cell>
          <cell r="P209">
            <v>0</v>
          </cell>
        </row>
        <row r="210">
          <cell r="E210">
            <v>1140828</v>
          </cell>
          <cell r="F210">
            <v>1140828</v>
          </cell>
          <cell r="G210">
            <v>704591</v>
          </cell>
          <cell r="H210">
            <v>48481</v>
          </cell>
          <cell r="J210">
            <v>0</v>
          </cell>
          <cell r="K210">
            <v>0</v>
          </cell>
          <cell r="N210">
            <v>0</v>
          </cell>
          <cell r="O210">
            <v>0</v>
          </cell>
          <cell r="P210">
            <v>1140828</v>
          </cell>
        </row>
        <row r="211">
          <cell r="E211">
            <v>1140828</v>
          </cell>
          <cell r="F211">
            <v>1140828</v>
          </cell>
          <cell r="G211">
            <v>704591</v>
          </cell>
          <cell r="H211">
            <v>48481</v>
          </cell>
          <cell r="J211">
            <v>0</v>
          </cell>
          <cell r="K211">
            <v>0</v>
          </cell>
          <cell r="N211">
            <v>0</v>
          </cell>
          <cell r="O211">
            <v>0</v>
          </cell>
          <cell r="P211">
            <v>1140828</v>
          </cell>
        </row>
        <row r="212">
          <cell r="E212">
            <v>1140828</v>
          </cell>
          <cell r="F212">
            <v>1140828</v>
          </cell>
          <cell r="G212">
            <v>704591</v>
          </cell>
          <cell r="H212">
            <v>48481</v>
          </cell>
          <cell r="J212">
            <v>0</v>
          </cell>
          <cell r="N212">
            <v>0</v>
          </cell>
          <cell r="P212">
            <v>1140828</v>
          </cell>
        </row>
        <row r="213">
          <cell r="E213">
            <v>100496364</v>
          </cell>
          <cell r="F213">
            <v>100496364</v>
          </cell>
          <cell r="G213">
            <v>57837177</v>
          </cell>
          <cell r="H213">
            <v>7452239</v>
          </cell>
          <cell r="J213">
            <v>5816878</v>
          </cell>
          <cell r="K213">
            <v>5746189</v>
          </cell>
          <cell r="L213">
            <v>2964454</v>
          </cell>
          <cell r="M213">
            <v>929070</v>
          </cell>
          <cell r="N213">
            <v>70689</v>
          </cell>
          <cell r="O213">
            <v>0</v>
          </cell>
          <cell r="P213">
            <v>106313242</v>
          </cell>
        </row>
        <row r="214">
          <cell r="E214">
            <v>1093903</v>
          </cell>
          <cell r="F214">
            <v>1093903</v>
          </cell>
          <cell r="G214">
            <v>731884</v>
          </cell>
          <cell r="H214">
            <v>60743</v>
          </cell>
          <cell r="J214">
            <v>0</v>
          </cell>
          <cell r="P214">
            <v>1093903</v>
          </cell>
        </row>
        <row r="215">
          <cell r="E215">
            <v>1093903</v>
          </cell>
          <cell r="F215">
            <v>1093903</v>
          </cell>
          <cell r="G215">
            <v>731884</v>
          </cell>
          <cell r="H215">
            <v>60743</v>
          </cell>
          <cell r="J215">
            <v>0</v>
          </cell>
          <cell r="P215">
            <v>1093903</v>
          </cell>
        </row>
        <row r="216">
          <cell r="E216">
            <v>99402461</v>
          </cell>
          <cell r="F216">
            <v>99402461</v>
          </cell>
          <cell r="G216">
            <v>57105293</v>
          </cell>
          <cell r="H216">
            <v>7391496</v>
          </cell>
          <cell r="J216">
            <v>5816878</v>
          </cell>
          <cell r="K216">
            <v>5746189</v>
          </cell>
          <cell r="L216">
            <v>2964454</v>
          </cell>
          <cell r="M216">
            <v>929070</v>
          </cell>
          <cell r="N216">
            <v>70689</v>
          </cell>
          <cell r="O216">
            <v>0</v>
          </cell>
          <cell r="P216">
            <v>105219339</v>
          </cell>
        </row>
        <row r="217">
          <cell r="E217">
            <v>5865626</v>
          </cell>
          <cell r="F217">
            <v>5865626</v>
          </cell>
          <cell r="J217">
            <v>0</v>
          </cell>
          <cell r="N217">
            <v>0</v>
          </cell>
          <cell r="P217">
            <v>5865626</v>
          </cell>
        </row>
        <row r="218">
          <cell r="E218">
            <v>18951291</v>
          </cell>
          <cell r="F218">
            <v>18951291</v>
          </cell>
          <cell r="G218">
            <v>10597707</v>
          </cell>
          <cell r="H218">
            <v>1849301</v>
          </cell>
          <cell r="J218">
            <v>6500</v>
          </cell>
          <cell r="K218">
            <v>6500</v>
          </cell>
          <cell r="M218">
            <v>3487</v>
          </cell>
          <cell r="N218">
            <v>0</v>
          </cell>
          <cell r="P218">
            <v>18957791</v>
          </cell>
        </row>
        <row r="219">
          <cell r="E219">
            <v>13097262</v>
          </cell>
          <cell r="F219">
            <v>13097262</v>
          </cell>
          <cell r="G219">
            <v>6416026</v>
          </cell>
          <cell r="H219">
            <v>3274473</v>
          </cell>
          <cell r="J219">
            <v>1708746</v>
          </cell>
          <cell r="K219">
            <v>1638057</v>
          </cell>
          <cell r="L219">
            <v>568683</v>
          </cell>
          <cell r="M219">
            <v>328074</v>
          </cell>
          <cell r="N219">
            <v>70689</v>
          </cell>
          <cell r="P219">
            <v>14806008</v>
          </cell>
        </row>
        <row r="220">
          <cell r="E220">
            <v>55151294</v>
          </cell>
          <cell r="F220">
            <v>55151294</v>
          </cell>
          <cell r="G220">
            <v>38395335</v>
          </cell>
          <cell r="H220">
            <v>2160793</v>
          </cell>
          <cell r="J220">
            <v>4100000</v>
          </cell>
          <cell r="K220">
            <v>4100000</v>
          </cell>
          <cell r="L220">
            <v>2395771</v>
          </cell>
          <cell r="M220">
            <v>596999</v>
          </cell>
          <cell r="N220">
            <v>0</v>
          </cell>
          <cell r="P220">
            <v>59251294</v>
          </cell>
        </row>
        <row r="221">
          <cell r="E221">
            <v>0</v>
          </cell>
          <cell r="J221">
            <v>0</v>
          </cell>
          <cell r="P221">
            <v>0</v>
          </cell>
        </row>
        <row r="222">
          <cell r="E222">
            <v>0</v>
          </cell>
          <cell r="P222">
            <v>0</v>
          </cell>
        </row>
        <row r="223">
          <cell r="E223">
            <v>1892351</v>
          </cell>
          <cell r="F223">
            <v>1892351</v>
          </cell>
          <cell r="P223">
            <v>1892351</v>
          </cell>
        </row>
        <row r="224">
          <cell r="E224">
            <v>4444637</v>
          </cell>
          <cell r="F224">
            <v>4444637</v>
          </cell>
          <cell r="G224">
            <v>1696225</v>
          </cell>
          <cell r="H224">
            <v>106929</v>
          </cell>
          <cell r="J224">
            <v>1632</v>
          </cell>
          <cell r="K224">
            <v>1632</v>
          </cell>
          <cell r="M224">
            <v>510</v>
          </cell>
          <cell r="N224">
            <v>0</v>
          </cell>
          <cell r="P224">
            <v>4446269</v>
          </cell>
        </row>
        <row r="225">
          <cell r="E225">
            <v>0</v>
          </cell>
          <cell r="J225">
            <v>0</v>
          </cell>
          <cell r="N225">
            <v>0</v>
          </cell>
          <cell r="P225">
            <v>0</v>
          </cell>
        </row>
        <row r="226">
          <cell r="E226">
            <v>0</v>
          </cell>
          <cell r="J226">
            <v>0</v>
          </cell>
          <cell r="N226">
            <v>0</v>
          </cell>
          <cell r="P226">
            <v>0</v>
          </cell>
        </row>
        <row r="227">
          <cell r="E227">
            <v>0</v>
          </cell>
          <cell r="G227">
            <v>0</v>
          </cell>
          <cell r="H227">
            <v>0</v>
          </cell>
          <cell r="J227">
            <v>0</v>
          </cell>
          <cell r="K227">
            <v>0</v>
          </cell>
          <cell r="L227">
            <v>0</v>
          </cell>
          <cell r="M227">
            <v>0</v>
          </cell>
          <cell r="N227">
            <v>0</v>
          </cell>
          <cell r="O227">
            <v>0</v>
          </cell>
          <cell r="P227">
            <v>0</v>
          </cell>
        </row>
        <row r="228">
          <cell r="J228">
            <v>0</v>
          </cell>
          <cell r="P228">
            <v>0</v>
          </cell>
        </row>
        <row r="229">
          <cell r="E229">
            <v>0</v>
          </cell>
          <cell r="G229">
            <v>0</v>
          </cell>
          <cell r="H229">
            <v>0</v>
          </cell>
          <cell r="J229">
            <v>0</v>
          </cell>
          <cell r="K229">
            <v>0</v>
          </cell>
          <cell r="L229">
            <v>0</v>
          </cell>
          <cell r="M229">
            <v>0</v>
          </cell>
          <cell r="N229">
            <v>0</v>
          </cell>
          <cell r="O229">
            <v>0</v>
          </cell>
          <cell r="P229">
            <v>0</v>
          </cell>
        </row>
        <row r="230">
          <cell r="J230">
            <v>0</v>
          </cell>
          <cell r="P230">
            <v>0</v>
          </cell>
        </row>
        <row r="231">
          <cell r="P231">
            <v>0</v>
          </cell>
        </row>
        <row r="232">
          <cell r="E232">
            <v>0</v>
          </cell>
          <cell r="G232">
            <v>0</v>
          </cell>
          <cell r="H232">
            <v>0</v>
          </cell>
          <cell r="J232">
            <v>0</v>
          </cell>
          <cell r="K232">
            <v>0</v>
          </cell>
          <cell r="L232">
            <v>0</v>
          </cell>
          <cell r="M232">
            <v>0</v>
          </cell>
          <cell r="N232">
            <v>0</v>
          </cell>
          <cell r="O232">
            <v>0</v>
          </cell>
          <cell r="P232">
            <v>0</v>
          </cell>
        </row>
        <row r="233">
          <cell r="E233">
            <v>0</v>
          </cell>
          <cell r="G233">
            <v>0</v>
          </cell>
          <cell r="H233">
            <v>0</v>
          </cell>
          <cell r="J233">
            <v>0</v>
          </cell>
          <cell r="N233">
            <v>0</v>
          </cell>
          <cell r="O233">
            <v>0</v>
          </cell>
          <cell r="P233">
            <v>0</v>
          </cell>
        </row>
        <row r="234">
          <cell r="E234">
            <v>0</v>
          </cell>
          <cell r="G234">
            <v>0</v>
          </cell>
          <cell r="J234">
            <v>0</v>
          </cell>
          <cell r="N234">
            <v>0</v>
          </cell>
          <cell r="O234">
            <v>0</v>
          </cell>
          <cell r="P234">
            <v>0</v>
          </cell>
        </row>
        <row r="235">
          <cell r="E235">
            <v>5343225</v>
          </cell>
          <cell r="F235">
            <v>5343225</v>
          </cell>
          <cell r="G235">
            <v>3519653</v>
          </cell>
          <cell r="H235">
            <v>97733</v>
          </cell>
          <cell r="J235">
            <v>10280415</v>
          </cell>
          <cell r="K235">
            <v>0</v>
          </cell>
          <cell r="L235">
            <v>0</v>
          </cell>
          <cell r="M235">
            <v>0</v>
          </cell>
          <cell r="N235">
            <v>10280415</v>
          </cell>
          <cell r="O235">
            <v>10280415</v>
          </cell>
          <cell r="P235">
            <v>15623640</v>
          </cell>
        </row>
        <row r="236">
          <cell r="E236">
            <v>5343225</v>
          </cell>
          <cell r="F236">
            <v>5343225</v>
          </cell>
          <cell r="G236">
            <v>3519653</v>
          </cell>
          <cell r="H236">
            <v>97733</v>
          </cell>
          <cell r="J236">
            <v>0</v>
          </cell>
          <cell r="N236">
            <v>0</v>
          </cell>
          <cell r="O236">
            <v>0</v>
          </cell>
          <cell r="P236">
            <v>5343225</v>
          </cell>
        </row>
        <row r="237">
          <cell r="E237">
            <v>5343225</v>
          </cell>
          <cell r="F237">
            <v>5343225</v>
          </cell>
          <cell r="G237">
            <v>3519653</v>
          </cell>
          <cell r="H237">
            <v>97733</v>
          </cell>
          <cell r="J237">
            <v>0</v>
          </cell>
          <cell r="N237">
            <v>0</v>
          </cell>
          <cell r="P237">
            <v>5343225</v>
          </cell>
        </row>
        <row r="238">
          <cell r="J238">
            <v>10280415</v>
          </cell>
          <cell r="N238">
            <v>10280415</v>
          </cell>
          <cell r="O238">
            <v>10280415</v>
          </cell>
          <cell r="P238">
            <v>10280415</v>
          </cell>
        </row>
        <row r="239">
          <cell r="J239">
            <v>10280415</v>
          </cell>
          <cell r="N239">
            <v>10280415</v>
          </cell>
          <cell r="O239">
            <v>10280415</v>
          </cell>
          <cell r="P239">
            <v>10280415</v>
          </cell>
        </row>
        <row r="240">
          <cell r="E240">
            <v>0</v>
          </cell>
          <cell r="F240">
            <v>0</v>
          </cell>
          <cell r="G240">
            <v>0</v>
          </cell>
          <cell r="H240">
            <v>0</v>
          </cell>
          <cell r="J240">
            <v>0</v>
          </cell>
          <cell r="K240">
            <v>0</v>
          </cell>
          <cell r="L240">
            <v>0</v>
          </cell>
          <cell r="M240">
            <v>0</v>
          </cell>
          <cell r="N240">
            <v>0</v>
          </cell>
          <cell r="O240">
            <v>0</v>
          </cell>
          <cell r="P240">
            <v>0</v>
          </cell>
        </row>
        <row r="241">
          <cell r="E241">
            <v>0</v>
          </cell>
          <cell r="J241">
            <v>0</v>
          </cell>
          <cell r="P241">
            <v>0</v>
          </cell>
        </row>
        <row r="242">
          <cell r="P242">
            <v>0</v>
          </cell>
        </row>
        <row r="243">
          <cell r="J243">
            <v>0</v>
          </cell>
          <cell r="K243">
            <v>0</v>
          </cell>
          <cell r="P243">
            <v>0</v>
          </cell>
        </row>
        <row r="244">
          <cell r="J244">
            <v>0</v>
          </cell>
          <cell r="P244">
            <v>0</v>
          </cell>
        </row>
        <row r="245">
          <cell r="E245">
            <v>0</v>
          </cell>
          <cell r="F245">
            <v>0</v>
          </cell>
          <cell r="P245">
            <v>0</v>
          </cell>
        </row>
        <row r="246">
          <cell r="E246">
            <v>0</v>
          </cell>
          <cell r="F246">
            <v>0</v>
          </cell>
          <cell r="I246">
            <v>0</v>
          </cell>
          <cell r="P246">
            <v>0</v>
          </cell>
        </row>
        <row r="247">
          <cell r="E247">
            <v>0</v>
          </cell>
          <cell r="P247">
            <v>0</v>
          </cell>
        </row>
        <row r="248">
          <cell r="E248">
            <v>292482378</v>
          </cell>
          <cell r="F248">
            <v>292482378</v>
          </cell>
          <cell r="G248">
            <v>3202618</v>
          </cell>
          <cell r="H248">
            <v>308455</v>
          </cell>
          <cell r="I248">
            <v>0</v>
          </cell>
          <cell r="J248">
            <v>438545108</v>
          </cell>
          <cell r="K248">
            <v>0</v>
          </cell>
          <cell r="L248">
            <v>0</v>
          </cell>
          <cell r="M248">
            <v>0</v>
          </cell>
          <cell r="N248">
            <v>438545108</v>
          </cell>
          <cell r="O248">
            <v>438247608</v>
          </cell>
          <cell r="P248">
            <v>731027486</v>
          </cell>
        </row>
        <row r="249">
          <cell r="E249">
            <v>5026909</v>
          </cell>
          <cell r="F249">
            <v>5026909</v>
          </cell>
          <cell r="G249">
            <v>3202618</v>
          </cell>
          <cell r="H249">
            <v>308455</v>
          </cell>
          <cell r="J249">
            <v>0</v>
          </cell>
          <cell r="N249">
            <v>0</v>
          </cell>
          <cell r="O249">
            <v>0</v>
          </cell>
          <cell r="P249">
            <v>5026909</v>
          </cell>
        </row>
        <row r="250">
          <cell r="E250">
            <v>5026909</v>
          </cell>
          <cell r="F250">
            <v>5026909</v>
          </cell>
          <cell r="G250">
            <v>3202618</v>
          </cell>
          <cell r="H250">
            <v>308455</v>
          </cell>
          <cell r="J250">
            <v>0</v>
          </cell>
          <cell r="N250">
            <v>0</v>
          </cell>
          <cell r="P250">
            <v>5026909</v>
          </cell>
        </row>
        <row r="251">
          <cell r="E251">
            <v>353900</v>
          </cell>
          <cell r="F251">
            <v>353900</v>
          </cell>
          <cell r="G251">
            <v>0</v>
          </cell>
          <cell r="H251">
            <v>0</v>
          </cell>
          <cell r="J251">
            <v>0</v>
          </cell>
          <cell r="P251">
            <v>353900</v>
          </cell>
        </row>
        <row r="252">
          <cell r="E252">
            <v>353900</v>
          </cell>
          <cell r="F252">
            <v>353900</v>
          </cell>
          <cell r="J252">
            <v>0</v>
          </cell>
          <cell r="P252">
            <v>353900</v>
          </cell>
        </row>
        <row r="253">
          <cell r="E253">
            <v>117976621</v>
          </cell>
          <cell r="F253">
            <v>117976621</v>
          </cell>
          <cell r="G253">
            <v>0</v>
          </cell>
          <cell r="H253">
            <v>0</v>
          </cell>
          <cell r="J253">
            <v>209122338</v>
          </cell>
          <cell r="K253">
            <v>0</v>
          </cell>
          <cell r="L253">
            <v>0</v>
          </cell>
          <cell r="M253">
            <v>0</v>
          </cell>
          <cell r="N253">
            <v>209122338</v>
          </cell>
          <cell r="O253">
            <v>209122338</v>
          </cell>
          <cell r="P253">
            <v>327098959</v>
          </cell>
        </row>
        <row r="254">
          <cell r="E254">
            <v>34949374</v>
          </cell>
          <cell r="F254">
            <v>34949374</v>
          </cell>
          <cell r="J254">
            <v>0</v>
          </cell>
          <cell r="P254">
            <v>34949374</v>
          </cell>
        </row>
        <row r="255">
          <cell r="E255">
            <v>34949374</v>
          </cell>
          <cell r="F255">
            <v>34949374</v>
          </cell>
          <cell r="J255">
            <v>0</v>
          </cell>
          <cell r="P255">
            <v>34949374</v>
          </cell>
        </row>
        <row r="256">
          <cell r="E256">
            <v>0</v>
          </cell>
          <cell r="J256">
            <v>0</v>
          </cell>
          <cell r="P256">
            <v>0</v>
          </cell>
        </row>
        <row r="257">
          <cell r="E257">
            <v>0</v>
          </cell>
          <cell r="P257">
            <v>0</v>
          </cell>
        </row>
        <row r="258">
          <cell r="P258">
            <v>0</v>
          </cell>
        </row>
        <row r="259">
          <cell r="E259">
            <v>0</v>
          </cell>
          <cell r="P259">
            <v>0</v>
          </cell>
        </row>
        <row r="263">
          <cell r="E263">
            <v>0</v>
          </cell>
          <cell r="J263">
            <v>192105143</v>
          </cell>
          <cell r="N263">
            <v>192105143</v>
          </cell>
          <cell r="O263">
            <v>192105143</v>
          </cell>
          <cell r="P263">
            <v>192105143</v>
          </cell>
        </row>
        <row r="264">
          <cell r="E264">
            <v>0</v>
          </cell>
          <cell r="J264">
            <v>0</v>
          </cell>
          <cell r="P264">
            <v>0</v>
          </cell>
        </row>
        <row r="265">
          <cell r="E265">
            <v>0</v>
          </cell>
          <cell r="J265">
            <v>15000000</v>
          </cell>
          <cell r="N265">
            <v>15000000</v>
          </cell>
          <cell r="O265">
            <v>15000000</v>
          </cell>
          <cell r="P265">
            <v>15000000</v>
          </cell>
        </row>
        <row r="266">
          <cell r="E266">
            <v>0</v>
          </cell>
          <cell r="J266">
            <v>0</v>
          </cell>
          <cell r="P266">
            <v>0</v>
          </cell>
        </row>
        <row r="267">
          <cell r="E267">
            <v>0</v>
          </cell>
          <cell r="F267">
            <v>0</v>
          </cell>
          <cell r="G267">
            <v>0</v>
          </cell>
          <cell r="H267">
            <v>0</v>
          </cell>
          <cell r="I267">
            <v>0</v>
          </cell>
          <cell r="J267">
            <v>0</v>
          </cell>
          <cell r="K267">
            <v>0</v>
          </cell>
          <cell r="L267">
            <v>0</v>
          </cell>
          <cell r="M267">
            <v>0</v>
          </cell>
          <cell r="N267">
            <v>0</v>
          </cell>
          <cell r="O267">
            <v>0</v>
          </cell>
          <cell r="P267">
            <v>0</v>
          </cell>
        </row>
        <row r="268">
          <cell r="E268">
            <v>83027247</v>
          </cell>
          <cell r="F268">
            <v>83027247</v>
          </cell>
          <cell r="J268">
            <v>2017195</v>
          </cell>
          <cell r="N268">
            <v>2017195</v>
          </cell>
          <cell r="O268">
            <v>2017195</v>
          </cell>
          <cell r="P268">
            <v>85044442</v>
          </cell>
        </row>
        <row r="269">
          <cell r="J269">
            <v>0</v>
          </cell>
          <cell r="P269">
            <v>0</v>
          </cell>
        </row>
        <row r="270">
          <cell r="E270">
            <v>0</v>
          </cell>
          <cell r="F270">
            <v>0</v>
          </cell>
          <cell r="G270">
            <v>0</v>
          </cell>
          <cell r="H270">
            <v>0</v>
          </cell>
          <cell r="J270">
            <v>140217796</v>
          </cell>
          <cell r="K270">
            <v>0</v>
          </cell>
          <cell r="L270">
            <v>0</v>
          </cell>
          <cell r="M270">
            <v>0</v>
          </cell>
          <cell r="N270">
            <v>140217796</v>
          </cell>
          <cell r="O270">
            <v>140217796</v>
          </cell>
          <cell r="P270">
            <v>140217796</v>
          </cell>
        </row>
        <row r="271">
          <cell r="E271">
            <v>0</v>
          </cell>
          <cell r="J271">
            <v>140217796</v>
          </cell>
          <cell r="N271">
            <v>140217796</v>
          </cell>
          <cell r="O271">
            <v>140217796</v>
          </cell>
          <cell r="P271">
            <v>140217796</v>
          </cell>
        </row>
        <row r="272">
          <cell r="E272">
            <v>0</v>
          </cell>
          <cell r="J272">
            <v>0</v>
          </cell>
          <cell r="N272">
            <v>0</v>
          </cell>
          <cell r="P272">
            <v>0</v>
          </cell>
        </row>
        <row r="273">
          <cell r="J273">
            <v>0</v>
          </cell>
          <cell r="N273">
            <v>0</v>
          </cell>
          <cell r="P273">
            <v>0</v>
          </cell>
        </row>
        <row r="274">
          <cell r="E274">
            <v>115685741</v>
          </cell>
          <cell r="F274">
            <v>115685741</v>
          </cell>
          <cell r="G274">
            <v>0</v>
          </cell>
          <cell r="H274">
            <v>0</v>
          </cell>
          <cell r="J274">
            <v>87297474</v>
          </cell>
          <cell r="K274">
            <v>0</v>
          </cell>
          <cell r="L274">
            <v>0</v>
          </cell>
          <cell r="M274">
            <v>0</v>
          </cell>
          <cell r="N274">
            <v>87297474</v>
          </cell>
          <cell r="O274">
            <v>87297474</v>
          </cell>
          <cell r="P274">
            <v>202983215</v>
          </cell>
        </row>
        <row r="275">
          <cell r="E275">
            <v>115685741</v>
          </cell>
          <cell r="F275">
            <v>115685741</v>
          </cell>
          <cell r="J275">
            <v>87297474</v>
          </cell>
          <cell r="N275">
            <v>87297474</v>
          </cell>
          <cell r="O275">
            <v>87297474</v>
          </cell>
          <cell r="P275">
            <v>202983215</v>
          </cell>
        </row>
        <row r="276">
          <cell r="J276">
            <v>0</v>
          </cell>
          <cell r="P276">
            <v>0</v>
          </cell>
        </row>
        <row r="277">
          <cell r="E277">
            <v>0</v>
          </cell>
          <cell r="F277">
            <v>0</v>
          </cell>
          <cell r="G277">
            <v>0</v>
          </cell>
          <cell r="H277">
            <v>0</v>
          </cell>
          <cell r="J277">
            <v>0</v>
          </cell>
          <cell r="K277">
            <v>0</v>
          </cell>
          <cell r="L277">
            <v>0</v>
          </cell>
          <cell r="M277">
            <v>0</v>
          </cell>
          <cell r="N277">
            <v>0</v>
          </cell>
          <cell r="O277">
            <v>0</v>
          </cell>
          <cell r="P277">
            <v>0</v>
          </cell>
        </row>
        <row r="278">
          <cell r="J278">
            <v>0</v>
          </cell>
          <cell r="N278">
            <v>0</v>
          </cell>
          <cell r="P278">
            <v>0</v>
          </cell>
        </row>
        <row r="279">
          <cell r="I279">
            <v>0</v>
          </cell>
          <cell r="J279">
            <v>1610000</v>
          </cell>
          <cell r="N279">
            <v>1610000</v>
          </cell>
          <cell r="O279">
            <v>1610000</v>
          </cell>
          <cell r="P279">
            <v>1610000</v>
          </cell>
        </row>
        <row r="280">
          <cell r="J280">
            <v>1610000</v>
          </cell>
          <cell r="N280">
            <v>1610000</v>
          </cell>
          <cell r="O280">
            <v>1610000</v>
          </cell>
          <cell r="P280">
            <v>1610000</v>
          </cell>
        </row>
        <row r="281">
          <cell r="E281">
            <v>0</v>
          </cell>
          <cell r="F281">
            <v>0</v>
          </cell>
          <cell r="P281">
            <v>0</v>
          </cell>
        </row>
        <row r="282">
          <cell r="E282">
            <v>0</v>
          </cell>
          <cell r="P282">
            <v>0</v>
          </cell>
        </row>
        <row r="283">
          <cell r="E283">
            <v>0</v>
          </cell>
          <cell r="F283">
            <v>0</v>
          </cell>
          <cell r="I283">
            <v>0</v>
          </cell>
          <cell r="J283">
            <v>297500</v>
          </cell>
          <cell r="K283">
            <v>0</v>
          </cell>
          <cell r="L283">
            <v>0</v>
          </cell>
          <cell r="M283">
            <v>0</v>
          </cell>
          <cell r="N283">
            <v>297500</v>
          </cell>
          <cell r="O283">
            <v>0</v>
          </cell>
          <cell r="P283">
            <v>297500</v>
          </cell>
        </row>
        <row r="284">
          <cell r="E284">
            <v>0</v>
          </cell>
          <cell r="J284">
            <v>297500</v>
          </cell>
          <cell r="K284">
            <v>0</v>
          </cell>
          <cell r="N284">
            <v>297500</v>
          </cell>
          <cell r="P284">
            <v>297500</v>
          </cell>
        </row>
        <row r="285">
          <cell r="E285">
            <v>53439207</v>
          </cell>
          <cell r="F285">
            <v>53439207</v>
          </cell>
          <cell r="G285">
            <v>0</v>
          </cell>
          <cell r="H285">
            <v>0</v>
          </cell>
          <cell r="J285">
            <v>0</v>
          </cell>
          <cell r="K285">
            <v>0</v>
          </cell>
          <cell r="L285">
            <v>0</v>
          </cell>
          <cell r="M285">
            <v>0</v>
          </cell>
          <cell r="N285">
            <v>0</v>
          </cell>
          <cell r="O285">
            <v>0</v>
          </cell>
          <cell r="P285">
            <v>53439207</v>
          </cell>
        </row>
        <row r="286">
          <cell r="E286">
            <v>53439207</v>
          </cell>
          <cell r="F286">
            <v>53439207</v>
          </cell>
          <cell r="J286">
            <v>0</v>
          </cell>
          <cell r="N286">
            <v>0</v>
          </cell>
          <cell r="O286">
            <v>0</v>
          </cell>
          <cell r="P286">
            <v>53439207</v>
          </cell>
        </row>
        <row r="287">
          <cell r="E287">
            <v>0</v>
          </cell>
          <cell r="F287">
            <v>0</v>
          </cell>
          <cell r="J287">
            <v>0</v>
          </cell>
          <cell r="N287">
            <v>0</v>
          </cell>
          <cell r="P287">
            <v>0</v>
          </cell>
        </row>
        <row r="288">
          <cell r="E288">
            <v>50000000</v>
          </cell>
          <cell r="F288">
            <v>50000000</v>
          </cell>
          <cell r="J288">
            <v>0</v>
          </cell>
          <cell r="P288">
            <v>50000000</v>
          </cell>
        </row>
        <row r="289">
          <cell r="E289">
            <v>0</v>
          </cell>
          <cell r="P289">
            <v>0</v>
          </cell>
        </row>
        <row r="290">
          <cell r="E290">
            <v>308836</v>
          </cell>
          <cell r="F290">
            <v>308836</v>
          </cell>
          <cell r="J290">
            <v>0</v>
          </cell>
          <cell r="P290">
            <v>308836</v>
          </cell>
        </row>
        <row r="291">
          <cell r="E291">
            <v>353947</v>
          </cell>
          <cell r="F291">
            <v>353947</v>
          </cell>
          <cell r="J291">
            <v>0</v>
          </cell>
          <cell r="P291">
            <v>353947</v>
          </cell>
        </row>
        <row r="292">
          <cell r="E292">
            <v>2776424</v>
          </cell>
          <cell r="F292">
            <v>2776424</v>
          </cell>
          <cell r="J292">
            <v>0</v>
          </cell>
          <cell r="N292">
            <v>0</v>
          </cell>
          <cell r="P292">
            <v>2776424</v>
          </cell>
        </row>
        <row r="293">
          <cell r="E293">
            <v>0</v>
          </cell>
        </row>
        <row r="294">
          <cell r="E294">
            <v>0</v>
          </cell>
          <cell r="J294">
            <v>0</v>
          </cell>
          <cell r="N294">
            <v>0</v>
          </cell>
          <cell r="P294">
            <v>0</v>
          </cell>
        </row>
        <row r="295">
          <cell r="E295">
            <v>4417388</v>
          </cell>
          <cell r="F295">
            <v>4417388</v>
          </cell>
          <cell r="G295">
            <v>2496019</v>
          </cell>
          <cell r="H295">
            <v>190000</v>
          </cell>
          <cell r="J295">
            <v>0</v>
          </cell>
          <cell r="K295">
            <v>0</v>
          </cell>
          <cell r="L295">
            <v>0</v>
          </cell>
          <cell r="M295">
            <v>0</v>
          </cell>
          <cell r="N295">
            <v>0</v>
          </cell>
          <cell r="O295">
            <v>0</v>
          </cell>
          <cell r="P295">
            <v>4417388</v>
          </cell>
        </row>
        <row r="296">
          <cell r="E296">
            <v>4417388</v>
          </cell>
          <cell r="F296">
            <v>4417388</v>
          </cell>
          <cell r="G296">
            <v>2496019</v>
          </cell>
          <cell r="H296">
            <v>190000</v>
          </cell>
          <cell r="J296">
            <v>0</v>
          </cell>
          <cell r="N296">
            <v>0</v>
          </cell>
          <cell r="O296">
            <v>0</v>
          </cell>
          <cell r="P296">
            <v>4417388</v>
          </cell>
        </row>
        <row r="297">
          <cell r="E297">
            <v>4417388</v>
          </cell>
          <cell r="F297">
            <v>4417388</v>
          </cell>
          <cell r="G297">
            <v>2496019</v>
          </cell>
          <cell r="H297">
            <v>190000</v>
          </cell>
          <cell r="J297">
            <v>0</v>
          </cell>
          <cell r="N297">
            <v>0</v>
          </cell>
          <cell r="P297">
            <v>4417388</v>
          </cell>
        </row>
        <row r="298">
          <cell r="J298">
            <v>0</v>
          </cell>
          <cell r="P298">
            <v>0</v>
          </cell>
        </row>
        <row r="299">
          <cell r="J299">
            <v>0</v>
          </cell>
          <cell r="P299">
            <v>0</v>
          </cell>
        </row>
        <row r="300">
          <cell r="J300">
            <v>0</v>
          </cell>
          <cell r="K300">
            <v>0</v>
          </cell>
          <cell r="L300">
            <v>0</v>
          </cell>
          <cell r="M300">
            <v>0</v>
          </cell>
          <cell r="N300">
            <v>0</v>
          </cell>
          <cell r="O300">
            <v>0</v>
          </cell>
          <cell r="P300">
            <v>0</v>
          </cell>
        </row>
        <row r="301">
          <cell r="J301">
            <v>0</v>
          </cell>
          <cell r="P301">
            <v>0</v>
          </cell>
        </row>
        <row r="302">
          <cell r="E302">
            <v>0</v>
          </cell>
          <cell r="F302">
            <v>0</v>
          </cell>
          <cell r="G302">
            <v>0</v>
          </cell>
          <cell r="H302">
            <v>0</v>
          </cell>
          <cell r="J302">
            <v>0</v>
          </cell>
          <cell r="K302">
            <v>0</v>
          </cell>
          <cell r="L302">
            <v>0</v>
          </cell>
          <cell r="M302">
            <v>0</v>
          </cell>
          <cell r="N302">
            <v>0</v>
          </cell>
          <cell r="O302">
            <v>0</v>
          </cell>
          <cell r="P302">
            <v>0</v>
          </cell>
        </row>
        <row r="303">
          <cell r="E303">
            <v>0</v>
          </cell>
          <cell r="F303">
            <v>0</v>
          </cell>
          <cell r="I303">
            <v>0</v>
          </cell>
          <cell r="J303">
            <v>0</v>
          </cell>
          <cell r="P303">
            <v>0</v>
          </cell>
        </row>
        <row r="304">
          <cell r="E304">
            <v>0</v>
          </cell>
          <cell r="P304">
            <v>0</v>
          </cell>
        </row>
        <row r="305">
          <cell r="E305">
            <v>0</v>
          </cell>
          <cell r="P305">
            <v>0</v>
          </cell>
        </row>
        <row r="306">
          <cell r="E306">
            <v>4549649</v>
          </cell>
          <cell r="F306">
            <v>4549649</v>
          </cell>
          <cell r="G306">
            <v>2413715</v>
          </cell>
          <cell r="H306">
            <v>303658</v>
          </cell>
          <cell r="J306">
            <v>2462330</v>
          </cell>
          <cell r="K306">
            <v>0</v>
          </cell>
          <cell r="L306">
            <v>0</v>
          </cell>
          <cell r="M306">
            <v>0</v>
          </cell>
          <cell r="N306">
            <v>2462330</v>
          </cell>
          <cell r="O306">
            <v>2462330</v>
          </cell>
          <cell r="P306">
            <v>7011979</v>
          </cell>
        </row>
        <row r="307">
          <cell r="E307">
            <v>4158138</v>
          </cell>
          <cell r="F307">
            <v>4158138</v>
          </cell>
          <cell r="G307">
            <v>2413715</v>
          </cell>
          <cell r="H307">
            <v>303658</v>
          </cell>
          <cell r="J307">
            <v>104770</v>
          </cell>
          <cell r="N307">
            <v>104770</v>
          </cell>
          <cell r="O307">
            <v>104770</v>
          </cell>
          <cell r="P307">
            <v>4262908</v>
          </cell>
        </row>
        <row r="308">
          <cell r="E308">
            <v>4158138</v>
          </cell>
          <cell r="F308">
            <v>4158138</v>
          </cell>
          <cell r="G308">
            <v>2413715</v>
          </cell>
          <cell r="H308">
            <v>303658</v>
          </cell>
          <cell r="J308">
            <v>104770</v>
          </cell>
          <cell r="N308">
            <v>104770</v>
          </cell>
          <cell r="O308">
            <v>104770</v>
          </cell>
          <cell r="P308">
            <v>4262908</v>
          </cell>
        </row>
        <row r="309">
          <cell r="J309">
            <v>2357560</v>
          </cell>
          <cell r="K309">
            <v>0</v>
          </cell>
          <cell r="N309">
            <v>2357560</v>
          </cell>
          <cell r="O309">
            <v>2357560</v>
          </cell>
          <cell r="P309">
            <v>2357560</v>
          </cell>
        </row>
        <row r="310">
          <cell r="J310">
            <v>2357560</v>
          </cell>
          <cell r="N310">
            <v>2357560</v>
          </cell>
          <cell r="O310">
            <v>2357560</v>
          </cell>
          <cell r="P310">
            <v>2357560</v>
          </cell>
        </row>
        <row r="311">
          <cell r="E311">
            <v>391511</v>
          </cell>
          <cell r="F311">
            <v>391511</v>
          </cell>
          <cell r="J311">
            <v>0</v>
          </cell>
          <cell r="N311">
            <v>0</v>
          </cell>
          <cell r="O311">
            <v>0</v>
          </cell>
          <cell r="P311">
            <v>391511</v>
          </cell>
        </row>
        <row r="312">
          <cell r="E312">
            <v>391511</v>
          </cell>
          <cell r="F312">
            <v>391511</v>
          </cell>
          <cell r="G312">
            <v>0</v>
          </cell>
          <cell r="H312">
            <v>0</v>
          </cell>
          <cell r="J312">
            <v>0</v>
          </cell>
          <cell r="K312">
            <v>0</v>
          </cell>
          <cell r="L312">
            <v>0</v>
          </cell>
          <cell r="M312">
            <v>0</v>
          </cell>
          <cell r="N312">
            <v>0</v>
          </cell>
          <cell r="O312">
            <v>0</v>
          </cell>
          <cell r="P312">
            <v>391511</v>
          </cell>
        </row>
        <row r="313">
          <cell r="E313">
            <v>0</v>
          </cell>
          <cell r="P313">
            <v>0</v>
          </cell>
        </row>
        <row r="314">
          <cell r="E314">
            <v>0</v>
          </cell>
          <cell r="J314">
            <v>0</v>
          </cell>
          <cell r="N314">
            <v>0</v>
          </cell>
          <cell r="P314">
            <v>0</v>
          </cell>
        </row>
        <row r="315">
          <cell r="E315">
            <v>0</v>
          </cell>
          <cell r="J315">
            <v>0</v>
          </cell>
          <cell r="N315">
            <v>0</v>
          </cell>
          <cell r="P315">
            <v>0</v>
          </cell>
        </row>
        <row r="316">
          <cell r="E316">
            <v>391511</v>
          </cell>
          <cell r="F316">
            <v>391511</v>
          </cell>
          <cell r="J316">
            <v>0</v>
          </cell>
          <cell r="P316">
            <v>391511</v>
          </cell>
        </row>
        <row r="317">
          <cell r="E317">
            <v>1145659</v>
          </cell>
          <cell r="F317">
            <v>1145659</v>
          </cell>
          <cell r="G317">
            <v>705150</v>
          </cell>
          <cell r="H317">
            <v>26223</v>
          </cell>
          <cell r="J317">
            <v>0</v>
          </cell>
          <cell r="N317">
            <v>0</v>
          </cell>
          <cell r="O317">
            <v>0</v>
          </cell>
          <cell r="P317">
            <v>1145659</v>
          </cell>
        </row>
        <row r="318">
          <cell r="E318">
            <v>1145659</v>
          </cell>
          <cell r="F318">
            <v>1145659</v>
          </cell>
          <cell r="G318">
            <v>705150</v>
          </cell>
          <cell r="H318">
            <v>26223</v>
          </cell>
          <cell r="J318">
            <v>0</v>
          </cell>
          <cell r="N318">
            <v>0</v>
          </cell>
          <cell r="O318">
            <v>0</v>
          </cell>
          <cell r="P318">
            <v>1145659</v>
          </cell>
        </row>
        <row r="319">
          <cell r="E319">
            <v>1145659</v>
          </cell>
          <cell r="F319">
            <v>1145659</v>
          </cell>
          <cell r="G319">
            <v>705150</v>
          </cell>
          <cell r="H319">
            <v>26223</v>
          </cell>
          <cell r="J319">
            <v>0</v>
          </cell>
          <cell r="N319">
            <v>0</v>
          </cell>
          <cell r="P319">
            <v>1145659</v>
          </cell>
        </row>
        <row r="320">
          <cell r="E320">
            <v>2092485</v>
          </cell>
          <cell r="F320">
            <v>2092485</v>
          </cell>
          <cell r="G320">
            <v>1309708</v>
          </cell>
          <cell r="H320">
            <v>116971</v>
          </cell>
          <cell r="J320">
            <v>0</v>
          </cell>
          <cell r="K320">
            <v>0</v>
          </cell>
          <cell r="L320">
            <v>0</v>
          </cell>
          <cell r="M320">
            <v>0</v>
          </cell>
          <cell r="N320">
            <v>0</v>
          </cell>
          <cell r="O320">
            <v>0</v>
          </cell>
          <cell r="P320">
            <v>2092485</v>
          </cell>
        </row>
        <row r="321">
          <cell r="E321">
            <v>2092485</v>
          </cell>
          <cell r="F321">
            <v>2092485</v>
          </cell>
          <cell r="G321">
            <v>1309708</v>
          </cell>
          <cell r="H321">
            <v>116971</v>
          </cell>
          <cell r="J321">
            <v>0</v>
          </cell>
          <cell r="K321">
            <v>0</v>
          </cell>
          <cell r="L321">
            <v>0</v>
          </cell>
          <cell r="M321">
            <v>0</v>
          </cell>
          <cell r="N321">
            <v>0</v>
          </cell>
          <cell r="O321">
            <v>0</v>
          </cell>
          <cell r="P321">
            <v>2092485</v>
          </cell>
        </row>
        <row r="322">
          <cell r="E322">
            <v>2092485</v>
          </cell>
          <cell r="F322">
            <v>2092485</v>
          </cell>
          <cell r="G322">
            <v>1309708</v>
          </cell>
          <cell r="H322">
            <v>116971</v>
          </cell>
          <cell r="J322">
            <v>0</v>
          </cell>
          <cell r="N322">
            <v>0</v>
          </cell>
          <cell r="P322">
            <v>2092485</v>
          </cell>
        </row>
        <row r="323">
          <cell r="J323">
            <v>0</v>
          </cell>
          <cell r="K323">
            <v>0</v>
          </cell>
          <cell r="L323">
            <v>0</v>
          </cell>
          <cell r="M323">
            <v>0</v>
          </cell>
          <cell r="N323">
            <v>0</v>
          </cell>
          <cell r="O323">
            <v>0</v>
          </cell>
          <cell r="P323">
            <v>0</v>
          </cell>
        </row>
        <row r="324">
          <cell r="J324">
            <v>0</v>
          </cell>
          <cell r="P324">
            <v>0</v>
          </cell>
        </row>
        <row r="325">
          <cell r="E325">
            <v>1376372</v>
          </cell>
          <cell r="F325">
            <v>1376372</v>
          </cell>
          <cell r="G325">
            <v>885667</v>
          </cell>
          <cell r="H325">
            <v>62500</v>
          </cell>
          <cell r="I325">
            <v>0</v>
          </cell>
          <cell r="J325">
            <v>17222500</v>
          </cell>
          <cell r="K325">
            <v>292500</v>
          </cell>
          <cell r="L325">
            <v>0</v>
          </cell>
          <cell r="M325">
            <v>0</v>
          </cell>
          <cell r="N325">
            <v>16930000</v>
          </cell>
          <cell r="O325">
            <v>16930000</v>
          </cell>
          <cell r="P325">
            <v>18598872</v>
          </cell>
        </row>
        <row r="326">
          <cell r="E326">
            <v>1376372</v>
          </cell>
          <cell r="F326">
            <v>1376372</v>
          </cell>
          <cell r="G326">
            <v>885667</v>
          </cell>
          <cell r="H326">
            <v>62500</v>
          </cell>
          <cell r="J326">
            <v>0</v>
          </cell>
          <cell r="N326">
            <v>0</v>
          </cell>
          <cell r="O326">
            <v>0</v>
          </cell>
          <cell r="P326">
            <v>1376372</v>
          </cell>
        </row>
        <row r="327">
          <cell r="E327">
            <v>1376372</v>
          </cell>
          <cell r="F327">
            <v>1376372</v>
          </cell>
          <cell r="G327">
            <v>885667</v>
          </cell>
          <cell r="H327">
            <v>62500</v>
          </cell>
          <cell r="J327">
            <v>0</v>
          </cell>
          <cell r="N327">
            <v>0</v>
          </cell>
          <cell r="P327">
            <v>1376372</v>
          </cell>
        </row>
        <row r="328">
          <cell r="J328">
            <v>0</v>
          </cell>
          <cell r="N328">
            <v>0</v>
          </cell>
          <cell r="O328">
            <v>0</v>
          </cell>
          <cell r="P328">
            <v>0</v>
          </cell>
        </row>
        <row r="329">
          <cell r="J329">
            <v>0</v>
          </cell>
          <cell r="N329">
            <v>0</v>
          </cell>
          <cell r="O329">
            <v>0</v>
          </cell>
          <cell r="P329">
            <v>0</v>
          </cell>
        </row>
        <row r="330">
          <cell r="J330">
            <v>0</v>
          </cell>
          <cell r="N330">
            <v>0</v>
          </cell>
          <cell r="O330">
            <v>0</v>
          </cell>
          <cell r="P330">
            <v>0</v>
          </cell>
        </row>
        <row r="331">
          <cell r="J331">
            <v>0</v>
          </cell>
          <cell r="N331">
            <v>0</v>
          </cell>
          <cell r="O331">
            <v>0</v>
          </cell>
          <cell r="P331">
            <v>0</v>
          </cell>
        </row>
        <row r="332">
          <cell r="E332">
            <v>0</v>
          </cell>
          <cell r="F332">
            <v>0</v>
          </cell>
          <cell r="I332">
            <v>0</v>
          </cell>
          <cell r="J332">
            <v>16930000</v>
          </cell>
          <cell r="N332">
            <v>16930000</v>
          </cell>
          <cell r="O332">
            <v>16930000</v>
          </cell>
          <cell r="P332">
            <v>16930000</v>
          </cell>
        </row>
        <row r="333">
          <cell r="E333">
            <v>0</v>
          </cell>
          <cell r="P333">
            <v>0</v>
          </cell>
        </row>
        <row r="334">
          <cell r="E334">
            <v>0</v>
          </cell>
          <cell r="J334">
            <v>16930000</v>
          </cell>
          <cell r="N334">
            <v>16930000</v>
          </cell>
          <cell r="O334">
            <v>16930000</v>
          </cell>
          <cell r="P334">
            <v>16930000</v>
          </cell>
        </row>
        <row r="335">
          <cell r="J335">
            <v>292500</v>
          </cell>
          <cell r="K335">
            <v>292500</v>
          </cell>
          <cell r="N335">
            <v>0</v>
          </cell>
          <cell r="O335">
            <v>0</v>
          </cell>
          <cell r="P335">
            <v>292500</v>
          </cell>
        </row>
        <row r="336">
          <cell r="E336">
            <v>0</v>
          </cell>
          <cell r="J336">
            <v>292500</v>
          </cell>
          <cell r="K336">
            <v>292500</v>
          </cell>
          <cell r="N336">
            <v>0</v>
          </cell>
          <cell r="P336">
            <v>292500</v>
          </cell>
        </row>
        <row r="337">
          <cell r="J337">
            <v>0</v>
          </cell>
          <cell r="P337">
            <v>0</v>
          </cell>
        </row>
        <row r="338">
          <cell r="E338">
            <v>0</v>
          </cell>
          <cell r="F338">
            <v>0</v>
          </cell>
          <cell r="J338">
            <v>0</v>
          </cell>
          <cell r="P338">
            <v>0</v>
          </cell>
        </row>
        <row r="339">
          <cell r="E339">
            <v>0</v>
          </cell>
          <cell r="F339">
            <v>0</v>
          </cell>
          <cell r="J339">
            <v>0</v>
          </cell>
          <cell r="P339">
            <v>0</v>
          </cell>
        </row>
        <row r="340">
          <cell r="E340">
            <v>0</v>
          </cell>
          <cell r="J340">
            <v>0</v>
          </cell>
          <cell r="P340">
            <v>0</v>
          </cell>
        </row>
        <row r="341">
          <cell r="E341">
            <v>47827728</v>
          </cell>
          <cell r="F341">
            <v>47827728</v>
          </cell>
          <cell r="G341">
            <v>968266</v>
          </cell>
          <cell r="H341">
            <v>21915</v>
          </cell>
          <cell r="J341">
            <v>14830964</v>
          </cell>
          <cell r="K341">
            <v>0</v>
          </cell>
          <cell r="L341">
            <v>0</v>
          </cell>
          <cell r="M341">
            <v>0</v>
          </cell>
          <cell r="N341">
            <v>14830964</v>
          </cell>
          <cell r="O341">
            <v>14830964</v>
          </cell>
          <cell r="P341">
            <v>62658692</v>
          </cell>
        </row>
        <row r="342">
          <cell r="E342">
            <v>1427728</v>
          </cell>
          <cell r="F342">
            <v>1427728</v>
          </cell>
          <cell r="G342">
            <v>968266</v>
          </cell>
          <cell r="H342">
            <v>21915</v>
          </cell>
          <cell r="J342">
            <v>0</v>
          </cell>
          <cell r="K342">
            <v>0</v>
          </cell>
          <cell r="L342">
            <v>0</v>
          </cell>
          <cell r="M342">
            <v>0</v>
          </cell>
          <cell r="N342">
            <v>0</v>
          </cell>
          <cell r="O342">
            <v>0</v>
          </cell>
          <cell r="P342">
            <v>1427728</v>
          </cell>
        </row>
        <row r="343">
          <cell r="E343">
            <v>1427728</v>
          </cell>
          <cell r="F343">
            <v>1427728</v>
          </cell>
          <cell r="G343">
            <v>968266</v>
          </cell>
          <cell r="H343">
            <v>21915</v>
          </cell>
          <cell r="J343">
            <v>0</v>
          </cell>
          <cell r="N343">
            <v>0</v>
          </cell>
          <cell r="P343">
            <v>1427728</v>
          </cell>
        </row>
        <row r="344">
          <cell r="E344">
            <v>0</v>
          </cell>
          <cell r="F344">
            <v>0</v>
          </cell>
          <cell r="P344">
            <v>0</v>
          </cell>
        </row>
        <row r="345">
          <cell r="E345">
            <v>0</v>
          </cell>
          <cell r="P345">
            <v>0</v>
          </cell>
        </row>
        <row r="346">
          <cell r="E346">
            <v>600000</v>
          </cell>
          <cell r="F346">
            <v>600000</v>
          </cell>
          <cell r="G346">
            <v>0</v>
          </cell>
          <cell r="H346">
            <v>0</v>
          </cell>
          <cell r="J346">
            <v>0</v>
          </cell>
          <cell r="K346">
            <v>0</v>
          </cell>
          <cell r="L346">
            <v>0</v>
          </cell>
          <cell r="M346">
            <v>0</v>
          </cell>
          <cell r="N346">
            <v>0</v>
          </cell>
          <cell r="O346">
            <v>0</v>
          </cell>
          <cell r="P346">
            <v>600000</v>
          </cell>
        </row>
        <row r="347">
          <cell r="E347">
            <v>600000</v>
          </cell>
          <cell r="F347">
            <v>600000</v>
          </cell>
          <cell r="J347">
            <v>0</v>
          </cell>
          <cell r="N347">
            <v>0</v>
          </cell>
          <cell r="P347">
            <v>600000</v>
          </cell>
        </row>
        <row r="348">
          <cell r="J348">
            <v>4308029</v>
          </cell>
          <cell r="N348">
            <v>4308029</v>
          </cell>
          <cell r="O348">
            <v>4308029</v>
          </cell>
          <cell r="P348">
            <v>4308029</v>
          </cell>
        </row>
        <row r="349">
          <cell r="J349">
            <v>4308029</v>
          </cell>
          <cell r="N349">
            <v>4308029</v>
          </cell>
          <cell r="O349">
            <v>4308029</v>
          </cell>
          <cell r="P349">
            <v>4308029</v>
          </cell>
        </row>
        <row r="350">
          <cell r="E350">
            <v>45800000</v>
          </cell>
          <cell r="F350">
            <v>45800000</v>
          </cell>
          <cell r="J350">
            <v>10522935</v>
          </cell>
          <cell r="K350">
            <v>0</v>
          </cell>
          <cell r="L350">
            <v>0</v>
          </cell>
          <cell r="M350">
            <v>0</v>
          </cell>
          <cell r="N350">
            <v>10522935</v>
          </cell>
          <cell r="O350">
            <v>10522935</v>
          </cell>
          <cell r="P350">
            <v>56322935</v>
          </cell>
        </row>
        <row r="351">
          <cell r="E351">
            <v>0</v>
          </cell>
          <cell r="J351">
            <v>10522935</v>
          </cell>
          <cell r="N351">
            <v>10522935</v>
          </cell>
          <cell r="O351">
            <v>10522935</v>
          </cell>
          <cell r="P351">
            <v>10522935</v>
          </cell>
        </row>
        <row r="352">
          <cell r="E352">
            <v>45800000</v>
          </cell>
          <cell r="F352">
            <v>45800000</v>
          </cell>
          <cell r="J352">
            <v>0</v>
          </cell>
          <cell r="N352">
            <v>0</v>
          </cell>
          <cell r="P352">
            <v>45800000</v>
          </cell>
        </row>
        <row r="353">
          <cell r="E353">
            <v>0</v>
          </cell>
          <cell r="F353">
            <v>0</v>
          </cell>
          <cell r="G353">
            <v>0</v>
          </cell>
          <cell r="H353">
            <v>0</v>
          </cell>
          <cell r="J353">
            <v>0</v>
          </cell>
          <cell r="K353">
            <v>0</v>
          </cell>
          <cell r="L353">
            <v>0</v>
          </cell>
          <cell r="M353">
            <v>0</v>
          </cell>
          <cell r="N353">
            <v>0</v>
          </cell>
          <cell r="O353">
            <v>0</v>
          </cell>
          <cell r="P353">
            <v>0</v>
          </cell>
        </row>
        <row r="354">
          <cell r="E354">
            <v>0</v>
          </cell>
          <cell r="J354">
            <v>0</v>
          </cell>
          <cell r="N354">
            <v>0</v>
          </cell>
          <cell r="P354">
            <v>0</v>
          </cell>
        </row>
        <row r="355">
          <cell r="E355">
            <v>0</v>
          </cell>
          <cell r="G355">
            <v>0</v>
          </cell>
          <cell r="H355">
            <v>0</v>
          </cell>
          <cell r="J355">
            <v>0</v>
          </cell>
          <cell r="K355">
            <v>0</v>
          </cell>
          <cell r="L355">
            <v>0</v>
          </cell>
          <cell r="M355">
            <v>0</v>
          </cell>
          <cell r="N355">
            <v>0</v>
          </cell>
          <cell r="O355">
            <v>0</v>
          </cell>
          <cell r="P355">
            <v>0</v>
          </cell>
        </row>
        <row r="356">
          <cell r="E356">
            <v>0</v>
          </cell>
          <cell r="G356">
            <v>0</v>
          </cell>
          <cell r="H356">
            <v>0</v>
          </cell>
          <cell r="J356">
            <v>0</v>
          </cell>
          <cell r="K356">
            <v>0</v>
          </cell>
          <cell r="L356">
            <v>0</v>
          </cell>
          <cell r="M356">
            <v>0</v>
          </cell>
          <cell r="N356">
            <v>0</v>
          </cell>
          <cell r="O356">
            <v>0</v>
          </cell>
          <cell r="P356">
            <v>0</v>
          </cell>
        </row>
        <row r="357">
          <cell r="E357">
            <v>0</v>
          </cell>
          <cell r="J357">
            <v>0</v>
          </cell>
          <cell r="P357">
            <v>0</v>
          </cell>
        </row>
        <row r="358">
          <cell r="J358">
            <v>0</v>
          </cell>
          <cell r="P358">
            <v>0</v>
          </cell>
        </row>
        <row r="359">
          <cell r="J359">
            <v>0</v>
          </cell>
          <cell r="N359">
            <v>0</v>
          </cell>
          <cell r="P359">
            <v>0</v>
          </cell>
        </row>
        <row r="360">
          <cell r="J360">
            <v>0</v>
          </cell>
          <cell r="P360">
            <v>0</v>
          </cell>
        </row>
        <row r="361">
          <cell r="E361">
            <v>0</v>
          </cell>
          <cell r="F361">
            <v>0</v>
          </cell>
          <cell r="P361">
            <v>0</v>
          </cell>
        </row>
        <row r="362">
          <cell r="E362">
            <v>10862439</v>
          </cell>
          <cell r="F362">
            <v>10862439</v>
          </cell>
          <cell r="G362">
            <v>6612207</v>
          </cell>
          <cell r="H362">
            <v>208117</v>
          </cell>
          <cell r="J362">
            <v>198538</v>
          </cell>
          <cell r="K362">
            <v>150628</v>
          </cell>
          <cell r="L362">
            <v>54369</v>
          </cell>
          <cell r="M362">
            <v>45</v>
          </cell>
          <cell r="N362">
            <v>47910</v>
          </cell>
          <cell r="O362">
            <v>0</v>
          </cell>
          <cell r="P362">
            <v>11060977</v>
          </cell>
        </row>
        <row r="363">
          <cell r="E363">
            <v>2359474</v>
          </cell>
          <cell r="F363">
            <v>2359474</v>
          </cell>
          <cell r="G363">
            <v>1644557</v>
          </cell>
          <cell r="H363">
            <v>85465</v>
          </cell>
          <cell r="J363">
            <v>0</v>
          </cell>
          <cell r="N363">
            <v>0</v>
          </cell>
          <cell r="O363">
            <v>0</v>
          </cell>
          <cell r="P363">
            <v>2359474</v>
          </cell>
        </row>
        <row r="364">
          <cell r="E364">
            <v>2359474</v>
          </cell>
          <cell r="F364">
            <v>2359474</v>
          </cell>
          <cell r="G364">
            <v>1644557</v>
          </cell>
          <cell r="H364">
            <v>85465</v>
          </cell>
          <cell r="J364">
            <v>0</v>
          </cell>
          <cell r="N364">
            <v>0</v>
          </cell>
          <cell r="P364">
            <v>2359474</v>
          </cell>
        </row>
        <row r="365">
          <cell r="E365">
            <v>8502965</v>
          </cell>
          <cell r="F365">
            <v>8502965</v>
          </cell>
          <cell r="G365">
            <v>4967650</v>
          </cell>
          <cell r="H365">
            <v>122652</v>
          </cell>
          <cell r="J365">
            <v>198538</v>
          </cell>
          <cell r="K365">
            <v>150628</v>
          </cell>
          <cell r="L365">
            <v>54369</v>
          </cell>
          <cell r="M365">
            <v>45</v>
          </cell>
          <cell r="N365">
            <v>47910</v>
          </cell>
          <cell r="O365">
            <v>0</v>
          </cell>
          <cell r="P365">
            <v>8701503</v>
          </cell>
        </row>
        <row r="366">
          <cell r="E366">
            <v>4238325</v>
          </cell>
          <cell r="F366">
            <v>4238325</v>
          </cell>
          <cell r="G366">
            <v>2393844</v>
          </cell>
          <cell r="H366">
            <v>19841</v>
          </cell>
          <cell r="J366">
            <v>83956</v>
          </cell>
          <cell r="K366">
            <v>83956</v>
          </cell>
          <cell r="L366">
            <v>33403</v>
          </cell>
          <cell r="M366">
            <v>0</v>
          </cell>
          <cell r="N366">
            <v>0</v>
          </cell>
          <cell r="O366">
            <v>0</v>
          </cell>
          <cell r="P366">
            <v>4322281</v>
          </cell>
        </row>
        <row r="367">
          <cell r="E367">
            <v>497908</v>
          </cell>
          <cell r="F367">
            <v>497908</v>
          </cell>
          <cell r="J367">
            <v>0</v>
          </cell>
          <cell r="N367">
            <v>0</v>
          </cell>
          <cell r="P367">
            <v>497908</v>
          </cell>
        </row>
        <row r="368">
          <cell r="E368">
            <v>3740417</v>
          </cell>
          <cell r="F368">
            <v>3740417</v>
          </cell>
          <cell r="G368">
            <v>2393844</v>
          </cell>
          <cell r="H368">
            <v>19841</v>
          </cell>
          <cell r="J368">
            <v>83956</v>
          </cell>
          <cell r="K368">
            <v>83956</v>
          </cell>
          <cell r="L368">
            <v>33403</v>
          </cell>
          <cell r="N368">
            <v>0</v>
          </cell>
          <cell r="P368">
            <v>3824373</v>
          </cell>
        </row>
        <row r="369">
          <cell r="E369">
            <v>4264640</v>
          </cell>
          <cell r="F369">
            <v>4264640</v>
          </cell>
          <cell r="G369">
            <v>2573806</v>
          </cell>
          <cell r="H369">
            <v>102811</v>
          </cell>
          <cell r="J369">
            <v>114582</v>
          </cell>
          <cell r="K369">
            <v>66672</v>
          </cell>
          <cell r="L369">
            <v>20966</v>
          </cell>
          <cell r="M369">
            <v>45</v>
          </cell>
          <cell r="N369">
            <v>47910</v>
          </cell>
          <cell r="P369">
            <v>4379222</v>
          </cell>
        </row>
        <row r="370">
          <cell r="E370">
            <v>3422911</v>
          </cell>
          <cell r="F370">
            <v>3422911</v>
          </cell>
          <cell r="G370">
            <v>2255041</v>
          </cell>
          <cell r="H370">
            <v>118056</v>
          </cell>
          <cell r="J370">
            <v>4942123</v>
          </cell>
          <cell r="K370">
            <v>0</v>
          </cell>
          <cell r="L370">
            <v>0</v>
          </cell>
          <cell r="M370">
            <v>0</v>
          </cell>
          <cell r="N370">
            <v>4942123</v>
          </cell>
          <cell r="O370">
            <v>4942123</v>
          </cell>
          <cell r="P370">
            <v>8365034</v>
          </cell>
        </row>
        <row r="371">
          <cell r="E371">
            <v>3422911</v>
          </cell>
          <cell r="F371">
            <v>3422911</v>
          </cell>
          <cell r="G371">
            <v>2255041</v>
          </cell>
          <cell r="H371">
            <v>118056</v>
          </cell>
          <cell r="J371">
            <v>0</v>
          </cell>
          <cell r="K371">
            <v>0</v>
          </cell>
          <cell r="L371">
            <v>0</v>
          </cell>
          <cell r="M371">
            <v>0</v>
          </cell>
          <cell r="N371">
            <v>0</v>
          </cell>
          <cell r="O371">
            <v>0</v>
          </cell>
          <cell r="P371">
            <v>3422911</v>
          </cell>
        </row>
        <row r="372">
          <cell r="E372">
            <v>3422911</v>
          </cell>
          <cell r="F372">
            <v>3422911</v>
          </cell>
          <cell r="G372">
            <v>2255041</v>
          </cell>
          <cell r="H372">
            <v>118056</v>
          </cell>
          <cell r="J372">
            <v>0</v>
          </cell>
          <cell r="N372">
            <v>0</v>
          </cell>
          <cell r="P372">
            <v>3422911</v>
          </cell>
        </row>
        <row r="373">
          <cell r="E373">
            <v>0</v>
          </cell>
          <cell r="G373">
            <v>0</v>
          </cell>
          <cell r="H373">
            <v>0</v>
          </cell>
          <cell r="J373">
            <v>0</v>
          </cell>
          <cell r="K373">
            <v>0</v>
          </cell>
          <cell r="L373">
            <v>0</v>
          </cell>
          <cell r="M373">
            <v>0</v>
          </cell>
          <cell r="N373">
            <v>0</v>
          </cell>
          <cell r="O373">
            <v>0</v>
          </cell>
          <cell r="P373">
            <v>0</v>
          </cell>
        </row>
        <row r="374">
          <cell r="J374">
            <v>0</v>
          </cell>
          <cell r="P374">
            <v>0</v>
          </cell>
        </row>
        <row r="375">
          <cell r="E375">
            <v>0</v>
          </cell>
          <cell r="G375">
            <v>0</v>
          </cell>
          <cell r="H375">
            <v>0</v>
          </cell>
          <cell r="J375">
            <v>0</v>
          </cell>
          <cell r="K375">
            <v>0</v>
          </cell>
          <cell r="L375">
            <v>0</v>
          </cell>
          <cell r="M375">
            <v>0</v>
          </cell>
          <cell r="N375">
            <v>0</v>
          </cell>
          <cell r="O375">
            <v>0</v>
          </cell>
          <cell r="P375">
            <v>0</v>
          </cell>
        </row>
        <row r="376">
          <cell r="E376">
            <v>0</v>
          </cell>
          <cell r="G376">
            <v>0</v>
          </cell>
          <cell r="H376">
            <v>0</v>
          </cell>
          <cell r="J376">
            <v>4942123</v>
          </cell>
          <cell r="K376">
            <v>0</v>
          </cell>
          <cell r="L376">
            <v>0</v>
          </cell>
          <cell r="M376">
            <v>0</v>
          </cell>
          <cell r="N376">
            <v>4942123</v>
          </cell>
          <cell r="O376">
            <v>4942123</v>
          </cell>
          <cell r="P376">
            <v>4942123</v>
          </cell>
        </row>
        <row r="377">
          <cell r="J377">
            <v>4924761</v>
          </cell>
          <cell r="N377">
            <v>4924761</v>
          </cell>
          <cell r="O377">
            <v>4924761</v>
          </cell>
          <cell r="P377">
            <v>4924761</v>
          </cell>
        </row>
        <row r="378">
          <cell r="J378">
            <v>0</v>
          </cell>
          <cell r="O378">
            <v>0</v>
          </cell>
          <cell r="P378">
            <v>0</v>
          </cell>
        </row>
        <row r="379">
          <cell r="J379">
            <v>0</v>
          </cell>
          <cell r="P379">
            <v>0</v>
          </cell>
        </row>
        <row r="380">
          <cell r="J380">
            <v>0</v>
          </cell>
          <cell r="O380">
            <v>0</v>
          </cell>
          <cell r="P380">
            <v>0</v>
          </cell>
        </row>
        <row r="381">
          <cell r="J381">
            <v>0</v>
          </cell>
          <cell r="O381">
            <v>0</v>
          </cell>
          <cell r="P381">
            <v>0</v>
          </cell>
        </row>
        <row r="382">
          <cell r="J382">
            <v>17362</v>
          </cell>
          <cell r="N382">
            <v>17362</v>
          </cell>
          <cell r="O382">
            <v>17362</v>
          </cell>
          <cell r="P382">
            <v>17362</v>
          </cell>
        </row>
        <row r="383">
          <cell r="J383">
            <v>0</v>
          </cell>
          <cell r="N383">
            <v>0</v>
          </cell>
          <cell r="O383">
            <v>0</v>
          </cell>
          <cell r="P383">
            <v>0</v>
          </cell>
        </row>
        <row r="384">
          <cell r="J384">
            <v>0</v>
          </cell>
          <cell r="N384">
            <v>0</v>
          </cell>
          <cell r="P384">
            <v>0</v>
          </cell>
        </row>
        <row r="385">
          <cell r="J385">
            <v>0</v>
          </cell>
          <cell r="N385">
            <v>0</v>
          </cell>
          <cell r="O385">
            <v>0</v>
          </cell>
          <cell r="P385">
            <v>0</v>
          </cell>
        </row>
        <row r="386">
          <cell r="J386">
            <v>0</v>
          </cell>
          <cell r="N386">
            <v>0</v>
          </cell>
          <cell r="O386">
            <v>0</v>
          </cell>
          <cell r="P386">
            <v>0</v>
          </cell>
        </row>
        <row r="387">
          <cell r="J387">
            <v>0</v>
          </cell>
          <cell r="K387">
            <v>0</v>
          </cell>
          <cell r="N387">
            <v>0</v>
          </cell>
          <cell r="O387">
            <v>0</v>
          </cell>
          <cell r="P387">
            <v>0</v>
          </cell>
        </row>
        <row r="388">
          <cell r="J388">
            <v>0</v>
          </cell>
          <cell r="P388">
            <v>0</v>
          </cell>
        </row>
        <row r="389">
          <cell r="E389">
            <v>0</v>
          </cell>
          <cell r="F389">
            <v>0</v>
          </cell>
          <cell r="J389">
            <v>0</v>
          </cell>
          <cell r="P389">
            <v>0</v>
          </cell>
        </row>
        <row r="390">
          <cell r="E390">
            <v>0</v>
          </cell>
          <cell r="F390">
            <v>0</v>
          </cell>
          <cell r="G390">
            <v>0</v>
          </cell>
          <cell r="H390">
            <v>0</v>
          </cell>
          <cell r="I390">
            <v>0</v>
          </cell>
          <cell r="J390">
            <v>0</v>
          </cell>
          <cell r="K390">
            <v>0</v>
          </cell>
          <cell r="L390">
            <v>0</v>
          </cell>
          <cell r="M390">
            <v>0</v>
          </cell>
          <cell r="N390">
            <v>0</v>
          </cell>
          <cell r="O390">
            <v>0</v>
          </cell>
          <cell r="P390">
            <v>0</v>
          </cell>
        </row>
        <row r="391">
          <cell r="E391">
            <v>0</v>
          </cell>
          <cell r="P391">
            <v>0</v>
          </cell>
        </row>
        <row r="392">
          <cell r="E392">
            <v>0</v>
          </cell>
          <cell r="J392">
            <v>0</v>
          </cell>
          <cell r="N392">
            <v>0</v>
          </cell>
          <cell r="P392">
            <v>0</v>
          </cell>
        </row>
        <row r="393">
          <cell r="E393">
            <v>6674427</v>
          </cell>
          <cell r="F393">
            <v>6674427</v>
          </cell>
          <cell r="G393">
            <v>4307720</v>
          </cell>
          <cell r="H393">
            <v>386661</v>
          </cell>
          <cell r="J393">
            <v>0</v>
          </cell>
          <cell r="K393">
            <v>0</v>
          </cell>
          <cell r="L393">
            <v>0</v>
          </cell>
          <cell r="M393">
            <v>0</v>
          </cell>
          <cell r="N393">
            <v>0</v>
          </cell>
          <cell r="O393">
            <v>0</v>
          </cell>
          <cell r="P393">
            <v>6674427</v>
          </cell>
        </row>
        <row r="394">
          <cell r="E394">
            <v>6674427</v>
          </cell>
          <cell r="F394">
            <v>6674427</v>
          </cell>
          <cell r="G394">
            <v>4307720</v>
          </cell>
          <cell r="H394">
            <v>386661</v>
          </cell>
          <cell r="J394">
            <v>0</v>
          </cell>
          <cell r="K394">
            <v>0</v>
          </cell>
          <cell r="L394">
            <v>0</v>
          </cell>
          <cell r="M394">
            <v>0</v>
          </cell>
          <cell r="N394">
            <v>0</v>
          </cell>
          <cell r="O394">
            <v>0</v>
          </cell>
          <cell r="P394">
            <v>6674427</v>
          </cell>
        </row>
        <row r="395">
          <cell r="E395">
            <v>6674427</v>
          </cell>
          <cell r="F395">
            <v>6674427</v>
          </cell>
          <cell r="G395">
            <v>4307720</v>
          </cell>
          <cell r="H395">
            <v>386661</v>
          </cell>
          <cell r="J395">
            <v>0</v>
          </cell>
          <cell r="P395">
            <v>6674427</v>
          </cell>
        </row>
        <row r="396">
          <cell r="J396">
            <v>0</v>
          </cell>
          <cell r="N396">
            <v>0</v>
          </cell>
          <cell r="O396">
            <v>0</v>
          </cell>
          <cell r="P396">
            <v>0</v>
          </cell>
        </row>
        <row r="397">
          <cell r="J397">
            <v>0</v>
          </cell>
          <cell r="N397">
            <v>0</v>
          </cell>
          <cell r="P397">
            <v>0</v>
          </cell>
        </row>
        <row r="398">
          <cell r="G398">
            <v>0</v>
          </cell>
          <cell r="H398">
            <v>0</v>
          </cell>
          <cell r="J398">
            <v>0</v>
          </cell>
          <cell r="P398">
            <v>0</v>
          </cell>
        </row>
        <row r="399">
          <cell r="J399">
            <v>0</v>
          </cell>
          <cell r="P399">
            <v>0</v>
          </cell>
        </row>
        <row r="400">
          <cell r="E400">
            <v>0</v>
          </cell>
          <cell r="G400">
            <v>0</v>
          </cell>
          <cell r="H400">
            <v>0</v>
          </cell>
          <cell r="J400">
            <v>0</v>
          </cell>
          <cell r="K400">
            <v>0</v>
          </cell>
          <cell r="L400">
            <v>0</v>
          </cell>
          <cell r="M400">
            <v>0</v>
          </cell>
          <cell r="O400">
            <v>0</v>
          </cell>
          <cell r="P400">
            <v>0</v>
          </cell>
        </row>
        <row r="401">
          <cell r="J401">
            <v>0</v>
          </cell>
          <cell r="P401">
            <v>0</v>
          </cell>
        </row>
        <row r="402">
          <cell r="E402">
            <v>0</v>
          </cell>
          <cell r="J402">
            <v>0</v>
          </cell>
          <cell r="O402">
            <v>0</v>
          </cell>
          <cell r="P402">
            <v>0</v>
          </cell>
        </row>
        <row r="403">
          <cell r="J403">
            <v>0</v>
          </cell>
          <cell r="P403">
            <v>0</v>
          </cell>
        </row>
        <row r="404">
          <cell r="F404">
            <v>0</v>
          </cell>
          <cell r="G404">
            <v>0</v>
          </cell>
          <cell r="H404">
            <v>0</v>
          </cell>
          <cell r="J404">
            <v>0</v>
          </cell>
          <cell r="N404">
            <v>0</v>
          </cell>
          <cell r="O404">
            <v>0</v>
          </cell>
          <cell r="P404">
            <v>0</v>
          </cell>
        </row>
        <row r="405">
          <cell r="E405">
            <v>0</v>
          </cell>
          <cell r="F405">
            <v>0</v>
          </cell>
          <cell r="J405">
            <v>0</v>
          </cell>
          <cell r="P405">
            <v>0</v>
          </cell>
        </row>
        <row r="406">
          <cell r="E406">
            <v>0</v>
          </cell>
          <cell r="P406">
            <v>0</v>
          </cell>
        </row>
        <row r="407">
          <cell r="E407">
            <v>174534970</v>
          </cell>
          <cell r="F407">
            <v>154912300</v>
          </cell>
          <cell r="G407">
            <v>0</v>
          </cell>
          <cell r="H407">
            <v>0</v>
          </cell>
          <cell r="J407">
            <v>0</v>
          </cell>
          <cell r="K407">
            <v>0</v>
          </cell>
          <cell r="L407">
            <v>0</v>
          </cell>
          <cell r="M407">
            <v>0</v>
          </cell>
          <cell r="N407">
            <v>0</v>
          </cell>
          <cell r="O407">
            <v>0</v>
          </cell>
          <cell r="P407">
            <v>174534970</v>
          </cell>
        </row>
        <row r="408">
          <cell r="E408">
            <v>174534970</v>
          </cell>
          <cell r="F408">
            <v>154912300</v>
          </cell>
          <cell r="G408">
            <v>0</v>
          </cell>
          <cell r="H408">
            <v>0</v>
          </cell>
          <cell r="J408">
            <v>0</v>
          </cell>
          <cell r="K408">
            <v>0</v>
          </cell>
          <cell r="L408">
            <v>0</v>
          </cell>
          <cell r="M408">
            <v>0</v>
          </cell>
          <cell r="N408">
            <v>0</v>
          </cell>
          <cell r="O408">
            <v>0</v>
          </cell>
          <cell r="P408">
            <v>174534970</v>
          </cell>
        </row>
        <row r="409">
          <cell r="P409">
            <v>0</v>
          </cell>
        </row>
        <row r="410">
          <cell r="E410">
            <v>154912300</v>
          </cell>
          <cell r="F410">
            <v>154912300</v>
          </cell>
          <cell r="P410">
            <v>154912300</v>
          </cell>
        </row>
        <row r="411">
          <cell r="E411">
            <v>19622670</v>
          </cell>
          <cell r="J411">
            <v>0</v>
          </cell>
          <cell r="N411">
            <v>0</v>
          </cell>
          <cell r="P411">
            <v>19622670</v>
          </cell>
        </row>
        <row r="412">
          <cell r="J412">
            <v>0</v>
          </cell>
          <cell r="N412">
            <v>0</v>
          </cell>
          <cell r="O412">
            <v>0</v>
          </cell>
          <cell r="P412">
            <v>0</v>
          </cell>
        </row>
        <row r="413">
          <cell r="E413">
            <v>0</v>
          </cell>
          <cell r="J413">
            <v>0</v>
          </cell>
          <cell r="N413">
            <v>0</v>
          </cell>
          <cell r="P413">
            <v>0</v>
          </cell>
        </row>
        <row r="414">
          <cell r="E414">
            <v>0</v>
          </cell>
          <cell r="J414">
            <v>0</v>
          </cell>
          <cell r="N414">
            <v>0</v>
          </cell>
          <cell r="P414">
            <v>0</v>
          </cell>
        </row>
        <row r="415">
          <cell r="E415">
            <v>6689828</v>
          </cell>
          <cell r="F415">
            <v>6689828</v>
          </cell>
          <cell r="G415">
            <v>3207801</v>
          </cell>
          <cell r="H415">
            <v>549121</v>
          </cell>
          <cell r="J415">
            <v>154548</v>
          </cell>
          <cell r="K415">
            <v>154548</v>
          </cell>
          <cell r="L415">
            <v>0</v>
          </cell>
          <cell r="M415">
            <v>0</v>
          </cell>
          <cell r="N415">
            <v>0</v>
          </cell>
          <cell r="O415">
            <v>0</v>
          </cell>
          <cell r="P415">
            <v>6844376</v>
          </cell>
        </row>
        <row r="416">
          <cell r="E416">
            <v>5445238</v>
          </cell>
          <cell r="F416">
            <v>5445238</v>
          </cell>
          <cell r="G416">
            <v>3207801</v>
          </cell>
          <cell r="H416">
            <v>549121</v>
          </cell>
          <cell r="J416">
            <v>154548</v>
          </cell>
          <cell r="K416">
            <v>154548</v>
          </cell>
          <cell r="L416">
            <v>0</v>
          </cell>
          <cell r="M416">
            <v>0</v>
          </cell>
          <cell r="N416">
            <v>0</v>
          </cell>
          <cell r="O416">
            <v>0</v>
          </cell>
          <cell r="P416">
            <v>5599786</v>
          </cell>
        </row>
        <row r="417">
          <cell r="E417">
            <v>5445238</v>
          </cell>
          <cell r="F417">
            <v>5445238</v>
          </cell>
          <cell r="G417">
            <v>3207801</v>
          </cell>
          <cell r="H417">
            <v>549121</v>
          </cell>
          <cell r="J417">
            <v>154548</v>
          </cell>
          <cell r="K417">
            <v>154548</v>
          </cell>
          <cell r="N417">
            <v>0</v>
          </cell>
          <cell r="P417">
            <v>5599786</v>
          </cell>
        </row>
        <row r="418">
          <cell r="E418">
            <v>0</v>
          </cell>
          <cell r="F418">
            <v>0</v>
          </cell>
          <cell r="P418">
            <v>0</v>
          </cell>
        </row>
        <row r="419">
          <cell r="E419">
            <v>0</v>
          </cell>
          <cell r="P419">
            <v>0</v>
          </cell>
        </row>
        <row r="420">
          <cell r="E420">
            <v>898733</v>
          </cell>
          <cell r="F420">
            <v>898733</v>
          </cell>
          <cell r="G420">
            <v>0</v>
          </cell>
          <cell r="H420">
            <v>0</v>
          </cell>
          <cell r="J420">
            <v>0</v>
          </cell>
          <cell r="K420">
            <v>0</v>
          </cell>
          <cell r="L420">
            <v>0</v>
          </cell>
          <cell r="M420">
            <v>0</v>
          </cell>
          <cell r="N420">
            <v>0</v>
          </cell>
          <cell r="O420">
            <v>0</v>
          </cell>
          <cell r="P420">
            <v>898733</v>
          </cell>
        </row>
        <row r="421">
          <cell r="E421">
            <v>898733</v>
          </cell>
          <cell r="F421">
            <v>898733</v>
          </cell>
          <cell r="J421">
            <v>0</v>
          </cell>
          <cell r="P421">
            <v>898733</v>
          </cell>
        </row>
        <row r="422">
          <cell r="J422">
            <v>0</v>
          </cell>
          <cell r="N422">
            <v>0</v>
          </cell>
          <cell r="O422">
            <v>0</v>
          </cell>
          <cell r="P422">
            <v>0</v>
          </cell>
        </row>
        <row r="423">
          <cell r="J423">
            <v>0</v>
          </cell>
          <cell r="N423">
            <v>0</v>
          </cell>
          <cell r="O423">
            <v>0</v>
          </cell>
          <cell r="P423">
            <v>0</v>
          </cell>
        </row>
        <row r="424">
          <cell r="E424">
            <v>0</v>
          </cell>
          <cell r="F424">
            <v>0</v>
          </cell>
          <cell r="P424">
            <v>0</v>
          </cell>
        </row>
        <row r="425">
          <cell r="E425">
            <v>0</v>
          </cell>
          <cell r="P425">
            <v>0</v>
          </cell>
        </row>
        <row r="426">
          <cell r="E426">
            <v>0</v>
          </cell>
          <cell r="G426">
            <v>0</v>
          </cell>
          <cell r="H426">
            <v>0</v>
          </cell>
          <cell r="J426">
            <v>0</v>
          </cell>
          <cell r="K426">
            <v>0</v>
          </cell>
          <cell r="L426">
            <v>0</v>
          </cell>
          <cell r="M426">
            <v>0</v>
          </cell>
          <cell r="N426">
            <v>0</v>
          </cell>
          <cell r="O426">
            <v>0</v>
          </cell>
          <cell r="P426">
            <v>0</v>
          </cell>
        </row>
        <row r="427">
          <cell r="J427">
            <v>0</v>
          </cell>
          <cell r="N427">
            <v>0</v>
          </cell>
          <cell r="P427">
            <v>0</v>
          </cell>
        </row>
        <row r="428">
          <cell r="E428">
            <v>345857</v>
          </cell>
          <cell r="F428">
            <v>345857</v>
          </cell>
          <cell r="G428">
            <v>0</v>
          </cell>
          <cell r="H428">
            <v>0</v>
          </cell>
          <cell r="I428">
            <v>0</v>
          </cell>
          <cell r="P428">
            <v>345857</v>
          </cell>
        </row>
        <row r="429">
          <cell r="E429">
            <v>0</v>
          </cell>
          <cell r="P429">
            <v>0</v>
          </cell>
        </row>
        <row r="430">
          <cell r="E430">
            <v>0</v>
          </cell>
          <cell r="F430">
            <v>0</v>
          </cell>
          <cell r="G430">
            <v>0</v>
          </cell>
          <cell r="H430">
            <v>0</v>
          </cell>
          <cell r="I430">
            <v>0</v>
          </cell>
          <cell r="P430">
            <v>0</v>
          </cell>
        </row>
        <row r="431">
          <cell r="E431">
            <v>345857</v>
          </cell>
          <cell r="F431">
            <v>345857</v>
          </cell>
          <cell r="P431">
            <v>345857</v>
          </cell>
        </row>
        <row r="432">
          <cell r="E432">
            <v>226357</v>
          </cell>
          <cell r="F432">
            <v>226357</v>
          </cell>
          <cell r="P432">
            <v>226357</v>
          </cell>
        </row>
        <row r="433">
          <cell r="E433">
            <v>0</v>
          </cell>
          <cell r="P433">
            <v>0</v>
          </cell>
        </row>
        <row r="434">
          <cell r="E434">
            <v>119500</v>
          </cell>
          <cell r="F434">
            <v>119500</v>
          </cell>
          <cell r="P434">
            <v>119500</v>
          </cell>
        </row>
        <row r="435">
          <cell r="E435">
            <v>0</v>
          </cell>
          <cell r="P435">
            <v>0</v>
          </cell>
        </row>
        <row r="436">
          <cell r="E436">
            <v>0</v>
          </cell>
          <cell r="P436">
            <v>0</v>
          </cell>
        </row>
        <row r="437">
          <cell r="E437">
            <v>0</v>
          </cell>
          <cell r="P437">
            <v>0</v>
          </cell>
        </row>
        <row r="438">
          <cell r="E438">
            <v>0</v>
          </cell>
          <cell r="F438">
            <v>0</v>
          </cell>
          <cell r="P438">
            <v>0</v>
          </cell>
        </row>
        <row r="439">
          <cell r="E439">
            <v>5540822</v>
          </cell>
          <cell r="F439">
            <v>5540822</v>
          </cell>
          <cell r="G439">
            <v>3053472</v>
          </cell>
          <cell r="H439">
            <v>313191</v>
          </cell>
          <cell r="J439">
            <v>87729</v>
          </cell>
          <cell r="K439">
            <v>87729</v>
          </cell>
          <cell r="L439">
            <v>0</v>
          </cell>
          <cell r="M439">
            <v>0</v>
          </cell>
          <cell r="N439">
            <v>0</v>
          </cell>
          <cell r="O439">
            <v>0</v>
          </cell>
          <cell r="P439">
            <v>5628551</v>
          </cell>
        </row>
        <row r="440">
          <cell r="E440">
            <v>4906660</v>
          </cell>
          <cell r="F440">
            <v>4906660</v>
          </cell>
          <cell r="G440">
            <v>3053472</v>
          </cell>
          <cell r="H440">
            <v>313191</v>
          </cell>
          <cell r="J440">
            <v>0</v>
          </cell>
          <cell r="K440">
            <v>0</v>
          </cell>
          <cell r="L440">
            <v>0</v>
          </cell>
          <cell r="M440">
            <v>0</v>
          </cell>
          <cell r="N440">
            <v>0</v>
          </cell>
          <cell r="O440">
            <v>0</v>
          </cell>
          <cell r="P440">
            <v>4906660</v>
          </cell>
        </row>
        <row r="441">
          <cell r="E441">
            <v>4906660</v>
          </cell>
          <cell r="F441">
            <v>4906660</v>
          </cell>
          <cell r="G441">
            <v>3053472</v>
          </cell>
          <cell r="H441">
            <v>313191</v>
          </cell>
          <cell r="J441">
            <v>0</v>
          </cell>
          <cell r="N441">
            <v>0</v>
          </cell>
          <cell r="P441">
            <v>4906660</v>
          </cell>
        </row>
        <row r="442">
          <cell r="E442">
            <v>585676</v>
          </cell>
          <cell r="F442">
            <v>585676</v>
          </cell>
          <cell r="G442">
            <v>0</v>
          </cell>
          <cell r="H442">
            <v>0</v>
          </cell>
          <cell r="J442">
            <v>87729</v>
          </cell>
          <cell r="K442">
            <v>87729</v>
          </cell>
          <cell r="L442">
            <v>0</v>
          </cell>
          <cell r="M442">
            <v>0</v>
          </cell>
          <cell r="N442">
            <v>0</v>
          </cell>
          <cell r="O442">
            <v>0</v>
          </cell>
          <cell r="P442">
            <v>673405</v>
          </cell>
        </row>
        <row r="443">
          <cell r="E443">
            <v>585676</v>
          </cell>
          <cell r="F443">
            <v>585676</v>
          </cell>
          <cell r="J443">
            <v>87729</v>
          </cell>
          <cell r="K443">
            <v>87729</v>
          </cell>
          <cell r="N443">
            <v>0</v>
          </cell>
          <cell r="P443">
            <v>673405</v>
          </cell>
        </row>
        <row r="444">
          <cell r="J444">
            <v>0</v>
          </cell>
          <cell r="N444">
            <v>0</v>
          </cell>
          <cell r="O444">
            <v>0</v>
          </cell>
          <cell r="P444">
            <v>0</v>
          </cell>
        </row>
        <row r="445">
          <cell r="J445">
            <v>0</v>
          </cell>
          <cell r="N445">
            <v>0</v>
          </cell>
          <cell r="P445">
            <v>0</v>
          </cell>
        </row>
        <row r="446">
          <cell r="E446">
            <v>0</v>
          </cell>
          <cell r="F446">
            <v>0</v>
          </cell>
          <cell r="P446">
            <v>0</v>
          </cell>
        </row>
        <row r="447">
          <cell r="E447">
            <v>0</v>
          </cell>
          <cell r="P447">
            <v>0</v>
          </cell>
        </row>
        <row r="448">
          <cell r="E448">
            <v>0</v>
          </cell>
          <cell r="G448">
            <v>0</v>
          </cell>
          <cell r="H448">
            <v>0</v>
          </cell>
          <cell r="J448">
            <v>0</v>
          </cell>
          <cell r="K448">
            <v>0</v>
          </cell>
          <cell r="L448">
            <v>0</v>
          </cell>
          <cell r="M448">
            <v>0</v>
          </cell>
          <cell r="N448">
            <v>0</v>
          </cell>
          <cell r="O448">
            <v>0</v>
          </cell>
          <cell r="P448">
            <v>0</v>
          </cell>
        </row>
        <row r="449">
          <cell r="J449">
            <v>0</v>
          </cell>
          <cell r="P449">
            <v>0</v>
          </cell>
        </row>
        <row r="450">
          <cell r="E450">
            <v>48486</v>
          </cell>
          <cell r="F450">
            <v>48486</v>
          </cell>
          <cell r="G450">
            <v>0</v>
          </cell>
          <cell r="H450">
            <v>0</v>
          </cell>
          <cell r="I450">
            <v>0</v>
          </cell>
          <cell r="J450">
            <v>0</v>
          </cell>
          <cell r="K450">
            <v>0</v>
          </cell>
          <cell r="L450">
            <v>0</v>
          </cell>
          <cell r="M450">
            <v>0</v>
          </cell>
          <cell r="N450">
            <v>0</v>
          </cell>
          <cell r="O450">
            <v>0</v>
          </cell>
          <cell r="P450">
            <v>48486</v>
          </cell>
        </row>
        <row r="451">
          <cell r="E451">
            <v>0</v>
          </cell>
          <cell r="P451">
            <v>0</v>
          </cell>
        </row>
        <row r="452">
          <cell r="E452">
            <v>0</v>
          </cell>
          <cell r="F452">
            <v>0</v>
          </cell>
          <cell r="G452">
            <v>0</v>
          </cell>
          <cell r="H452">
            <v>0</v>
          </cell>
          <cell r="I452">
            <v>0</v>
          </cell>
          <cell r="P452">
            <v>0</v>
          </cell>
        </row>
        <row r="453">
          <cell r="E453">
            <v>48486</v>
          </cell>
          <cell r="F453">
            <v>48486</v>
          </cell>
          <cell r="P453">
            <v>48486</v>
          </cell>
        </row>
        <row r="454">
          <cell r="E454">
            <v>16536</v>
          </cell>
          <cell r="F454">
            <v>16536</v>
          </cell>
          <cell r="P454">
            <v>16536</v>
          </cell>
        </row>
        <row r="455">
          <cell r="E455">
            <v>31950</v>
          </cell>
          <cell r="F455">
            <v>31950</v>
          </cell>
          <cell r="P455">
            <v>31950</v>
          </cell>
        </row>
        <row r="456">
          <cell r="E456">
            <v>0</v>
          </cell>
          <cell r="P456">
            <v>0</v>
          </cell>
        </row>
        <row r="457">
          <cell r="E457">
            <v>0</v>
          </cell>
          <cell r="P457">
            <v>0</v>
          </cell>
        </row>
        <row r="458">
          <cell r="E458">
            <v>0</v>
          </cell>
          <cell r="P458">
            <v>0</v>
          </cell>
        </row>
        <row r="459">
          <cell r="E459">
            <v>0</v>
          </cell>
          <cell r="P459">
            <v>0</v>
          </cell>
        </row>
        <row r="460">
          <cell r="E460">
            <v>0</v>
          </cell>
          <cell r="P460">
            <v>0</v>
          </cell>
        </row>
        <row r="461">
          <cell r="E461">
            <v>0</v>
          </cell>
          <cell r="P461">
            <v>0</v>
          </cell>
        </row>
        <row r="462">
          <cell r="E462">
            <v>6126482</v>
          </cell>
          <cell r="F462">
            <v>6126482</v>
          </cell>
          <cell r="G462">
            <v>2938131</v>
          </cell>
          <cell r="H462">
            <v>511950</v>
          </cell>
          <cell r="J462">
            <v>229582</v>
          </cell>
          <cell r="K462">
            <v>178182</v>
          </cell>
          <cell r="L462">
            <v>0</v>
          </cell>
          <cell r="M462">
            <v>0</v>
          </cell>
          <cell r="N462">
            <v>51400</v>
          </cell>
          <cell r="O462">
            <v>0</v>
          </cell>
          <cell r="P462">
            <v>6356064</v>
          </cell>
        </row>
        <row r="463">
          <cell r="E463">
            <v>4961327</v>
          </cell>
          <cell r="F463">
            <v>4961327</v>
          </cell>
          <cell r="G463">
            <v>2938131</v>
          </cell>
          <cell r="H463">
            <v>511950</v>
          </cell>
          <cell r="J463">
            <v>32455</v>
          </cell>
          <cell r="K463">
            <v>32455</v>
          </cell>
          <cell r="L463">
            <v>0</v>
          </cell>
          <cell r="M463">
            <v>0</v>
          </cell>
          <cell r="N463">
            <v>0</v>
          </cell>
          <cell r="O463">
            <v>0</v>
          </cell>
          <cell r="P463">
            <v>4993782</v>
          </cell>
        </row>
        <row r="464">
          <cell r="E464">
            <v>4961327</v>
          </cell>
          <cell r="F464">
            <v>4961327</v>
          </cell>
          <cell r="G464">
            <v>2938131</v>
          </cell>
          <cell r="H464">
            <v>511950</v>
          </cell>
          <cell r="J464">
            <v>32455</v>
          </cell>
          <cell r="K464">
            <v>32455</v>
          </cell>
          <cell r="N464">
            <v>0</v>
          </cell>
          <cell r="P464">
            <v>4993782</v>
          </cell>
        </row>
        <row r="465">
          <cell r="E465">
            <v>948482</v>
          </cell>
          <cell r="F465">
            <v>948482</v>
          </cell>
          <cell r="G465">
            <v>0</v>
          </cell>
          <cell r="H465">
            <v>0</v>
          </cell>
          <cell r="J465">
            <v>197127</v>
          </cell>
          <cell r="K465">
            <v>145727</v>
          </cell>
          <cell r="L465">
            <v>0</v>
          </cell>
          <cell r="M465">
            <v>0</v>
          </cell>
          <cell r="N465">
            <v>51400</v>
          </cell>
          <cell r="O465">
            <v>0</v>
          </cell>
          <cell r="P465">
            <v>1145609</v>
          </cell>
        </row>
        <row r="466">
          <cell r="E466">
            <v>948482</v>
          </cell>
          <cell r="F466">
            <v>948482</v>
          </cell>
          <cell r="J466">
            <v>197127</v>
          </cell>
          <cell r="K466">
            <v>145727</v>
          </cell>
          <cell r="N466">
            <v>51400</v>
          </cell>
          <cell r="P466">
            <v>1145609</v>
          </cell>
        </row>
        <row r="467">
          <cell r="J467">
            <v>0</v>
          </cell>
          <cell r="N467">
            <v>0</v>
          </cell>
          <cell r="O467">
            <v>0</v>
          </cell>
          <cell r="P467">
            <v>0</v>
          </cell>
        </row>
        <row r="468">
          <cell r="J468">
            <v>0</v>
          </cell>
          <cell r="N468">
            <v>0</v>
          </cell>
          <cell r="P468">
            <v>0</v>
          </cell>
        </row>
        <row r="469">
          <cell r="E469">
            <v>0</v>
          </cell>
          <cell r="F469">
            <v>0</v>
          </cell>
          <cell r="P469">
            <v>0</v>
          </cell>
        </row>
        <row r="470">
          <cell r="E470">
            <v>0</v>
          </cell>
          <cell r="P470">
            <v>0</v>
          </cell>
        </row>
        <row r="471">
          <cell r="E471">
            <v>0</v>
          </cell>
          <cell r="G471">
            <v>0</v>
          </cell>
          <cell r="H471">
            <v>0</v>
          </cell>
          <cell r="J471">
            <v>0</v>
          </cell>
          <cell r="K471">
            <v>0</v>
          </cell>
          <cell r="L471">
            <v>0</v>
          </cell>
          <cell r="M471">
            <v>0</v>
          </cell>
          <cell r="N471">
            <v>0</v>
          </cell>
          <cell r="O471">
            <v>0</v>
          </cell>
          <cell r="P471">
            <v>0</v>
          </cell>
        </row>
        <row r="472">
          <cell r="J472">
            <v>0</v>
          </cell>
          <cell r="N472">
            <v>0</v>
          </cell>
          <cell r="P472">
            <v>0</v>
          </cell>
        </row>
        <row r="473">
          <cell r="E473">
            <v>216673</v>
          </cell>
          <cell r="F473">
            <v>216673</v>
          </cell>
          <cell r="G473">
            <v>0</v>
          </cell>
          <cell r="H473">
            <v>0</v>
          </cell>
          <cell r="I473">
            <v>0</v>
          </cell>
          <cell r="J473">
            <v>0</v>
          </cell>
          <cell r="K473">
            <v>0</v>
          </cell>
          <cell r="L473">
            <v>0</v>
          </cell>
          <cell r="M473">
            <v>0</v>
          </cell>
          <cell r="N473">
            <v>0</v>
          </cell>
          <cell r="O473">
            <v>0</v>
          </cell>
          <cell r="P473">
            <v>216673</v>
          </cell>
        </row>
        <row r="474">
          <cell r="E474">
            <v>0</v>
          </cell>
          <cell r="P474">
            <v>0</v>
          </cell>
        </row>
        <row r="475">
          <cell r="E475">
            <v>0</v>
          </cell>
          <cell r="F475">
            <v>0</v>
          </cell>
          <cell r="G475">
            <v>0</v>
          </cell>
          <cell r="H475">
            <v>0</v>
          </cell>
          <cell r="I475">
            <v>0</v>
          </cell>
          <cell r="P475">
            <v>0</v>
          </cell>
        </row>
        <row r="476">
          <cell r="E476">
            <v>216673</v>
          </cell>
          <cell r="F476">
            <v>216673</v>
          </cell>
          <cell r="P476">
            <v>216673</v>
          </cell>
        </row>
        <row r="477">
          <cell r="E477">
            <v>165360</v>
          </cell>
          <cell r="F477">
            <v>165360</v>
          </cell>
          <cell r="P477">
            <v>165360</v>
          </cell>
        </row>
        <row r="478">
          <cell r="E478">
            <v>0</v>
          </cell>
          <cell r="P478">
            <v>0</v>
          </cell>
        </row>
        <row r="479">
          <cell r="E479">
            <v>51313</v>
          </cell>
          <cell r="F479">
            <v>51313</v>
          </cell>
          <cell r="P479">
            <v>51313</v>
          </cell>
        </row>
        <row r="480">
          <cell r="E480">
            <v>0</v>
          </cell>
          <cell r="P480">
            <v>0</v>
          </cell>
        </row>
        <row r="481">
          <cell r="E481">
            <v>0</v>
          </cell>
          <cell r="P481">
            <v>0</v>
          </cell>
        </row>
        <row r="482">
          <cell r="E482">
            <v>0</v>
          </cell>
        </row>
        <row r="483">
          <cell r="E483">
            <v>0</v>
          </cell>
          <cell r="P483">
            <v>0</v>
          </cell>
        </row>
        <row r="484">
          <cell r="E484">
            <v>6198370</v>
          </cell>
          <cell r="F484">
            <v>6198370</v>
          </cell>
          <cell r="G484">
            <v>2949716</v>
          </cell>
          <cell r="H484">
            <v>439208</v>
          </cell>
          <cell r="J484">
            <v>2448</v>
          </cell>
          <cell r="K484">
            <v>2448</v>
          </cell>
          <cell r="L484">
            <v>0</v>
          </cell>
          <cell r="M484">
            <v>0</v>
          </cell>
          <cell r="N484">
            <v>0</v>
          </cell>
          <cell r="O484">
            <v>0</v>
          </cell>
          <cell r="P484">
            <v>6200818</v>
          </cell>
        </row>
        <row r="485">
          <cell r="E485">
            <v>4863990</v>
          </cell>
          <cell r="F485">
            <v>4863990</v>
          </cell>
          <cell r="G485">
            <v>2949716</v>
          </cell>
          <cell r="H485">
            <v>439208</v>
          </cell>
          <cell r="J485">
            <v>2448</v>
          </cell>
          <cell r="K485">
            <v>2448</v>
          </cell>
          <cell r="N485">
            <v>0</v>
          </cell>
          <cell r="O485">
            <v>0</v>
          </cell>
          <cell r="P485">
            <v>4866438</v>
          </cell>
        </row>
        <row r="486">
          <cell r="E486">
            <v>4863990</v>
          </cell>
          <cell r="F486">
            <v>4863990</v>
          </cell>
          <cell r="G486">
            <v>2949716</v>
          </cell>
          <cell r="H486">
            <v>439208</v>
          </cell>
          <cell r="J486">
            <v>2448</v>
          </cell>
          <cell r="K486">
            <v>2448</v>
          </cell>
          <cell r="N486">
            <v>0</v>
          </cell>
          <cell r="P486">
            <v>4866438</v>
          </cell>
        </row>
        <row r="487">
          <cell r="E487">
            <v>1142260</v>
          </cell>
          <cell r="F487">
            <v>1142260</v>
          </cell>
          <cell r="G487">
            <v>0</v>
          </cell>
          <cell r="H487">
            <v>0</v>
          </cell>
          <cell r="J487">
            <v>0</v>
          </cell>
          <cell r="K487">
            <v>0</v>
          </cell>
          <cell r="L487">
            <v>0</v>
          </cell>
          <cell r="M487">
            <v>0</v>
          </cell>
          <cell r="N487">
            <v>0</v>
          </cell>
          <cell r="O487">
            <v>0</v>
          </cell>
          <cell r="P487">
            <v>1142260</v>
          </cell>
        </row>
        <row r="488">
          <cell r="E488">
            <v>1142260</v>
          </cell>
          <cell r="F488">
            <v>1142260</v>
          </cell>
          <cell r="J488">
            <v>0</v>
          </cell>
          <cell r="N488">
            <v>0</v>
          </cell>
          <cell r="O488">
            <v>0</v>
          </cell>
          <cell r="P488">
            <v>1142260</v>
          </cell>
        </row>
        <row r="489">
          <cell r="J489">
            <v>0</v>
          </cell>
          <cell r="N489">
            <v>0</v>
          </cell>
          <cell r="O489">
            <v>0</v>
          </cell>
          <cell r="P489">
            <v>0</v>
          </cell>
        </row>
        <row r="490">
          <cell r="J490">
            <v>0</v>
          </cell>
          <cell r="N490">
            <v>0</v>
          </cell>
          <cell r="P490">
            <v>0</v>
          </cell>
        </row>
        <row r="491">
          <cell r="E491">
            <v>0</v>
          </cell>
          <cell r="F491">
            <v>0</v>
          </cell>
          <cell r="P491">
            <v>0</v>
          </cell>
        </row>
        <row r="492">
          <cell r="E492">
            <v>0</v>
          </cell>
          <cell r="P492">
            <v>0</v>
          </cell>
        </row>
        <row r="493">
          <cell r="E493">
            <v>0</v>
          </cell>
          <cell r="G493">
            <v>0</v>
          </cell>
          <cell r="H493">
            <v>0</v>
          </cell>
          <cell r="J493">
            <v>0</v>
          </cell>
          <cell r="K493">
            <v>0</v>
          </cell>
          <cell r="L493">
            <v>0</v>
          </cell>
          <cell r="M493">
            <v>0</v>
          </cell>
          <cell r="N493">
            <v>0</v>
          </cell>
          <cell r="O493">
            <v>0</v>
          </cell>
          <cell r="P493">
            <v>0</v>
          </cell>
        </row>
        <row r="494">
          <cell r="J494">
            <v>0</v>
          </cell>
          <cell r="P494">
            <v>0</v>
          </cell>
        </row>
        <row r="495">
          <cell r="E495">
            <v>0</v>
          </cell>
          <cell r="F495">
            <v>0</v>
          </cell>
          <cell r="P495">
            <v>0</v>
          </cell>
        </row>
        <row r="496">
          <cell r="E496">
            <v>0</v>
          </cell>
          <cell r="P496">
            <v>0</v>
          </cell>
        </row>
        <row r="497">
          <cell r="E497">
            <v>192120</v>
          </cell>
          <cell r="F497">
            <v>192120</v>
          </cell>
          <cell r="G497">
            <v>0</v>
          </cell>
          <cell r="H497">
            <v>0</v>
          </cell>
          <cell r="I497">
            <v>0</v>
          </cell>
          <cell r="P497">
            <v>192120</v>
          </cell>
        </row>
        <row r="498">
          <cell r="E498">
            <v>0</v>
          </cell>
          <cell r="P498">
            <v>0</v>
          </cell>
        </row>
        <row r="499">
          <cell r="E499">
            <v>0</v>
          </cell>
          <cell r="F499">
            <v>0</v>
          </cell>
          <cell r="G499">
            <v>0</v>
          </cell>
          <cell r="H499">
            <v>0</v>
          </cell>
          <cell r="I499">
            <v>0</v>
          </cell>
          <cell r="P499">
            <v>0</v>
          </cell>
        </row>
        <row r="500">
          <cell r="E500">
            <v>192120</v>
          </cell>
          <cell r="F500">
            <v>192120</v>
          </cell>
          <cell r="P500">
            <v>192120</v>
          </cell>
        </row>
        <row r="501">
          <cell r="E501">
            <v>171129</v>
          </cell>
          <cell r="F501">
            <v>171129</v>
          </cell>
          <cell r="P501">
            <v>171129</v>
          </cell>
        </row>
        <row r="502">
          <cell r="E502">
            <v>0</v>
          </cell>
          <cell r="P502">
            <v>0</v>
          </cell>
        </row>
        <row r="503">
          <cell r="E503">
            <v>20991</v>
          </cell>
          <cell r="F503">
            <v>20991</v>
          </cell>
          <cell r="P503">
            <v>20991</v>
          </cell>
        </row>
        <row r="504">
          <cell r="E504">
            <v>0</v>
          </cell>
          <cell r="P504">
            <v>0</v>
          </cell>
        </row>
        <row r="505">
          <cell r="E505">
            <v>0</v>
          </cell>
          <cell r="P505">
            <v>0</v>
          </cell>
        </row>
        <row r="506">
          <cell r="E506">
            <v>0</v>
          </cell>
          <cell r="P506">
            <v>0</v>
          </cell>
        </row>
        <row r="507">
          <cell r="E507">
            <v>0</v>
          </cell>
          <cell r="P507">
            <v>0</v>
          </cell>
        </row>
        <row r="508">
          <cell r="E508">
            <v>6721629</v>
          </cell>
          <cell r="F508">
            <v>6721629</v>
          </cell>
          <cell r="G508">
            <v>3158237</v>
          </cell>
          <cell r="H508">
            <v>509871</v>
          </cell>
          <cell r="J508">
            <v>355984</v>
          </cell>
          <cell r="K508">
            <v>203995</v>
          </cell>
          <cell r="L508">
            <v>0</v>
          </cell>
          <cell r="M508">
            <v>0</v>
          </cell>
          <cell r="N508">
            <v>151989</v>
          </cell>
          <cell r="O508">
            <v>0</v>
          </cell>
          <cell r="P508">
            <v>7077613</v>
          </cell>
        </row>
        <row r="509">
          <cell r="E509">
            <v>5248274</v>
          </cell>
          <cell r="F509">
            <v>5248274</v>
          </cell>
          <cell r="G509">
            <v>3158237</v>
          </cell>
          <cell r="H509">
            <v>509871</v>
          </cell>
          <cell r="J509">
            <v>325984</v>
          </cell>
          <cell r="K509">
            <v>173995</v>
          </cell>
          <cell r="L509">
            <v>0</v>
          </cell>
          <cell r="M509">
            <v>0</v>
          </cell>
          <cell r="N509">
            <v>151989</v>
          </cell>
          <cell r="O509">
            <v>0</v>
          </cell>
          <cell r="P509">
            <v>5574258</v>
          </cell>
        </row>
        <row r="510">
          <cell r="E510">
            <v>5248274</v>
          </cell>
          <cell r="F510">
            <v>5248274</v>
          </cell>
          <cell r="G510">
            <v>3158237</v>
          </cell>
          <cell r="H510">
            <v>509871</v>
          </cell>
          <cell r="J510">
            <v>325984</v>
          </cell>
          <cell r="K510">
            <v>173995</v>
          </cell>
          <cell r="N510">
            <v>151989</v>
          </cell>
          <cell r="P510">
            <v>5574258</v>
          </cell>
        </row>
        <row r="511">
          <cell r="E511">
            <v>0</v>
          </cell>
          <cell r="F511">
            <v>0</v>
          </cell>
          <cell r="J511">
            <v>0</v>
          </cell>
          <cell r="P511">
            <v>0</v>
          </cell>
        </row>
        <row r="512">
          <cell r="E512">
            <v>0</v>
          </cell>
          <cell r="J512">
            <v>0</v>
          </cell>
          <cell r="P512">
            <v>0</v>
          </cell>
        </row>
        <row r="513">
          <cell r="E513">
            <v>1035807</v>
          </cell>
          <cell r="F513">
            <v>1035807</v>
          </cell>
          <cell r="G513">
            <v>0</v>
          </cell>
          <cell r="H513">
            <v>0</v>
          </cell>
          <cell r="J513">
            <v>0</v>
          </cell>
          <cell r="K513">
            <v>0</v>
          </cell>
          <cell r="L513">
            <v>0</v>
          </cell>
          <cell r="M513">
            <v>0</v>
          </cell>
          <cell r="N513">
            <v>0</v>
          </cell>
          <cell r="O513">
            <v>0</v>
          </cell>
          <cell r="P513">
            <v>1035807</v>
          </cell>
        </row>
        <row r="514">
          <cell r="E514">
            <v>1035807</v>
          </cell>
          <cell r="F514">
            <v>1035807</v>
          </cell>
          <cell r="J514">
            <v>0</v>
          </cell>
          <cell r="N514">
            <v>0</v>
          </cell>
          <cell r="P514">
            <v>1035807</v>
          </cell>
        </row>
        <row r="515">
          <cell r="E515">
            <v>0</v>
          </cell>
          <cell r="J515">
            <v>0</v>
          </cell>
          <cell r="P515">
            <v>0</v>
          </cell>
        </row>
        <row r="516">
          <cell r="J516">
            <v>0</v>
          </cell>
          <cell r="P516">
            <v>0</v>
          </cell>
        </row>
        <row r="517">
          <cell r="J517">
            <v>0</v>
          </cell>
          <cell r="N517">
            <v>0</v>
          </cell>
          <cell r="O517">
            <v>0</v>
          </cell>
          <cell r="P517">
            <v>0</v>
          </cell>
        </row>
        <row r="518">
          <cell r="J518">
            <v>0</v>
          </cell>
          <cell r="N518">
            <v>0</v>
          </cell>
          <cell r="P518">
            <v>0</v>
          </cell>
        </row>
        <row r="519">
          <cell r="E519">
            <v>0</v>
          </cell>
          <cell r="F519">
            <v>0</v>
          </cell>
          <cell r="P519">
            <v>0</v>
          </cell>
        </row>
        <row r="520">
          <cell r="E520">
            <v>0</v>
          </cell>
          <cell r="P520">
            <v>0</v>
          </cell>
        </row>
        <row r="521">
          <cell r="E521">
            <v>0</v>
          </cell>
          <cell r="G521">
            <v>0</v>
          </cell>
          <cell r="H521">
            <v>0</v>
          </cell>
          <cell r="J521">
            <v>30000</v>
          </cell>
          <cell r="K521">
            <v>30000</v>
          </cell>
          <cell r="L521">
            <v>0</v>
          </cell>
          <cell r="M521">
            <v>0</v>
          </cell>
          <cell r="N521">
            <v>0</v>
          </cell>
          <cell r="O521">
            <v>0</v>
          </cell>
          <cell r="P521">
            <v>30000</v>
          </cell>
        </row>
        <row r="522">
          <cell r="J522">
            <v>30000</v>
          </cell>
          <cell r="K522">
            <v>30000</v>
          </cell>
          <cell r="P522">
            <v>30000</v>
          </cell>
        </row>
        <row r="523">
          <cell r="E523">
            <v>437548</v>
          </cell>
          <cell r="F523">
            <v>437548</v>
          </cell>
          <cell r="G523">
            <v>0</v>
          </cell>
          <cell r="H523">
            <v>0</v>
          </cell>
          <cell r="I523">
            <v>0</v>
          </cell>
          <cell r="J523">
            <v>0</v>
          </cell>
          <cell r="K523">
            <v>0</v>
          </cell>
          <cell r="L523">
            <v>0</v>
          </cell>
          <cell r="M523">
            <v>0</v>
          </cell>
          <cell r="N523">
            <v>0</v>
          </cell>
          <cell r="O523">
            <v>0</v>
          </cell>
          <cell r="P523">
            <v>437548</v>
          </cell>
        </row>
        <row r="524">
          <cell r="E524">
            <v>0</v>
          </cell>
          <cell r="P524">
            <v>0</v>
          </cell>
        </row>
        <row r="525">
          <cell r="E525">
            <v>0</v>
          </cell>
          <cell r="F525">
            <v>0</v>
          </cell>
          <cell r="G525">
            <v>0</v>
          </cell>
          <cell r="H525">
            <v>0</v>
          </cell>
          <cell r="I525">
            <v>0</v>
          </cell>
          <cell r="P525">
            <v>0</v>
          </cell>
        </row>
        <row r="526">
          <cell r="E526">
            <v>437548</v>
          </cell>
          <cell r="F526">
            <v>437548</v>
          </cell>
          <cell r="P526">
            <v>437548</v>
          </cell>
        </row>
        <row r="527">
          <cell r="E527">
            <v>375288</v>
          </cell>
          <cell r="F527">
            <v>375288</v>
          </cell>
          <cell r="P527">
            <v>375288</v>
          </cell>
        </row>
        <row r="528">
          <cell r="E528">
            <v>0</v>
          </cell>
          <cell r="P528">
            <v>0</v>
          </cell>
        </row>
        <row r="529">
          <cell r="E529">
            <v>62260</v>
          </cell>
          <cell r="F529">
            <v>62260</v>
          </cell>
          <cell r="P529">
            <v>62260</v>
          </cell>
        </row>
        <row r="530">
          <cell r="E530">
            <v>0</v>
          </cell>
          <cell r="P530">
            <v>0</v>
          </cell>
        </row>
        <row r="531">
          <cell r="E531">
            <v>0</v>
          </cell>
          <cell r="P531">
            <v>0</v>
          </cell>
        </row>
        <row r="532">
          <cell r="E532">
            <v>0</v>
          </cell>
          <cell r="P532">
            <v>0</v>
          </cell>
        </row>
        <row r="533">
          <cell r="E533">
            <v>0</v>
          </cell>
          <cell r="P533">
            <v>0</v>
          </cell>
        </row>
        <row r="534">
          <cell r="E534">
            <v>0</v>
          </cell>
          <cell r="P534">
            <v>0</v>
          </cell>
        </row>
        <row r="535">
          <cell r="E535">
            <v>6612519</v>
          </cell>
          <cell r="F535">
            <v>6612519</v>
          </cell>
          <cell r="G535">
            <v>3086263</v>
          </cell>
          <cell r="H535">
            <v>733386</v>
          </cell>
          <cell r="J535">
            <v>132978</v>
          </cell>
          <cell r="K535">
            <v>132978</v>
          </cell>
          <cell r="L535">
            <v>0</v>
          </cell>
          <cell r="M535">
            <v>0</v>
          </cell>
          <cell r="N535">
            <v>0</v>
          </cell>
          <cell r="O535">
            <v>0</v>
          </cell>
          <cell r="P535">
            <v>6745497</v>
          </cell>
        </row>
        <row r="536">
          <cell r="E536">
            <v>5472036</v>
          </cell>
          <cell r="F536">
            <v>5472036</v>
          </cell>
          <cell r="G536">
            <v>3086263</v>
          </cell>
          <cell r="H536">
            <v>733386</v>
          </cell>
          <cell r="J536">
            <v>122978</v>
          </cell>
          <cell r="K536">
            <v>122978</v>
          </cell>
          <cell r="L536">
            <v>0</v>
          </cell>
          <cell r="M536">
            <v>0</v>
          </cell>
          <cell r="N536">
            <v>0</v>
          </cell>
          <cell r="O536">
            <v>0</v>
          </cell>
          <cell r="P536">
            <v>5595014</v>
          </cell>
        </row>
        <row r="537">
          <cell r="E537">
            <v>5472036</v>
          </cell>
          <cell r="F537">
            <v>5472036</v>
          </cell>
          <cell r="G537">
            <v>3086263</v>
          </cell>
          <cell r="H537">
            <v>733386</v>
          </cell>
          <cell r="J537">
            <v>122978</v>
          </cell>
          <cell r="K537">
            <v>122978</v>
          </cell>
          <cell r="N537">
            <v>0</v>
          </cell>
          <cell r="P537">
            <v>5595014</v>
          </cell>
        </row>
        <row r="538">
          <cell r="E538">
            <v>992938</v>
          </cell>
          <cell r="F538">
            <v>992938</v>
          </cell>
          <cell r="G538">
            <v>0</v>
          </cell>
          <cell r="H538">
            <v>0</v>
          </cell>
          <cell r="J538">
            <v>0</v>
          </cell>
          <cell r="K538">
            <v>0</v>
          </cell>
          <cell r="L538">
            <v>0</v>
          </cell>
          <cell r="M538">
            <v>0</v>
          </cell>
          <cell r="N538">
            <v>0</v>
          </cell>
          <cell r="O538">
            <v>0</v>
          </cell>
          <cell r="P538">
            <v>992938</v>
          </cell>
        </row>
        <row r="539">
          <cell r="E539">
            <v>992938</v>
          </cell>
          <cell r="F539">
            <v>992938</v>
          </cell>
          <cell r="J539">
            <v>0</v>
          </cell>
          <cell r="N539">
            <v>0</v>
          </cell>
          <cell r="P539">
            <v>992938</v>
          </cell>
        </row>
        <row r="540">
          <cell r="J540">
            <v>0</v>
          </cell>
          <cell r="N540">
            <v>0</v>
          </cell>
          <cell r="O540">
            <v>0</v>
          </cell>
          <cell r="P540">
            <v>0</v>
          </cell>
        </row>
        <row r="541">
          <cell r="J541">
            <v>0</v>
          </cell>
          <cell r="N541">
            <v>0</v>
          </cell>
          <cell r="P541">
            <v>0</v>
          </cell>
        </row>
        <row r="542">
          <cell r="E542">
            <v>0</v>
          </cell>
          <cell r="F542">
            <v>0</v>
          </cell>
          <cell r="P542">
            <v>0</v>
          </cell>
        </row>
        <row r="543">
          <cell r="E543">
            <v>0</v>
          </cell>
          <cell r="P543">
            <v>0</v>
          </cell>
        </row>
        <row r="544">
          <cell r="E544">
            <v>0</v>
          </cell>
          <cell r="G544">
            <v>0</v>
          </cell>
          <cell r="H544">
            <v>0</v>
          </cell>
          <cell r="J544">
            <v>10000</v>
          </cell>
          <cell r="K544">
            <v>10000</v>
          </cell>
          <cell r="L544">
            <v>0</v>
          </cell>
          <cell r="M544">
            <v>0</v>
          </cell>
          <cell r="N544">
            <v>0</v>
          </cell>
          <cell r="O544">
            <v>0</v>
          </cell>
          <cell r="P544">
            <v>10000</v>
          </cell>
        </row>
        <row r="545">
          <cell r="J545">
            <v>10000</v>
          </cell>
          <cell r="K545">
            <v>10000</v>
          </cell>
          <cell r="P545">
            <v>10000</v>
          </cell>
        </row>
        <row r="546">
          <cell r="E546">
            <v>147545</v>
          </cell>
          <cell r="F546">
            <v>147545</v>
          </cell>
          <cell r="G546">
            <v>0</v>
          </cell>
          <cell r="H546">
            <v>0</v>
          </cell>
          <cell r="I546">
            <v>0</v>
          </cell>
          <cell r="J546">
            <v>0</v>
          </cell>
          <cell r="K546">
            <v>0</v>
          </cell>
          <cell r="L546">
            <v>0</v>
          </cell>
          <cell r="M546">
            <v>0</v>
          </cell>
          <cell r="N546">
            <v>0</v>
          </cell>
          <cell r="O546">
            <v>0</v>
          </cell>
          <cell r="P546">
            <v>147545</v>
          </cell>
        </row>
        <row r="547">
          <cell r="E547">
            <v>0</v>
          </cell>
          <cell r="P547">
            <v>0</v>
          </cell>
        </row>
        <row r="548">
          <cell r="E548">
            <v>0</v>
          </cell>
          <cell r="F548">
            <v>0</v>
          </cell>
          <cell r="G548">
            <v>0</v>
          </cell>
          <cell r="H548">
            <v>0</v>
          </cell>
          <cell r="I548">
            <v>0</v>
          </cell>
          <cell r="P548">
            <v>0</v>
          </cell>
        </row>
        <row r="549">
          <cell r="E549">
            <v>147545</v>
          </cell>
          <cell r="F549">
            <v>147545</v>
          </cell>
          <cell r="P549">
            <v>147545</v>
          </cell>
        </row>
        <row r="550">
          <cell r="E550">
            <v>110240</v>
          </cell>
          <cell r="F550">
            <v>110240</v>
          </cell>
          <cell r="P550">
            <v>110240</v>
          </cell>
        </row>
        <row r="551">
          <cell r="E551">
            <v>0</v>
          </cell>
          <cell r="P551">
            <v>0</v>
          </cell>
        </row>
        <row r="552">
          <cell r="E552">
            <v>37305</v>
          </cell>
          <cell r="F552">
            <v>37305</v>
          </cell>
          <cell r="P552">
            <v>37305</v>
          </cell>
        </row>
        <row r="553">
          <cell r="E553">
            <v>0</v>
          </cell>
          <cell r="P553">
            <v>0</v>
          </cell>
        </row>
        <row r="554">
          <cell r="E554">
            <v>0</v>
          </cell>
          <cell r="P554">
            <v>0</v>
          </cell>
        </row>
        <row r="555">
          <cell r="E555">
            <v>0</v>
          </cell>
          <cell r="P555">
            <v>0</v>
          </cell>
        </row>
        <row r="556">
          <cell r="E556">
            <v>0</v>
          </cell>
          <cell r="P556">
            <v>0</v>
          </cell>
        </row>
        <row r="557">
          <cell r="E557">
            <v>0</v>
          </cell>
          <cell r="P557">
            <v>0</v>
          </cell>
        </row>
        <row r="558">
          <cell r="E558">
            <v>6413630</v>
          </cell>
          <cell r="F558">
            <v>6413630</v>
          </cell>
          <cell r="G558">
            <v>3312764</v>
          </cell>
          <cell r="H558">
            <v>519410</v>
          </cell>
          <cell r="J558">
            <v>46604</v>
          </cell>
          <cell r="K558">
            <v>46604</v>
          </cell>
          <cell r="L558">
            <v>0</v>
          </cell>
          <cell r="M558">
            <v>0</v>
          </cell>
          <cell r="N558">
            <v>0</v>
          </cell>
          <cell r="O558">
            <v>0</v>
          </cell>
          <cell r="P558">
            <v>6460234</v>
          </cell>
        </row>
        <row r="559">
          <cell r="E559">
            <v>5450997</v>
          </cell>
          <cell r="F559">
            <v>5450997</v>
          </cell>
          <cell r="G559">
            <v>3312764</v>
          </cell>
          <cell r="H559">
            <v>519410</v>
          </cell>
          <cell r="J559">
            <v>46604</v>
          </cell>
          <cell r="K559">
            <v>46604</v>
          </cell>
          <cell r="L559">
            <v>0</v>
          </cell>
          <cell r="M559">
            <v>0</v>
          </cell>
          <cell r="N559">
            <v>0</v>
          </cell>
          <cell r="O559">
            <v>0</v>
          </cell>
          <cell r="P559">
            <v>5497601</v>
          </cell>
        </row>
        <row r="560">
          <cell r="E560">
            <v>5450997</v>
          </cell>
          <cell r="F560">
            <v>5450997</v>
          </cell>
          <cell r="G560">
            <v>3312764</v>
          </cell>
          <cell r="H560">
            <v>519410</v>
          </cell>
          <cell r="J560">
            <v>46604</v>
          </cell>
          <cell r="K560">
            <v>46604</v>
          </cell>
          <cell r="N560">
            <v>0</v>
          </cell>
          <cell r="P560">
            <v>5497601</v>
          </cell>
        </row>
        <row r="561">
          <cell r="E561">
            <v>728081</v>
          </cell>
          <cell r="F561">
            <v>728081</v>
          </cell>
          <cell r="G561">
            <v>0</v>
          </cell>
          <cell r="H561">
            <v>0</v>
          </cell>
          <cell r="J561">
            <v>0</v>
          </cell>
          <cell r="K561">
            <v>0</v>
          </cell>
          <cell r="L561">
            <v>0</v>
          </cell>
          <cell r="M561">
            <v>0</v>
          </cell>
          <cell r="N561">
            <v>0</v>
          </cell>
          <cell r="O561">
            <v>0</v>
          </cell>
          <cell r="P561">
            <v>728081</v>
          </cell>
        </row>
        <row r="562">
          <cell r="E562">
            <v>728081</v>
          </cell>
          <cell r="F562">
            <v>728081</v>
          </cell>
          <cell r="J562">
            <v>0</v>
          </cell>
          <cell r="N562">
            <v>0</v>
          </cell>
          <cell r="P562">
            <v>728081</v>
          </cell>
        </row>
        <row r="563">
          <cell r="J563">
            <v>0</v>
          </cell>
          <cell r="N563">
            <v>0</v>
          </cell>
          <cell r="O563">
            <v>0</v>
          </cell>
          <cell r="P563">
            <v>0</v>
          </cell>
        </row>
        <row r="564">
          <cell r="J564">
            <v>0</v>
          </cell>
          <cell r="N564">
            <v>0</v>
          </cell>
          <cell r="P564">
            <v>0</v>
          </cell>
        </row>
        <row r="565">
          <cell r="E565">
            <v>0</v>
          </cell>
          <cell r="G565">
            <v>0</v>
          </cell>
          <cell r="H565">
            <v>0</v>
          </cell>
          <cell r="J565">
            <v>0</v>
          </cell>
          <cell r="K565">
            <v>0</v>
          </cell>
          <cell r="L565">
            <v>0</v>
          </cell>
          <cell r="M565">
            <v>0</v>
          </cell>
          <cell r="N565">
            <v>0</v>
          </cell>
          <cell r="O565">
            <v>0</v>
          </cell>
          <cell r="P565">
            <v>0</v>
          </cell>
        </row>
        <row r="566">
          <cell r="J566">
            <v>0</v>
          </cell>
          <cell r="P566">
            <v>0</v>
          </cell>
        </row>
        <row r="567">
          <cell r="E567">
            <v>0</v>
          </cell>
          <cell r="F567">
            <v>0</v>
          </cell>
          <cell r="P567">
            <v>0</v>
          </cell>
        </row>
        <row r="568">
          <cell r="E568">
            <v>0</v>
          </cell>
          <cell r="P568">
            <v>0</v>
          </cell>
        </row>
        <row r="569">
          <cell r="E569">
            <v>234552</v>
          </cell>
          <cell r="F569">
            <v>234552</v>
          </cell>
          <cell r="G569">
            <v>0</v>
          </cell>
          <cell r="H569">
            <v>0</v>
          </cell>
          <cell r="I569">
            <v>0</v>
          </cell>
          <cell r="J569">
            <v>0</v>
          </cell>
          <cell r="K569">
            <v>0</v>
          </cell>
          <cell r="L569">
            <v>0</v>
          </cell>
          <cell r="M569">
            <v>0</v>
          </cell>
          <cell r="N569">
            <v>0</v>
          </cell>
          <cell r="O569">
            <v>0</v>
          </cell>
          <cell r="P569">
            <v>234552</v>
          </cell>
        </row>
        <row r="570">
          <cell r="E570">
            <v>0</v>
          </cell>
          <cell r="P570">
            <v>0</v>
          </cell>
        </row>
        <row r="571">
          <cell r="E571">
            <v>0</v>
          </cell>
          <cell r="F571">
            <v>0</v>
          </cell>
          <cell r="G571">
            <v>0</v>
          </cell>
          <cell r="H571">
            <v>0</v>
          </cell>
          <cell r="I571">
            <v>0</v>
          </cell>
          <cell r="P571">
            <v>0</v>
          </cell>
        </row>
        <row r="572">
          <cell r="E572">
            <v>234552</v>
          </cell>
          <cell r="F572">
            <v>234552</v>
          </cell>
          <cell r="J572">
            <v>0</v>
          </cell>
          <cell r="K572">
            <v>0</v>
          </cell>
          <cell r="L572">
            <v>0</v>
          </cell>
          <cell r="M572">
            <v>0</v>
          </cell>
          <cell r="N572">
            <v>0</v>
          </cell>
          <cell r="O572">
            <v>0</v>
          </cell>
          <cell r="P572">
            <v>234552</v>
          </cell>
        </row>
        <row r="573">
          <cell r="E573">
            <v>154552</v>
          </cell>
          <cell r="F573">
            <v>154552</v>
          </cell>
          <cell r="P573">
            <v>154552</v>
          </cell>
        </row>
        <row r="574">
          <cell r="E574">
            <v>80000</v>
          </cell>
          <cell r="F574">
            <v>80000</v>
          </cell>
          <cell r="P574">
            <v>80000</v>
          </cell>
        </row>
        <row r="575">
          <cell r="E575">
            <v>0</v>
          </cell>
          <cell r="P575">
            <v>0</v>
          </cell>
        </row>
        <row r="576">
          <cell r="E576">
            <v>0</v>
          </cell>
          <cell r="J576">
            <v>0</v>
          </cell>
          <cell r="P576">
            <v>0</v>
          </cell>
        </row>
        <row r="577">
          <cell r="E577">
            <v>0</v>
          </cell>
          <cell r="P577">
            <v>0</v>
          </cell>
        </row>
        <row r="578">
          <cell r="E578">
            <v>0</v>
          </cell>
          <cell r="P578">
            <v>0</v>
          </cell>
        </row>
        <row r="579">
          <cell r="E579">
            <v>0</v>
          </cell>
          <cell r="F579">
            <v>0</v>
          </cell>
          <cell r="P579">
            <v>0</v>
          </cell>
        </row>
        <row r="580">
          <cell r="E580">
            <v>3853868386</v>
          </cell>
          <cell r="F580">
            <v>3834245716</v>
          </cell>
          <cell r="G580">
            <v>1213726439</v>
          </cell>
          <cell r="H580">
            <v>321644849</v>
          </cell>
          <cell r="I580">
            <v>0</v>
          </cell>
          <cell r="J580">
            <v>723480836</v>
          </cell>
          <cell r="K580">
            <v>88390040</v>
          </cell>
          <cell r="L580">
            <v>22091874</v>
          </cell>
          <cell r="M580">
            <v>3657868</v>
          </cell>
          <cell r="N580">
            <v>635090796</v>
          </cell>
          <cell r="O580">
            <v>632025648</v>
          </cell>
          <cell r="P580">
            <v>4577349222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S617"/>
  <sheetViews>
    <sheetView showZeros="0" tabSelected="1" view="pageBreakPreview" zoomScale="85" zoomScaleNormal="75" zoomScaleSheetLayoutView="85" zoomScalePageLayoutView="0" workbookViewId="0" topLeftCell="B1">
      <selection activeCell="B4" sqref="B4:P4"/>
    </sheetView>
  </sheetViews>
  <sheetFormatPr defaultColWidth="9.1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4.75390625" style="45" customWidth="1"/>
    <col min="24" max="24" width="14.12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86"/>
      <c r="K1" s="186"/>
      <c r="L1" s="141" t="s">
        <v>306</v>
      </c>
      <c r="O1" s="136"/>
      <c r="P1" s="136"/>
    </row>
    <row r="2" spans="1:16" ht="33" customHeight="1">
      <c r="A2" s="46"/>
      <c r="B2" s="46"/>
      <c r="C2" s="46"/>
      <c r="D2" s="47"/>
      <c r="E2" s="47"/>
      <c r="F2" s="47"/>
      <c r="G2" s="47"/>
      <c r="H2" s="47"/>
      <c r="I2" s="47"/>
      <c r="J2" s="186"/>
      <c r="K2" s="186"/>
      <c r="L2" s="141" t="s">
        <v>341</v>
      </c>
      <c r="O2" s="138"/>
      <c r="P2" s="138"/>
    </row>
    <row r="3" spans="1:16" ht="33" customHeight="1">
      <c r="A3" s="46"/>
      <c r="B3" s="46"/>
      <c r="C3" s="46"/>
      <c r="D3" s="47"/>
      <c r="E3" s="47"/>
      <c r="F3" s="47"/>
      <c r="G3" s="47"/>
      <c r="H3" s="47"/>
      <c r="I3" s="47"/>
      <c r="J3" s="186"/>
      <c r="K3" s="186"/>
      <c r="L3" s="199" t="s">
        <v>62</v>
      </c>
      <c r="O3" s="135"/>
      <c r="P3" s="135"/>
    </row>
    <row r="4" spans="1:16" ht="33" customHeight="1">
      <c r="A4" s="45"/>
      <c r="B4" s="190" t="s">
        <v>408</v>
      </c>
      <c r="C4" s="191"/>
      <c r="D4" s="191"/>
      <c r="E4" s="191"/>
      <c r="F4" s="191"/>
      <c r="G4" s="191"/>
      <c r="H4" s="191"/>
      <c r="I4" s="191"/>
      <c r="J4" s="191"/>
      <c r="K4" s="191"/>
      <c r="L4" s="191"/>
      <c r="M4" s="191"/>
      <c r="N4" s="191"/>
      <c r="O4" s="191"/>
      <c r="P4" s="192"/>
    </row>
    <row r="5" spans="1:16" ht="33" customHeight="1">
      <c r="A5" s="45"/>
      <c r="B5" s="190" t="s">
        <v>497</v>
      </c>
      <c r="C5" s="191"/>
      <c r="D5" s="191"/>
      <c r="E5" s="191"/>
      <c r="F5" s="191"/>
      <c r="G5" s="191"/>
      <c r="H5" s="191"/>
      <c r="I5" s="191"/>
      <c r="J5" s="191"/>
      <c r="K5" s="191"/>
      <c r="L5" s="191"/>
      <c r="M5" s="191"/>
      <c r="N5" s="191"/>
      <c r="O5" s="191"/>
      <c r="P5" s="192"/>
    </row>
    <row r="6" spans="1:16" ht="33" customHeight="1">
      <c r="A6" s="48"/>
      <c r="B6" s="48"/>
      <c r="C6" s="48"/>
      <c r="D6" s="49"/>
      <c r="E6" s="33"/>
      <c r="F6" s="33"/>
      <c r="G6" s="33"/>
      <c r="H6" s="33"/>
      <c r="I6" s="33"/>
      <c r="J6" s="33"/>
      <c r="K6" s="33"/>
      <c r="L6" s="33"/>
      <c r="M6" s="34"/>
      <c r="N6" s="34"/>
      <c r="O6" s="196" t="s">
        <v>59</v>
      </c>
      <c r="P6" s="197"/>
    </row>
    <row r="7" spans="1:16" ht="33" customHeight="1">
      <c r="A7" s="187" t="s">
        <v>409</v>
      </c>
      <c r="B7" s="187" t="s">
        <v>410</v>
      </c>
      <c r="C7" s="187" t="s">
        <v>411</v>
      </c>
      <c r="D7" s="193" t="s">
        <v>412</v>
      </c>
      <c r="E7" s="184" t="s">
        <v>418</v>
      </c>
      <c r="F7" s="185"/>
      <c r="G7" s="185"/>
      <c r="H7" s="185"/>
      <c r="I7" s="179"/>
      <c r="J7" s="184" t="s">
        <v>419</v>
      </c>
      <c r="K7" s="185"/>
      <c r="L7" s="185"/>
      <c r="M7" s="185"/>
      <c r="N7" s="185"/>
      <c r="O7" s="185"/>
      <c r="P7" s="180" t="s">
        <v>301</v>
      </c>
    </row>
    <row r="8" spans="1:16" ht="33" customHeight="1">
      <c r="A8" s="188"/>
      <c r="B8" s="188"/>
      <c r="C8" s="188"/>
      <c r="D8" s="194"/>
      <c r="E8" s="180" t="s">
        <v>248</v>
      </c>
      <c r="F8" s="182" t="s">
        <v>415</v>
      </c>
      <c r="G8" s="178" t="s">
        <v>359</v>
      </c>
      <c r="H8" s="179"/>
      <c r="I8" s="182" t="s">
        <v>416</v>
      </c>
      <c r="J8" s="180" t="s">
        <v>248</v>
      </c>
      <c r="K8" s="182" t="s">
        <v>415</v>
      </c>
      <c r="L8" s="178" t="s">
        <v>359</v>
      </c>
      <c r="M8" s="179"/>
      <c r="N8" s="182" t="s">
        <v>416</v>
      </c>
      <c r="O8" s="137" t="s">
        <v>359</v>
      </c>
      <c r="P8" s="198"/>
    </row>
    <row r="9" spans="1:16" ht="45" customHeight="1">
      <c r="A9" s="189"/>
      <c r="B9" s="189"/>
      <c r="C9" s="189"/>
      <c r="D9" s="195"/>
      <c r="E9" s="181"/>
      <c r="F9" s="183"/>
      <c r="G9" s="89" t="s">
        <v>360</v>
      </c>
      <c r="H9" s="89" t="s">
        <v>361</v>
      </c>
      <c r="I9" s="183"/>
      <c r="J9" s="181"/>
      <c r="K9" s="183"/>
      <c r="L9" s="89" t="s">
        <v>360</v>
      </c>
      <c r="M9" s="89" t="s">
        <v>361</v>
      </c>
      <c r="N9" s="183"/>
      <c r="O9" s="85" t="s">
        <v>100</v>
      </c>
      <c r="P9" s="181"/>
    </row>
    <row r="10" spans="1:22" ht="12.75">
      <c r="A10" s="74" t="s">
        <v>413</v>
      </c>
      <c r="B10" s="74" t="s">
        <v>438</v>
      </c>
      <c r="C10" s="74" t="s">
        <v>414</v>
      </c>
      <c r="D10" s="50">
        <v>4</v>
      </c>
      <c r="E10" s="74" t="s">
        <v>23</v>
      </c>
      <c r="F10" s="74" t="s">
        <v>24</v>
      </c>
      <c r="G10" s="74" t="s">
        <v>25</v>
      </c>
      <c r="H10" s="74" t="s">
        <v>26</v>
      </c>
      <c r="I10" s="74" t="s">
        <v>27</v>
      </c>
      <c r="J10" s="74" t="s">
        <v>170</v>
      </c>
      <c r="K10" s="74" t="s">
        <v>28</v>
      </c>
      <c r="L10" s="74" t="s">
        <v>29</v>
      </c>
      <c r="M10" s="74" t="s">
        <v>30</v>
      </c>
      <c r="N10" s="74" t="s">
        <v>171</v>
      </c>
      <c r="O10" s="74" t="s">
        <v>172</v>
      </c>
      <c r="P10" s="50">
        <v>16</v>
      </c>
      <c r="Q10" s="74" t="s">
        <v>29</v>
      </c>
      <c r="R10" s="74" t="s">
        <v>30</v>
      </c>
      <c r="S10" s="50">
        <v>9</v>
      </c>
      <c r="T10" s="74" t="s">
        <v>171</v>
      </c>
      <c r="U10" s="74" t="s">
        <v>172</v>
      </c>
      <c r="V10" s="50">
        <v>10</v>
      </c>
    </row>
    <row r="11" spans="1:23" s="54" customFormat="1" ht="33" customHeight="1">
      <c r="A11" s="98"/>
      <c r="B11" s="98" t="s">
        <v>161</v>
      </c>
      <c r="C11" s="98"/>
      <c r="D11" s="104" t="s">
        <v>152</v>
      </c>
      <c r="E11" s="51">
        <f>E12+E14+E16+E25+E27+E22</f>
        <v>27512436</v>
      </c>
      <c r="F11" s="51">
        <f>F12+F14+F16+F25+F27+F22</f>
        <v>27512436</v>
      </c>
      <c r="G11" s="51">
        <f>G12+G14+G16+G25+G27+G22</f>
        <v>13482068</v>
      </c>
      <c r="H11" s="51">
        <f>H12+H14+H16+H25+H27+H22</f>
        <v>1734175</v>
      </c>
      <c r="I11" s="51">
        <f>I12+I14+I16+I25+I27+I22</f>
        <v>0</v>
      </c>
      <c r="J11" s="51">
        <f>K11+N11</f>
        <v>3215845</v>
      </c>
      <c r="K11" s="51">
        <f>K12+K14+K16+K25+K27+K22</f>
        <v>519705</v>
      </c>
      <c r="L11" s="51">
        <f>L12+L14+L16+L25+L27+L22</f>
        <v>0</v>
      </c>
      <c r="M11" s="51">
        <f>M12+M14+M16+M25+M27+M22</f>
        <v>0</v>
      </c>
      <c r="N11" s="51">
        <f>N12+N14+N16+N25+N27+N22</f>
        <v>2696140</v>
      </c>
      <c r="O11" s="51">
        <f>O12+O14+O16+O25+O27+O22</f>
        <v>2696140</v>
      </c>
      <c r="P11" s="52">
        <f>E11+J11</f>
        <v>30728281</v>
      </c>
      <c r="Q11" s="53"/>
      <c r="R11" s="53"/>
      <c r="W11" s="53">
        <f>N11-O11</f>
        <v>0</v>
      </c>
    </row>
    <row r="12" spans="1:23" s="57" customFormat="1" ht="12.75">
      <c r="A12" s="42"/>
      <c r="B12" s="42" t="s">
        <v>362</v>
      </c>
      <c r="C12" s="42"/>
      <c r="D12" s="43" t="s">
        <v>363</v>
      </c>
      <c r="E12" s="37">
        <f>F12+I12</f>
        <v>19957613</v>
      </c>
      <c r="F12" s="37">
        <f>F13</f>
        <v>19957613</v>
      </c>
      <c r="G12" s="37">
        <f>G13</f>
        <v>10989397</v>
      </c>
      <c r="H12" s="37">
        <f>H13</f>
        <v>1614550</v>
      </c>
      <c r="I12" s="37"/>
      <c r="J12" s="38">
        <f>K12+N12</f>
        <v>2676750</v>
      </c>
      <c r="K12" s="37">
        <f>K13</f>
        <v>255610</v>
      </c>
      <c r="L12" s="37">
        <f>L13</f>
        <v>0</v>
      </c>
      <c r="M12" s="37">
        <f>M13</f>
        <v>0</v>
      </c>
      <c r="N12" s="37">
        <f>N13</f>
        <v>2421140</v>
      </c>
      <c r="O12" s="37">
        <f>O13</f>
        <v>2421140</v>
      </c>
      <c r="P12" s="55">
        <f aca="true" t="shared" si="0" ref="P12:P36">E12+J12</f>
        <v>22634363</v>
      </c>
      <c r="Q12" s="53"/>
      <c r="R12" s="56"/>
      <c r="W12" s="53">
        <f aca="true" t="shared" si="1" ref="W12:W78">N12-O12</f>
        <v>0</v>
      </c>
    </row>
    <row r="13" spans="1:23" ht="12.75">
      <c r="A13" s="39"/>
      <c r="B13" s="39" t="s">
        <v>249</v>
      </c>
      <c r="C13" s="74" t="s">
        <v>441</v>
      </c>
      <c r="D13" s="58" t="s">
        <v>250</v>
      </c>
      <c r="E13" s="37">
        <f aca="true" t="shared" si="2" ref="E13:E36">F13+I13</f>
        <v>19957613</v>
      </c>
      <c r="F13" s="38">
        <f>16729754+379393+870400+654133+798074+176443+101+16431+332884</f>
        <v>19957613</v>
      </c>
      <c r="G13" s="38">
        <f>8612251+1305685+798074+273387</f>
        <v>10989397</v>
      </c>
      <c r="H13" s="38">
        <v>1614550</v>
      </c>
      <c r="I13" s="38"/>
      <c r="J13" s="38">
        <f>K13+N13</f>
        <v>2676750</v>
      </c>
      <c r="K13" s="38">
        <v>255610</v>
      </c>
      <c r="L13" s="38"/>
      <c r="M13" s="38"/>
      <c r="N13" s="76">
        <f>O13</f>
        <v>2421140</v>
      </c>
      <c r="O13" s="140">
        <f>2257571+180000-16431</f>
        <v>2421140</v>
      </c>
      <c r="P13" s="55">
        <f t="shared" si="0"/>
        <v>22634363</v>
      </c>
      <c r="Q13" s="53"/>
      <c r="R13" s="59"/>
      <c r="W13" s="53">
        <f t="shared" si="1"/>
        <v>0</v>
      </c>
    </row>
    <row r="14" spans="1:23" ht="12.75">
      <c r="A14" s="39"/>
      <c r="B14" s="39" t="s">
        <v>364</v>
      </c>
      <c r="C14" s="39"/>
      <c r="D14" s="36" t="s">
        <v>365</v>
      </c>
      <c r="E14" s="37">
        <f t="shared" si="2"/>
        <v>878904</v>
      </c>
      <c r="F14" s="38">
        <f>F15</f>
        <v>878904</v>
      </c>
      <c r="G14" s="38">
        <f aca="true" t="shared" si="3" ref="G14:O14">G15</f>
        <v>0</v>
      </c>
      <c r="H14" s="38">
        <f t="shared" si="3"/>
        <v>0</v>
      </c>
      <c r="I14" s="38"/>
      <c r="J14" s="38">
        <f t="shared" si="3"/>
        <v>0</v>
      </c>
      <c r="K14" s="38">
        <f t="shared" si="3"/>
        <v>0</v>
      </c>
      <c r="L14" s="38">
        <f t="shared" si="3"/>
        <v>0</v>
      </c>
      <c r="M14" s="38">
        <f t="shared" si="3"/>
        <v>0</v>
      </c>
      <c r="N14" s="76">
        <f>N15</f>
        <v>0</v>
      </c>
      <c r="O14" s="76">
        <f t="shared" si="3"/>
        <v>0</v>
      </c>
      <c r="P14" s="55">
        <f t="shared" si="0"/>
        <v>878904</v>
      </c>
      <c r="Q14" s="53"/>
      <c r="R14" s="59"/>
      <c r="W14" s="53">
        <f t="shared" si="1"/>
        <v>0</v>
      </c>
    </row>
    <row r="15" spans="1:23" ht="25.5">
      <c r="A15" s="39"/>
      <c r="B15" s="74" t="s">
        <v>1</v>
      </c>
      <c r="C15" s="74" t="s">
        <v>442</v>
      </c>
      <c r="D15" s="60" t="s">
        <v>98</v>
      </c>
      <c r="E15" s="37">
        <f t="shared" si="2"/>
        <v>878904</v>
      </c>
      <c r="F15" s="38">
        <f>200000+678904</f>
        <v>878904</v>
      </c>
      <c r="G15" s="38"/>
      <c r="H15" s="38"/>
      <c r="I15" s="38"/>
      <c r="J15" s="38">
        <f aca="true" t="shared" si="4" ref="J15:J25">K15+N15</f>
        <v>0</v>
      </c>
      <c r="K15" s="38"/>
      <c r="L15" s="38"/>
      <c r="M15" s="38"/>
      <c r="N15" s="38">
        <f>O15</f>
        <v>0</v>
      </c>
      <c r="O15" s="38"/>
      <c r="P15" s="55">
        <f>E15+J15</f>
        <v>878904</v>
      </c>
      <c r="Q15" s="53"/>
      <c r="R15" s="59"/>
      <c r="W15" s="53">
        <f t="shared" si="1"/>
        <v>0</v>
      </c>
    </row>
    <row r="16" spans="1:23" ht="12.75" hidden="1">
      <c r="A16" s="39"/>
      <c r="B16" s="39" t="s">
        <v>366</v>
      </c>
      <c r="C16" s="39"/>
      <c r="D16" s="60" t="s">
        <v>283</v>
      </c>
      <c r="E16" s="37">
        <f t="shared" si="2"/>
        <v>0</v>
      </c>
      <c r="F16" s="38"/>
      <c r="G16" s="38"/>
      <c r="H16" s="38"/>
      <c r="I16" s="38"/>
      <c r="J16" s="38">
        <f t="shared" si="4"/>
        <v>0</v>
      </c>
      <c r="K16" s="38"/>
      <c r="L16" s="38"/>
      <c r="M16" s="38"/>
      <c r="N16" s="38">
        <f>N17+N19+N21</f>
        <v>0</v>
      </c>
      <c r="O16" s="38">
        <f>O17+O19+O21</f>
        <v>0</v>
      </c>
      <c r="P16" s="55">
        <f aca="true" t="shared" si="5" ref="P16:P24">E16+J16</f>
        <v>0</v>
      </c>
      <c r="Q16" s="53"/>
      <c r="R16" s="59"/>
      <c r="W16" s="53">
        <f t="shared" si="1"/>
        <v>0</v>
      </c>
    </row>
    <row r="17" spans="1:23" ht="12.75" hidden="1">
      <c r="A17" s="39"/>
      <c r="B17" s="39" t="s">
        <v>338</v>
      </c>
      <c r="C17" s="39"/>
      <c r="D17" s="58" t="s">
        <v>339</v>
      </c>
      <c r="E17" s="37">
        <f t="shared" si="2"/>
        <v>0</v>
      </c>
      <c r="F17" s="38"/>
      <c r="G17" s="38"/>
      <c r="H17" s="38"/>
      <c r="I17" s="38"/>
      <c r="J17" s="38">
        <f t="shared" si="4"/>
        <v>0</v>
      </c>
      <c r="K17" s="38"/>
      <c r="L17" s="38"/>
      <c r="M17" s="38"/>
      <c r="N17" s="38">
        <f>O17</f>
        <v>0</v>
      </c>
      <c r="O17" s="128"/>
      <c r="P17" s="55">
        <f t="shared" si="5"/>
        <v>0</v>
      </c>
      <c r="Q17" s="53"/>
      <c r="R17" s="59"/>
      <c r="W17" s="53">
        <f t="shared" si="1"/>
        <v>0</v>
      </c>
    </row>
    <row r="18" spans="1:23" ht="51" hidden="1">
      <c r="A18" s="39"/>
      <c r="B18" s="39"/>
      <c r="C18" s="39"/>
      <c r="D18" s="68" t="s">
        <v>157</v>
      </c>
      <c r="E18" s="37">
        <f t="shared" si="2"/>
        <v>0</v>
      </c>
      <c r="F18" s="38"/>
      <c r="G18" s="38"/>
      <c r="H18" s="38"/>
      <c r="I18" s="38"/>
      <c r="J18" s="38" t="e">
        <f t="shared" si="4"/>
        <v>#REF!</v>
      </c>
      <c r="K18" s="38"/>
      <c r="L18" s="38"/>
      <c r="M18" s="38"/>
      <c r="N18" s="38" t="e">
        <f>O18</f>
        <v>#REF!</v>
      </c>
      <c r="O18" s="38" t="e">
        <f>#REF!</f>
        <v>#REF!</v>
      </c>
      <c r="P18" s="55" t="e">
        <f t="shared" si="5"/>
        <v>#REF!</v>
      </c>
      <c r="Q18" s="53"/>
      <c r="R18" s="59"/>
      <c r="W18" s="53" t="e">
        <f t="shared" si="1"/>
        <v>#REF!</v>
      </c>
    </row>
    <row r="19" spans="1:23" ht="33" customHeight="1" hidden="1">
      <c r="A19" s="39"/>
      <c r="B19" s="39" t="s">
        <v>82</v>
      </c>
      <c r="C19" s="39"/>
      <c r="D19" s="118" t="s">
        <v>388</v>
      </c>
      <c r="E19" s="37">
        <f t="shared" si="2"/>
        <v>0</v>
      </c>
      <c r="F19" s="38"/>
      <c r="G19" s="38"/>
      <c r="H19" s="38"/>
      <c r="I19" s="38"/>
      <c r="J19" s="38">
        <f t="shared" si="4"/>
        <v>0</v>
      </c>
      <c r="K19" s="38"/>
      <c r="L19" s="38"/>
      <c r="M19" s="38"/>
      <c r="N19" s="76">
        <f>O19</f>
        <v>0</v>
      </c>
      <c r="O19" s="76"/>
      <c r="P19" s="55">
        <f t="shared" si="5"/>
        <v>0</v>
      </c>
      <c r="Q19" s="53"/>
      <c r="R19" s="59"/>
      <c r="W19" s="53">
        <f t="shared" si="1"/>
        <v>0</v>
      </c>
    </row>
    <row r="20" spans="1:23" ht="33" customHeight="1" hidden="1">
      <c r="A20" s="39"/>
      <c r="B20" s="39"/>
      <c r="C20" s="39"/>
      <c r="D20" s="36" t="s">
        <v>381</v>
      </c>
      <c r="E20" s="37">
        <f t="shared" si="2"/>
        <v>0</v>
      </c>
      <c r="F20" s="38"/>
      <c r="G20" s="38"/>
      <c r="H20" s="38"/>
      <c r="I20" s="38"/>
      <c r="J20" s="38">
        <f t="shared" si="4"/>
        <v>0</v>
      </c>
      <c r="K20" s="38"/>
      <c r="L20" s="38"/>
      <c r="M20" s="38"/>
      <c r="N20" s="38"/>
      <c r="O20" s="38"/>
      <c r="P20" s="55">
        <f t="shared" si="5"/>
        <v>0</v>
      </c>
      <c r="Q20" s="53"/>
      <c r="R20" s="59"/>
      <c r="W20" s="53">
        <f t="shared" si="1"/>
        <v>0</v>
      </c>
    </row>
    <row r="21" spans="1:23" ht="38.25" hidden="1">
      <c r="A21" s="74"/>
      <c r="B21" s="74" t="s">
        <v>123</v>
      </c>
      <c r="C21" s="74"/>
      <c r="D21" s="68" t="s">
        <v>124</v>
      </c>
      <c r="E21" s="37">
        <f t="shared" si="2"/>
        <v>0</v>
      </c>
      <c r="F21" s="38"/>
      <c r="G21" s="38"/>
      <c r="H21" s="38"/>
      <c r="I21" s="38"/>
      <c r="J21" s="38">
        <f t="shared" si="4"/>
        <v>0</v>
      </c>
      <c r="K21" s="38"/>
      <c r="L21" s="38"/>
      <c r="M21" s="38"/>
      <c r="N21" s="38"/>
      <c r="O21" s="38"/>
      <c r="P21" s="55">
        <f t="shared" si="5"/>
        <v>0</v>
      </c>
      <c r="Q21" s="53"/>
      <c r="R21" s="59"/>
      <c r="W21" s="53">
        <f t="shared" si="1"/>
        <v>0</v>
      </c>
    </row>
    <row r="22" spans="1:23" ht="25.5" hidden="1">
      <c r="A22" s="39"/>
      <c r="B22" s="39" t="s">
        <v>376</v>
      </c>
      <c r="C22" s="39"/>
      <c r="D22" s="58" t="s">
        <v>377</v>
      </c>
      <c r="E22" s="37">
        <f t="shared" si="2"/>
        <v>0</v>
      </c>
      <c r="F22" s="38"/>
      <c r="G22" s="38"/>
      <c r="H22" s="38"/>
      <c r="I22" s="38"/>
      <c r="J22" s="38">
        <f t="shared" si="4"/>
        <v>0</v>
      </c>
      <c r="K22" s="38"/>
      <c r="L22" s="38"/>
      <c r="M22" s="38"/>
      <c r="N22" s="38">
        <f>N23</f>
        <v>0</v>
      </c>
      <c r="O22" s="38">
        <f>O23</f>
        <v>0</v>
      </c>
      <c r="P22" s="55">
        <f t="shared" si="5"/>
        <v>0</v>
      </c>
      <c r="Q22" s="53"/>
      <c r="R22" s="59"/>
      <c r="W22" s="53">
        <f t="shared" si="1"/>
        <v>0</v>
      </c>
    </row>
    <row r="23" spans="1:23" ht="51" hidden="1">
      <c r="A23" s="39"/>
      <c r="B23" s="39" t="s">
        <v>355</v>
      </c>
      <c r="C23" s="74" t="s">
        <v>443</v>
      </c>
      <c r="D23" s="68" t="s">
        <v>8</v>
      </c>
      <c r="E23" s="37">
        <f t="shared" si="2"/>
        <v>0</v>
      </c>
      <c r="F23" s="38"/>
      <c r="G23" s="38"/>
      <c r="H23" s="38"/>
      <c r="I23" s="38"/>
      <c r="J23" s="38">
        <f t="shared" si="4"/>
        <v>0</v>
      </c>
      <c r="K23" s="38"/>
      <c r="L23" s="38"/>
      <c r="M23" s="38"/>
      <c r="N23" s="38">
        <f>N24</f>
        <v>0</v>
      </c>
      <c r="O23" s="38"/>
      <c r="P23" s="55">
        <f t="shared" si="5"/>
        <v>0</v>
      </c>
      <c r="Q23" s="53"/>
      <c r="R23" s="59"/>
      <c r="W23" s="53">
        <f t="shared" si="1"/>
        <v>0</v>
      </c>
    </row>
    <row r="24" spans="1:23" ht="25.5" hidden="1">
      <c r="A24" s="39"/>
      <c r="B24" s="39"/>
      <c r="C24" s="39"/>
      <c r="D24" s="68" t="s">
        <v>31</v>
      </c>
      <c r="E24" s="37"/>
      <c r="F24" s="38"/>
      <c r="G24" s="38"/>
      <c r="H24" s="38"/>
      <c r="I24" s="38"/>
      <c r="J24" s="38">
        <f t="shared" si="4"/>
        <v>0</v>
      </c>
      <c r="K24" s="38"/>
      <c r="L24" s="38"/>
      <c r="M24" s="38"/>
      <c r="N24" s="38">
        <f>O24</f>
        <v>0</v>
      </c>
      <c r="O24" s="38"/>
      <c r="P24" s="55">
        <f t="shared" si="5"/>
        <v>0</v>
      </c>
      <c r="Q24" s="53"/>
      <c r="R24" s="59"/>
      <c r="W24" s="53"/>
    </row>
    <row r="25" spans="1:23" ht="12.75">
      <c r="A25" s="39"/>
      <c r="B25" s="39" t="s">
        <v>369</v>
      </c>
      <c r="C25" s="39"/>
      <c r="D25" s="36" t="s">
        <v>370</v>
      </c>
      <c r="E25" s="37">
        <f t="shared" si="2"/>
        <v>0</v>
      </c>
      <c r="F25" s="38"/>
      <c r="G25" s="38"/>
      <c r="H25" s="38"/>
      <c r="I25" s="38"/>
      <c r="J25" s="38">
        <f t="shared" si="4"/>
        <v>264095</v>
      </c>
      <c r="K25" s="38">
        <f>K26</f>
        <v>264095</v>
      </c>
      <c r="L25" s="38"/>
      <c r="M25" s="38"/>
      <c r="N25" s="38">
        <f>N26</f>
        <v>0</v>
      </c>
      <c r="O25" s="38"/>
      <c r="P25" s="55">
        <f t="shared" si="0"/>
        <v>264095</v>
      </c>
      <c r="Q25" s="53"/>
      <c r="R25" s="59"/>
      <c r="W25" s="53">
        <f t="shared" si="1"/>
        <v>0</v>
      </c>
    </row>
    <row r="26" spans="1:23" ht="63.75">
      <c r="A26" s="39"/>
      <c r="B26" s="39" t="s">
        <v>287</v>
      </c>
      <c r="C26" s="74" t="s">
        <v>444</v>
      </c>
      <c r="D26" s="73" t="s">
        <v>109</v>
      </c>
      <c r="E26" s="37">
        <f t="shared" si="2"/>
        <v>0</v>
      </c>
      <c r="F26" s="38"/>
      <c r="G26" s="38"/>
      <c r="H26" s="38"/>
      <c r="I26" s="38"/>
      <c r="J26" s="38">
        <f>K26+N26</f>
        <v>264095</v>
      </c>
      <c r="K26" s="76">
        <f>160000+104095</f>
        <v>264095</v>
      </c>
      <c r="L26" s="38"/>
      <c r="M26" s="38"/>
      <c r="N26" s="38"/>
      <c r="O26" s="38"/>
      <c r="P26" s="55">
        <f t="shared" si="0"/>
        <v>264095</v>
      </c>
      <c r="Q26" s="53"/>
      <c r="R26" s="59"/>
      <c r="W26" s="53">
        <f t="shared" si="1"/>
        <v>0</v>
      </c>
    </row>
    <row r="27" spans="1:23" ht="12" customHeight="1">
      <c r="A27" s="39"/>
      <c r="B27" s="39" t="s">
        <v>371</v>
      </c>
      <c r="C27" s="39"/>
      <c r="D27" s="68" t="s">
        <v>372</v>
      </c>
      <c r="E27" s="37">
        <f>F27+I27</f>
        <v>6675919</v>
      </c>
      <c r="F27" s="37">
        <f>F30+F28</f>
        <v>6675919</v>
      </c>
      <c r="G27" s="37">
        <f>G30+G28</f>
        <v>2492671</v>
      </c>
      <c r="H27" s="37">
        <f>H30+H28</f>
        <v>119625</v>
      </c>
      <c r="I27" s="37">
        <f>I30+I28</f>
        <v>0</v>
      </c>
      <c r="J27" s="38">
        <f aca="true" t="shared" si="6" ref="J27:J36">K27+N27</f>
        <v>275000</v>
      </c>
      <c r="K27" s="38">
        <f>K30+K28</f>
        <v>0</v>
      </c>
      <c r="L27" s="38">
        <f>L30+L28</f>
        <v>0</v>
      </c>
      <c r="M27" s="38">
        <f>M30+M28</f>
        <v>0</v>
      </c>
      <c r="N27" s="38">
        <f>N30+N28</f>
        <v>275000</v>
      </c>
      <c r="O27" s="38">
        <f>O30+O28</f>
        <v>275000</v>
      </c>
      <c r="P27" s="55">
        <f t="shared" si="0"/>
        <v>6950919</v>
      </c>
      <c r="Q27" s="53"/>
      <c r="R27" s="59"/>
      <c r="W27" s="53">
        <f t="shared" si="1"/>
        <v>0</v>
      </c>
    </row>
    <row r="28" spans="1:23" ht="38.25" hidden="1">
      <c r="A28" s="74"/>
      <c r="B28" s="74" t="s">
        <v>305</v>
      </c>
      <c r="C28" s="74" t="s">
        <v>494</v>
      </c>
      <c r="D28" s="73" t="s">
        <v>9</v>
      </c>
      <c r="E28" s="37">
        <f t="shared" si="2"/>
        <v>0</v>
      </c>
      <c r="F28" s="38"/>
      <c r="G28" s="38"/>
      <c r="H28" s="38"/>
      <c r="I28" s="38"/>
      <c r="J28" s="38">
        <f t="shared" si="6"/>
        <v>0</v>
      </c>
      <c r="K28" s="38"/>
      <c r="L28" s="38"/>
      <c r="M28" s="38"/>
      <c r="N28" s="38"/>
      <c r="O28" s="38"/>
      <c r="P28" s="55">
        <f t="shared" si="0"/>
        <v>0</v>
      </c>
      <c r="Q28" s="53"/>
      <c r="R28" s="59"/>
      <c r="W28" s="53">
        <f t="shared" si="1"/>
        <v>0</v>
      </c>
    </row>
    <row r="29" spans="1:23" ht="63.75" hidden="1">
      <c r="A29" s="39"/>
      <c r="B29" s="39"/>
      <c r="C29" s="39"/>
      <c r="D29" s="68" t="s">
        <v>493</v>
      </c>
      <c r="E29" s="37">
        <f t="shared" si="2"/>
        <v>0</v>
      </c>
      <c r="F29" s="38">
        <f>F28</f>
        <v>0</v>
      </c>
      <c r="G29" s="38">
        <f>G28</f>
        <v>0</v>
      </c>
      <c r="H29" s="38">
        <f>H28</f>
        <v>0</v>
      </c>
      <c r="I29" s="38">
        <f>I28</f>
        <v>0</v>
      </c>
      <c r="J29" s="38">
        <f t="shared" si="6"/>
        <v>0</v>
      </c>
      <c r="K29" s="38"/>
      <c r="L29" s="38"/>
      <c r="M29" s="38"/>
      <c r="N29" s="38"/>
      <c r="O29" s="38"/>
      <c r="P29" s="55">
        <f t="shared" si="0"/>
        <v>0</v>
      </c>
      <c r="Q29" s="53"/>
      <c r="R29" s="59"/>
      <c r="W29" s="53">
        <f t="shared" si="1"/>
        <v>0</v>
      </c>
    </row>
    <row r="30" spans="1:23" ht="12.75">
      <c r="A30" s="39"/>
      <c r="B30" s="39" t="s">
        <v>288</v>
      </c>
      <c r="C30" s="74" t="s">
        <v>444</v>
      </c>
      <c r="D30" s="36" t="s">
        <v>316</v>
      </c>
      <c r="E30" s="37">
        <f>SUM(E31:E36)</f>
        <v>6675919</v>
      </c>
      <c r="F30" s="37">
        <f>SUM(F31:F36)</f>
        <v>6675919</v>
      </c>
      <c r="G30" s="38">
        <f>SUM(G31:G36)</f>
        <v>2492671</v>
      </c>
      <c r="H30" s="38">
        <f>SUM(H31:H36)</f>
        <v>119625</v>
      </c>
      <c r="I30" s="38"/>
      <c r="J30" s="38">
        <f t="shared" si="6"/>
        <v>275000</v>
      </c>
      <c r="K30" s="38">
        <f>SUM(K31:K36)</f>
        <v>0</v>
      </c>
      <c r="L30" s="38">
        <f>SUM(L31:L36)</f>
        <v>0</v>
      </c>
      <c r="M30" s="38">
        <f>SUM(M31:M36)</f>
        <v>0</v>
      </c>
      <c r="N30" s="38">
        <f>SUM(N31:N36)</f>
        <v>275000</v>
      </c>
      <c r="O30" s="38">
        <f>SUM(O31:O36)</f>
        <v>275000</v>
      </c>
      <c r="P30" s="55">
        <f t="shared" si="0"/>
        <v>6950919</v>
      </c>
      <c r="Q30" s="53"/>
      <c r="R30" s="59"/>
      <c r="W30" s="53">
        <f t="shared" si="1"/>
        <v>0</v>
      </c>
    </row>
    <row r="31" spans="1:23" s="158" customFormat="1" ht="12.75" hidden="1">
      <c r="A31" s="152"/>
      <c r="B31" s="39"/>
      <c r="C31" s="39"/>
      <c r="D31" s="36" t="s">
        <v>214</v>
      </c>
      <c r="E31" s="37">
        <f t="shared" si="2"/>
        <v>0</v>
      </c>
      <c r="F31" s="38"/>
      <c r="G31" s="38"/>
      <c r="H31" s="38"/>
      <c r="I31" s="38"/>
      <c r="J31" s="38">
        <f t="shared" si="6"/>
        <v>0</v>
      </c>
      <c r="K31" s="38"/>
      <c r="L31" s="38"/>
      <c r="M31" s="38"/>
      <c r="N31" s="38"/>
      <c r="O31" s="38"/>
      <c r="P31" s="55">
        <f t="shared" si="0"/>
        <v>0</v>
      </c>
      <c r="Q31" s="156"/>
      <c r="R31" s="157"/>
      <c r="W31" s="156">
        <f t="shared" si="1"/>
        <v>0</v>
      </c>
    </row>
    <row r="32" spans="1:23" s="158" customFormat="1" ht="23.25" customHeight="1" hidden="1">
      <c r="A32" s="152"/>
      <c r="B32" s="39"/>
      <c r="C32" s="39"/>
      <c r="D32" s="68" t="s">
        <v>35</v>
      </c>
      <c r="E32" s="37">
        <f t="shared" si="2"/>
        <v>240000</v>
      </c>
      <c r="F32" s="38">
        <v>240000</v>
      </c>
      <c r="G32" s="38"/>
      <c r="H32" s="38"/>
      <c r="I32" s="38"/>
      <c r="J32" s="38">
        <f t="shared" si="6"/>
        <v>275000</v>
      </c>
      <c r="K32" s="38"/>
      <c r="L32" s="38"/>
      <c r="M32" s="38"/>
      <c r="N32" s="38">
        <f>O32</f>
        <v>275000</v>
      </c>
      <c r="O32" s="38">
        <v>275000</v>
      </c>
      <c r="P32" s="55">
        <f t="shared" si="0"/>
        <v>515000</v>
      </c>
      <c r="Q32" s="156"/>
      <c r="R32" s="157"/>
      <c r="W32" s="156">
        <f t="shared" si="1"/>
        <v>0</v>
      </c>
    </row>
    <row r="33" spans="1:23" s="158" customFormat="1" ht="51" hidden="1">
      <c r="A33" s="152"/>
      <c r="B33" s="39"/>
      <c r="C33" s="39"/>
      <c r="D33" s="36" t="s">
        <v>157</v>
      </c>
      <c r="E33" s="37">
        <f t="shared" si="2"/>
        <v>320052</v>
      </c>
      <c r="F33" s="38">
        <v>320052</v>
      </c>
      <c r="G33" s="38"/>
      <c r="H33" s="38"/>
      <c r="I33" s="38"/>
      <c r="J33" s="38">
        <f t="shared" si="6"/>
        <v>0</v>
      </c>
      <c r="K33" s="38"/>
      <c r="L33" s="38"/>
      <c r="M33" s="38"/>
      <c r="N33" s="38">
        <f>O33</f>
        <v>0</v>
      </c>
      <c r="O33" s="38"/>
      <c r="P33" s="55">
        <f t="shared" si="0"/>
        <v>320052</v>
      </c>
      <c r="Q33" s="156"/>
      <c r="R33" s="157"/>
      <c r="W33" s="156">
        <f t="shared" si="1"/>
        <v>0</v>
      </c>
    </row>
    <row r="34" spans="1:23" s="158" customFormat="1" ht="38.25" hidden="1">
      <c r="A34" s="152"/>
      <c r="B34" s="39"/>
      <c r="C34" s="39"/>
      <c r="D34" s="36" t="s">
        <v>32</v>
      </c>
      <c r="E34" s="37">
        <f t="shared" si="2"/>
        <v>364797</v>
      </c>
      <c r="F34" s="38">
        <v>364797</v>
      </c>
      <c r="G34" s="38"/>
      <c r="H34" s="38"/>
      <c r="I34" s="38"/>
      <c r="J34" s="38">
        <f t="shared" si="6"/>
        <v>0</v>
      </c>
      <c r="K34" s="38"/>
      <c r="L34" s="38"/>
      <c r="M34" s="38"/>
      <c r="N34" s="38"/>
      <c r="O34" s="38"/>
      <c r="P34" s="55">
        <f t="shared" si="0"/>
        <v>364797</v>
      </c>
      <c r="Q34" s="156"/>
      <c r="R34" s="157"/>
      <c r="W34" s="156">
        <f t="shared" si="1"/>
        <v>0</v>
      </c>
    </row>
    <row r="35" spans="1:23" s="158" customFormat="1" ht="51" hidden="1">
      <c r="A35" s="152"/>
      <c r="B35" s="39"/>
      <c r="C35" s="39"/>
      <c r="D35" s="36" t="s">
        <v>160</v>
      </c>
      <c r="E35" s="37">
        <f t="shared" si="2"/>
        <v>5701270</v>
      </c>
      <c r="F35" s="38">
        <f>5944170-242900</f>
        <v>5701270</v>
      </c>
      <c r="G35" s="38">
        <f>2414171+78500</f>
        <v>2492671</v>
      </c>
      <c r="H35" s="38">
        <v>119625</v>
      </c>
      <c r="I35" s="38"/>
      <c r="J35" s="38">
        <f t="shared" si="6"/>
        <v>0</v>
      </c>
      <c r="K35" s="38"/>
      <c r="L35" s="38"/>
      <c r="M35" s="38"/>
      <c r="N35" s="38"/>
      <c r="O35" s="38"/>
      <c r="P35" s="55">
        <f t="shared" si="0"/>
        <v>5701270</v>
      </c>
      <c r="Q35" s="156"/>
      <c r="R35" s="157"/>
      <c r="W35" s="156">
        <f t="shared" si="1"/>
        <v>0</v>
      </c>
    </row>
    <row r="36" spans="1:23" s="158" customFormat="1" ht="38.25" hidden="1">
      <c r="A36" s="152"/>
      <c r="B36" s="39"/>
      <c r="C36" s="39"/>
      <c r="D36" s="36" t="s">
        <v>483</v>
      </c>
      <c r="E36" s="37">
        <f t="shared" si="2"/>
        <v>49800</v>
      </c>
      <c r="F36" s="38">
        <v>49800</v>
      </c>
      <c r="G36" s="38"/>
      <c r="H36" s="38"/>
      <c r="I36" s="38"/>
      <c r="J36" s="38">
        <f t="shared" si="6"/>
        <v>0</v>
      </c>
      <c r="K36" s="38"/>
      <c r="L36" s="38"/>
      <c r="M36" s="38"/>
      <c r="N36" s="38"/>
      <c r="O36" s="38"/>
      <c r="P36" s="55">
        <f t="shared" si="0"/>
        <v>49800</v>
      </c>
      <c r="Q36" s="156"/>
      <c r="R36" s="157"/>
      <c r="W36" s="156">
        <f t="shared" si="1"/>
        <v>0</v>
      </c>
    </row>
    <row r="37" spans="1:23" s="54" customFormat="1" ht="25.5">
      <c r="A37" s="98"/>
      <c r="B37" s="98" t="s">
        <v>170</v>
      </c>
      <c r="C37" s="98"/>
      <c r="D37" s="99" t="s">
        <v>127</v>
      </c>
      <c r="E37" s="51">
        <f>E38+E40+E63+E69+E75+E87+E91+E83+E85</f>
        <v>1320471643</v>
      </c>
      <c r="F37" s="51">
        <f>F38+F40+F63+F69+F75+F87+F91+F83+F85</f>
        <v>1320471643</v>
      </c>
      <c r="G37" s="51">
        <f>G38+G40+G63+G69+G75+G87+G91+G83+G85</f>
        <v>739055944</v>
      </c>
      <c r="H37" s="51">
        <f>H38+H40+H63+H69+H75+H87+H91+H83+H85</f>
        <v>233298923</v>
      </c>
      <c r="I37" s="51">
        <f>I38+I40+I63+I69+I75+I87+I91+I83+I85</f>
        <v>0</v>
      </c>
      <c r="J37" s="51">
        <f>J38+J40+J63+J69+J75+J87+J91+J85</f>
        <v>209292798</v>
      </c>
      <c r="K37" s="51">
        <f>K38+K40+K63+K69+K75+K87+K91</f>
        <v>51863620</v>
      </c>
      <c r="L37" s="51">
        <f>L38+L40+L63+L69+L75+L87+L91</f>
        <v>7760719</v>
      </c>
      <c r="M37" s="51">
        <f>M38+M40+M63+M69+M75+M87+M91</f>
        <v>499520</v>
      </c>
      <c r="N37" s="51">
        <f>N38+N40+N63+N69+N75+N87+N91+N85</f>
        <v>157429178</v>
      </c>
      <c r="O37" s="51">
        <f>O38+O40+O63+O69+O75+O87+O91+O85</f>
        <v>157104367</v>
      </c>
      <c r="P37" s="52">
        <f>E37+J37</f>
        <v>1529764441</v>
      </c>
      <c r="Q37" s="53"/>
      <c r="R37" s="53"/>
      <c r="W37" s="53">
        <f t="shared" si="1"/>
        <v>324811</v>
      </c>
    </row>
    <row r="38" spans="1:23" s="57" customFormat="1" ht="12.75">
      <c r="A38" s="42"/>
      <c r="B38" s="42" t="s">
        <v>362</v>
      </c>
      <c r="C38" s="42"/>
      <c r="D38" s="43" t="s">
        <v>363</v>
      </c>
      <c r="E38" s="37">
        <f>E39</f>
        <v>7031019</v>
      </c>
      <c r="F38" s="37">
        <f>F39</f>
        <v>7031019</v>
      </c>
      <c r="G38" s="37">
        <f>G39</f>
        <v>5035223</v>
      </c>
      <c r="H38" s="37">
        <f>H39</f>
        <v>422609</v>
      </c>
      <c r="I38" s="37"/>
      <c r="J38" s="38">
        <f aca="true" t="shared" si="7" ref="J38:J91">K38+N38</f>
        <v>90000</v>
      </c>
      <c r="K38" s="37"/>
      <c r="L38" s="37"/>
      <c r="M38" s="37"/>
      <c r="N38" s="37">
        <f>O38</f>
        <v>90000</v>
      </c>
      <c r="O38" s="37">
        <f>O39</f>
        <v>90000</v>
      </c>
      <c r="P38" s="55">
        <f aca="true" t="shared" si="8" ref="P38:P64">E38+J38</f>
        <v>7121019</v>
      </c>
      <c r="Q38" s="53"/>
      <c r="R38" s="56"/>
      <c r="W38" s="53">
        <f t="shared" si="1"/>
        <v>0</v>
      </c>
    </row>
    <row r="39" spans="1:23" ht="12.75">
      <c r="A39" s="39"/>
      <c r="B39" s="39" t="s">
        <v>249</v>
      </c>
      <c r="C39" s="74" t="s">
        <v>441</v>
      </c>
      <c r="D39" s="58" t="s">
        <v>250</v>
      </c>
      <c r="E39" s="38">
        <f>F39+I39</f>
        <v>7031019</v>
      </c>
      <c r="F39" s="38">
        <f>6712579-614002+149833+597389+129855+55365</f>
        <v>7031019</v>
      </c>
      <c r="G39" s="38">
        <f>4392304+597389+45530</f>
        <v>5035223</v>
      </c>
      <c r="H39" s="38">
        <v>422609</v>
      </c>
      <c r="I39" s="38"/>
      <c r="J39" s="38">
        <f t="shared" si="7"/>
        <v>90000</v>
      </c>
      <c r="K39" s="38"/>
      <c r="L39" s="38"/>
      <c r="M39" s="38"/>
      <c r="N39" s="38">
        <f>O39</f>
        <v>90000</v>
      </c>
      <c r="O39" s="38">
        <v>90000</v>
      </c>
      <c r="P39" s="55">
        <f t="shared" si="8"/>
        <v>7121019</v>
      </c>
      <c r="Q39" s="53"/>
      <c r="R39" s="59"/>
      <c r="W39" s="53">
        <f t="shared" si="1"/>
        <v>0</v>
      </c>
    </row>
    <row r="40" spans="1:23" ht="12.75">
      <c r="A40" s="39"/>
      <c r="B40" s="39" t="s">
        <v>251</v>
      </c>
      <c r="C40" s="39"/>
      <c r="D40" s="58" t="s">
        <v>252</v>
      </c>
      <c r="E40" s="38">
        <f>SUM(E41:E61)-E45-E47-E49-E53-E54</f>
        <v>1259083600</v>
      </c>
      <c r="F40" s="38">
        <f>SUM(F41:F61)-F45-F47-F49-F53-F54</f>
        <v>1259083600</v>
      </c>
      <c r="G40" s="38">
        <f>SUM(G41:G61)-G45-G47-G49-G53-G54</f>
        <v>713463287</v>
      </c>
      <c r="H40" s="38">
        <f>SUM(H41:H61)-H45-H47-H49-H53-H54</f>
        <v>228728626</v>
      </c>
      <c r="I40" s="38"/>
      <c r="J40" s="38">
        <f aca="true" t="shared" si="9" ref="J40:O40">J41+J43+J46+J48+J50+J55+J56+J57+J58+J59+J60+J52</f>
        <v>102385844</v>
      </c>
      <c r="K40" s="38">
        <f t="shared" si="9"/>
        <v>50877509</v>
      </c>
      <c r="L40" s="38">
        <f t="shared" si="9"/>
        <v>7508897</v>
      </c>
      <c r="M40" s="38">
        <f t="shared" si="9"/>
        <v>343411</v>
      </c>
      <c r="N40" s="38">
        <f t="shared" si="9"/>
        <v>51508335</v>
      </c>
      <c r="O40" s="38">
        <f t="shared" si="9"/>
        <v>51189524</v>
      </c>
      <c r="P40" s="55">
        <f t="shared" si="8"/>
        <v>1361469444</v>
      </c>
      <c r="Q40" s="53"/>
      <c r="R40" s="59"/>
      <c r="W40" s="53">
        <f t="shared" si="1"/>
        <v>318811</v>
      </c>
    </row>
    <row r="41" spans="1:23" ht="12.75">
      <c r="A41" s="39"/>
      <c r="B41" s="39" t="s">
        <v>294</v>
      </c>
      <c r="C41" s="74" t="s">
        <v>445</v>
      </c>
      <c r="D41" s="175" t="s">
        <v>291</v>
      </c>
      <c r="E41" s="38">
        <f>F41+I41</f>
        <v>328233565</v>
      </c>
      <c r="F41" s="150">
        <f>343483538-19137262+819641+(107000)+(51500)+2873148+(20000)+(2000)+(14000)</f>
        <v>328233565</v>
      </c>
      <c r="G41" s="38">
        <f>173911778+4698458</f>
        <v>178610236</v>
      </c>
      <c r="H41" s="38">
        <v>73293893</v>
      </c>
      <c r="I41" s="38"/>
      <c r="J41" s="38">
        <f>K41+N41</f>
        <v>58412223</v>
      </c>
      <c r="K41" s="38">
        <v>30956001</v>
      </c>
      <c r="L41" s="38">
        <v>131305</v>
      </c>
      <c r="M41" s="38">
        <v>10294</v>
      </c>
      <c r="N41" s="38">
        <f>O41</f>
        <v>27456222</v>
      </c>
      <c r="O41" s="76">
        <f>3907580+19960709+(36000)+(37300)+(9000)+3393363+(9000)-554020+657290</f>
        <v>27456222</v>
      </c>
      <c r="P41" s="55">
        <f t="shared" si="8"/>
        <v>386645788</v>
      </c>
      <c r="Q41" s="53"/>
      <c r="R41" s="59"/>
      <c r="W41" s="53">
        <f t="shared" si="1"/>
        <v>0</v>
      </c>
    </row>
    <row r="42" spans="1:23" ht="45" hidden="1">
      <c r="A42" s="39"/>
      <c r="B42" s="39"/>
      <c r="C42" s="39"/>
      <c r="D42" s="94" t="s">
        <v>118</v>
      </c>
      <c r="E42" s="38">
        <f aca="true" t="shared" si="10" ref="E42:E60">F42+I42</f>
        <v>0</v>
      </c>
      <c r="F42" s="38"/>
      <c r="G42" s="38"/>
      <c r="H42" s="38"/>
      <c r="I42" s="38"/>
      <c r="J42" s="38">
        <f t="shared" si="7"/>
        <v>0</v>
      </c>
      <c r="K42" s="38"/>
      <c r="L42" s="38"/>
      <c r="M42" s="38"/>
      <c r="N42" s="38"/>
      <c r="O42" s="76"/>
      <c r="P42" s="55">
        <f t="shared" si="8"/>
        <v>0</v>
      </c>
      <c r="Q42" s="53"/>
      <c r="R42" s="59"/>
      <c r="W42" s="53">
        <f t="shared" si="1"/>
        <v>0</v>
      </c>
    </row>
    <row r="43" spans="1:23" ht="51">
      <c r="A43" s="39"/>
      <c r="B43" s="39" t="s">
        <v>253</v>
      </c>
      <c r="C43" s="74" t="s">
        <v>446</v>
      </c>
      <c r="D43" s="75" t="s">
        <v>108</v>
      </c>
      <c r="E43" s="38">
        <f t="shared" si="10"/>
        <v>686243687</v>
      </c>
      <c r="F43" s="76">
        <f>688924539-7021951+720875+(159500)+(60000)+(10000)+3215059+(53165)+(11000)+(111500)</f>
        <v>686243687</v>
      </c>
      <c r="G43" s="38">
        <f>371605382+37200345</f>
        <v>408805727</v>
      </c>
      <c r="H43" s="38">
        <v>121583492</v>
      </c>
      <c r="I43" s="38"/>
      <c r="J43" s="38">
        <f>K43+N43</f>
        <v>42039372</v>
      </c>
      <c r="K43" s="38">
        <v>18645069</v>
      </c>
      <c r="L43" s="38">
        <v>7256859</v>
      </c>
      <c r="M43" s="38">
        <v>322962</v>
      </c>
      <c r="N43" s="38">
        <f>302811+O43</f>
        <v>23394303</v>
      </c>
      <c r="O43" s="38">
        <f>6431668+8291922+(49500)+(123000)+7846611+(20000)+(7000)+554020-262229+(30000)</f>
        <v>23091492</v>
      </c>
      <c r="P43" s="55">
        <f t="shared" si="8"/>
        <v>728283059</v>
      </c>
      <c r="Q43" s="53"/>
      <c r="R43" s="59"/>
      <c r="W43" s="53">
        <f t="shared" si="1"/>
        <v>302811</v>
      </c>
    </row>
    <row r="44" spans="1:23" ht="45" hidden="1">
      <c r="A44" s="39"/>
      <c r="B44" s="39"/>
      <c r="C44" s="39"/>
      <c r="D44" s="94" t="s">
        <v>118</v>
      </c>
      <c r="E44" s="38">
        <f t="shared" si="10"/>
        <v>0</v>
      </c>
      <c r="F44" s="76"/>
      <c r="G44" s="38"/>
      <c r="H44" s="38"/>
      <c r="I44" s="38"/>
      <c r="J44" s="38">
        <f>K44+N44</f>
        <v>0</v>
      </c>
      <c r="K44" s="38"/>
      <c r="L44" s="38"/>
      <c r="M44" s="38"/>
      <c r="N44" s="38">
        <f>O44</f>
        <v>0</v>
      </c>
      <c r="O44" s="38"/>
      <c r="P44" s="55">
        <f t="shared" si="8"/>
        <v>0</v>
      </c>
      <c r="Q44" s="53"/>
      <c r="R44" s="59"/>
      <c r="W44" s="53">
        <f t="shared" si="1"/>
        <v>0</v>
      </c>
    </row>
    <row r="45" spans="1:23" ht="12.75">
      <c r="A45" s="39"/>
      <c r="B45" s="39"/>
      <c r="C45" s="39"/>
      <c r="D45" s="94" t="s">
        <v>424</v>
      </c>
      <c r="E45" s="38">
        <f>F45</f>
        <v>471996707</v>
      </c>
      <c r="F45" s="76">
        <f>457852673+11643463+2500571</f>
        <v>471996707</v>
      </c>
      <c r="G45" s="38">
        <f>336177769+48655127-5719014</f>
        <v>379113882</v>
      </c>
      <c r="H45" s="38">
        <v>6977201</v>
      </c>
      <c r="I45" s="38"/>
      <c r="J45" s="38">
        <f>K45+N45</f>
        <v>1939524</v>
      </c>
      <c r="K45" s="38"/>
      <c r="L45" s="38"/>
      <c r="M45" s="38"/>
      <c r="N45" s="38">
        <f>O45</f>
        <v>1939524</v>
      </c>
      <c r="O45" s="38">
        <v>1939524</v>
      </c>
      <c r="P45" s="55">
        <f t="shared" si="8"/>
        <v>473936231</v>
      </c>
      <c r="Q45" s="53"/>
      <c r="R45" s="59"/>
      <c r="W45" s="53">
        <f t="shared" si="1"/>
        <v>0</v>
      </c>
    </row>
    <row r="46" spans="1:23" ht="12.75">
      <c r="A46" s="87"/>
      <c r="B46" s="87" t="s">
        <v>295</v>
      </c>
      <c r="C46" s="74" t="s">
        <v>446</v>
      </c>
      <c r="D46" s="88" t="s">
        <v>302</v>
      </c>
      <c r="E46" s="38">
        <f t="shared" si="10"/>
        <v>9710791</v>
      </c>
      <c r="F46" s="76">
        <f>9886472-201006+25325</f>
        <v>9710791</v>
      </c>
      <c r="G46" s="38">
        <f>6214289+513249</f>
        <v>6727538</v>
      </c>
      <c r="H46" s="38">
        <v>1428989</v>
      </c>
      <c r="I46" s="38"/>
      <c r="J46" s="38">
        <f t="shared" si="7"/>
        <v>32870</v>
      </c>
      <c r="K46" s="38">
        <v>32870</v>
      </c>
      <c r="L46" s="38"/>
      <c r="M46" s="38"/>
      <c r="N46" s="38">
        <f>O46</f>
        <v>0</v>
      </c>
      <c r="O46" s="38">
        <f>29500-29500</f>
        <v>0</v>
      </c>
      <c r="P46" s="55">
        <f t="shared" si="8"/>
        <v>9743661</v>
      </c>
      <c r="Q46" s="53"/>
      <c r="R46" s="59"/>
      <c r="W46" s="53">
        <f t="shared" si="1"/>
        <v>0</v>
      </c>
    </row>
    <row r="47" spans="1:23" ht="12.75">
      <c r="A47" s="87"/>
      <c r="B47" s="87"/>
      <c r="C47" s="87"/>
      <c r="D47" s="94" t="s">
        <v>424</v>
      </c>
      <c r="E47" s="38">
        <f>F47</f>
        <v>8201740</v>
      </c>
      <c r="F47" s="76">
        <f>8402060-200320</f>
        <v>8201740</v>
      </c>
      <c r="G47" s="38">
        <f>6209489+513249</f>
        <v>6722738</v>
      </c>
      <c r="H47" s="38"/>
      <c r="I47" s="38"/>
      <c r="J47" s="38"/>
      <c r="K47" s="38"/>
      <c r="L47" s="38"/>
      <c r="M47" s="38"/>
      <c r="N47" s="38"/>
      <c r="O47" s="38"/>
      <c r="P47" s="55">
        <f t="shared" si="8"/>
        <v>8201740</v>
      </c>
      <c r="Q47" s="53"/>
      <c r="R47" s="59"/>
      <c r="W47" s="53">
        <f t="shared" si="1"/>
        <v>0</v>
      </c>
    </row>
    <row r="48" spans="1:23" s="3" customFormat="1" ht="51">
      <c r="A48" s="8"/>
      <c r="B48" s="8" t="s">
        <v>296</v>
      </c>
      <c r="C48" s="8" t="s">
        <v>447</v>
      </c>
      <c r="D48" s="2" t="s">
        <v>297</v>
      </c>
      <c r="E48" s="38">
        <f t="shared" si="10"/>
        <v>7545373</v>
      </c>
      <c r="F48" s="125">
        <f>7416516+128857</f>
        <v>7545373</v>
      </c>
      <c r="G48" s="27">
        <f>4652781+625436</f>
        <v>5278217</v>
      </c>
      <c r="H48" s="27">
        <v>1105949</v>
      </c>
      <c r="I48" s="27"/>
      <c r="J48" s="27">
        <f t="shared" si="7"/>
        <v>0</v>
      </c>
      <c r="K48" s="27"/>
      <c r="L48" s="27"/>
      <c r="M48" s="27"/>
      <c r="N48" s="27">
        <f>O48</f>
        <v>0</v>
      </c>
      <c r="O48" s="27"/>
      <c r="P48" s="26">
        <f t="shared" si="8"/>
        <v>7545373</v>
      </c>
      <c r="Q48" s="53"/>
      <c r="W48" s="53">
        <f t="shared" si="1"/>
        <v>0</v>
      </c>
    </row>
    <row r="49" spans="1:23" s="3" customFormat="1" ht="12.75">
      <c r="A49" s="8"/>
      <c r="B49" s="8"/>
      <c r="C49" s="8"/>
      <c r="D49" s="94" t="s">
        <v>424</v>
      </c>
      <c r="E49" s="38">
        <f>F49</f>
        <v>6439424</v>
      </c>
      <c r="F49" s="125">
        <f>6310567+128857</f>
        <v>6439424</v>
      </c>
      <c r="G49" s="27">
        <f>4652781+625436</f>
        <v>5278217</v>
      </c>
      <c r="H49" s="27"/>
      <c r="I49" s="27"/>
      <c r="J49" s="27"/>
      <c r="K49" s="27"/>
      <c r="L49" s="27"/>
      <c r="M49" s="27"/>
      <c r="N49" s="27"/>
      <c r="O49" s="27"/>
      <c r="P49" s="26">
        <f t="shared" si="8"/>
        <v>6439424</v>
      </c>
      <c r="Q49" s="53"/>
      <c r="W49" s="53">
        <f t="shared" si="1"/>
        <v>0</v>
      </c>
    </row>
    <row r="50" spans="1:23" ht="25.5">
      <c r="A50" s="127"/>
      <c r="B50" s="127" t="s">
        <v>254</v>
      </c>
      <c r="C50" s="86" t="s">
        <v>448</v>
      </c>
      <c r="D50" s="58" t="s">
        <v>255</v>
      </c>
      <c r="E50" s="38">
        <f t="shared" si="10"/>
        <v>42467716</v>
      </c>
      <c r="F50" s="76">
        <f>44120226-2331032+82400+(1000)+(2000)+586122+(7000)</f>
        <v>42467716</v>
      </c>
      <c r="G50" s="38">
        <f>23839441+864073</f>
        <v>24703514</v>
      </c>
      <c r="H50" s="38">
        <v>10647723</v>
      </c>
      <c r="I50" s="38"/>
      <c r="J50" s="38">
        <f>K50+N50</f>
        <v>618109</v>
      </c>
      <c r="K50" s="38">
        <v>607209</v>
      </c>
      <c r="L50" s="38">
        <v>120733</v>
      </c>
      <c r="M50" s="38">
        <v>10155</v>
      </c>
      <c r="N50" s="38">
        <f>O50</f>
        <v>10900</v>
      </c>
      <c r="O50" s="38">
        <f>(1000)+(1000)+27600+(4900)-27600+(4000)</f>
        <v>10900</v>
      </c>
      <c r="P50" s="55">
        <f t="shared" si="8"/>
        <v>43085825</v>
      </c>
      <c r="Q50" s="53"/>
      <c r="R50" s="59"/>
      <c r="W50" s="53">
        <f t="shared" si="1"/>
        <v>0</v>
      </c>
    </row>
    <row r="51" spans="1:23" ht="45" hidden="1">
      <c r="A51" s="39"/>
      <c r="B51" s="39"/>
      <c r="C51" s="39"/>
      <c r="D51" s="94" t="s">
        <v>118</v>
      </c>
      <c r="E51" s="38">
        <f t="shared" si="10"/>
        <v>0</v>
      </c>
      <c r="F51" s="76"/>
      <c r="G51" s="38"/>
      <c r="H51" s="38"/>
      <c r="I51" s="38"/>
      <c r="J51" s="38">
        <f>K51+N51</f>
        <v>0</v>
      </c>
      <c r="K51" s="38"/>
      <c r="L51" s="38"/>
      <c r="M51" s="38"/>
      <c r="N51" s="38"/>
      <c r="O51" s="38"/>
      <c r="P51" s="55">
        <f t="shared" si="8"/>
        <v>0</v>
      </c>
      <c r="Q51" s="53"/>
      <c r="R51" s="59"/>
      <c r="W51" s="53">
        <f t="shared" si="1"/>
        <v>0</v>
      </c>
    </row>
    <row r="52" spans="1:23" ht="12.75">
      <c r="A52" s="39"/>
      <c r="B52" s="74" t="s">
        <v>39</v>
      </c>
      <c r="C52" s="74" t="s">
        <v>40</v>
      </c>
      <c r="D52" s="75" t="s">
        <v>41</v>
      </c>
      <c r="E52" s="38">
        <f t="shared" si="10"/>
        <v>150422467</v>
      </c>
      <c r="F52" s="38">
        <f>150422467</f>
        <v>150422467</v>
      </c>
      <c r="G52" s="38">
        <v>66278250</v>
      </c>
      <c r="H52" s="38">
        <v>17784110</v>
      </c>
      <c r="I52" s="38"/>
      <c r="J52" s="38">
        <f>K52+N52</f>
        <v>32000</v>
      </c>
      <c r="K52" s="38"/>
      <c r="L52" s="38"/>
      <c r="M52" s="38"/>
      <c r="N52" s="38">
        <f>O52</f>
        <v>32000</v>
      </c>
      <c r="O52" s="38">
        <f>(25000)+(7000)</f>
        <v>32000</v>
      </c>
      <c r="P52" s="55">
        <f t="shared" si="8"/>
        <v>150454467</v>
      </c>
      <c r="Q52" s="53"/>
      <c r="R52" s="59"/>
      <c r="W52" s="53"/>
    </row>
    <row r="53" spans="1:23" ht="12.75" hidden="1">
      <c r="A53" s="39"/>
      <c r="B53" s="74"/>
      <c r="C53" s="74"/>
      <c r="D53" s="94" t="s">
        <v>424</v>
      </c>
      <c r="E53" s="38">
        <f t="shared" si="10"/>
        <v>0</v>
      </c>
      <c r="F53" s="38">
        <f>19316000-19316000</f>
        <v>0</v>
      </c>
      <c r="G53" s="38">
        <f>15832800-15832800</f>
        <v>0</v>
      </c>
      <c r="H53" s="38"/>
      <c r="I53" s="38"/>
      <c r="J53" s="38"/>
      <c r="K53" s="38"/>
      <c r="L53" s="38"/>
      <c r="M53" s="38"/>
      <c r="N53" s="38"/>
      <c r="O53" s="38"/>
      <c r="P53" s="55">
        <f t="shared" si="8"/>
        <v>0</v>
      </c>
      <c r="Q53" s="53"/>
      <c r="R53" s="59"/>
      <c r="W53" s="53"/>
    </row>
    <row r="54" spans="1:23" ht="33.75" hidden="1">
      <c r="A54" s="39"/>
      <c r="B54" s="74"/>
      <c r="C54" s="74"/>
      <c r="D54" s="94" t="s">
        <v>48</v>
      </c>
      <c r="E54" s="38">
        <f t="shared" si="10"/>
        <v>0</v>
      </c>
      <c r="F54" s="38">
        <f>20847000-20847000</f>
        <v>0</v>
      </c>
      <c r="G54" s="38">
        <f>17087700-17087700</f>
        <v>0</v>
      </c>
      <c r="H54" s="38"/>
      <c r="I54" s="38"/>
      <c r="J54" s="38"/>
      <c r="K54" s="38"/>
      <c r="L54" s="38"/>
      <c r="M54" s="38"/>
      <c r="N54" s="38"/>
      <c r="O54" s="38"/>
      <c r="P54" s="55">
        <f t="shared" si="8"/>
        <v>0</v>
      </c>
      <c r="Q54" s="53"/>
      <c r="R54" s="59"/>
      <c r="W54" s="53"/>
    </row>
    <row r="55" spans="1:23" ht="25.5">
      <c r="A55" s="39"/>
      <c r="B55" s="39" t="s">
        <v>256</v>
      </c>
      <c r="C55" s="74" t="s">
        <v>449</v>
      </c>
      <c r="D55" s="75" t="s">
        <v>345</v>
      </c>
      <c r="E55" s="38">
        <f t="shared" si="10"/>
        <v>4441900</v>
      </c>
      <c r="F55" s="76">
        <f>4522404-97320+16816</f>
        <v>4441900</v>
      </c>
      <c r="G55" s="38">
        <f>3122437+262929</f>
        <v>3385366</v>
      </c>
      <c r="H55" s="38">
        <v>189948</v>
      </c>
      <c r="I55" s="38"/>
      <c r="J55" s="38">
        <f t="shared" si="7"/>
        <v>0</v>
      </c>
      <c r="K55" s="38"/>
      <c r="L55" s="38"/>
      <c r="M55" s="38"/>
      <c r="N55" s="38">
        <f>O55</f>
        <v>0</v>
      </c>
      <c r="O55" s="38">
        <f>23961-23961</f>
        <v>0</v>
      </c>
      <c r="P55" s="55">
        <f t="shared" si="8"/>
        <v>4441900</v>
      </c>
      <c r="Q55" s="53"/>
      <c r="R55" s="59"/>
      <c r="W55" s="53">
        <f t="shared" si="1"/>
        <v>0</v>
      </c>
    </row>
    <row r="56" spans="1:23" ht="25.5">
      <c r="A56" s="39"/>
      <c r="B56" s="39" t="s">
        <v>87</v>
      </c>
      <c r="C56" s="74" t="s">
        <v>449</v>
      </c>
      <c r="D56" s="68" t="s">
        <v>64</v>
      </c>
      <c r="E56" s="38">
        <f t="shared" si="10"/>
        <v>1390001</v>
      </c>
      <c r="F56" s="38">
        <f>1411071-77997+56927</f>
        <v>1390001</v>
      </c>
      <c r="G56" s="38">
        <f>793730+29104</f>
        <v>822834</v>
      </c>
      <c r="H56" s="38">
        <v>42770</v>
      </c>
      <c r="I56" s="38"/>
      <c r="J56" s="38">
        <f>K56+N56</f>
        <v>0</v>
      </c>
      <c r="K56" s="38"/>
      <c r="L56" s="38"/>
      <c r="M56" s="38"/>
      <c r="N56" s="38">
        <f>O56</f>
        <v>0</v>
      </c>
      <c r="O56" s="38">
        <f>54000-54000</f>
        <v>0</v>
      </c>
      <c r="P56" s="55">
        <f t="shared" si="8"/>
        <v>1390001</v>
      </c>
      <c r="Q56" s="53"/>
      <c r="R56" s="59"/>
      <c r="W56" s="53">
        <f t="shared" si="1"/>
        <v>0</v>
      </c>
    </row>
    <row r="57" spans="1:23" ht="25.5">
      <c r="A57" s="39"/>
      <c r="B57" s="39" t="s">
        <v>257</v>
      </c>
      <c r="C57" s="74" t="s">
        <v>449</v>
      </c>
      <c r="D57" s="36" t="s">
        <v>346</v>
      </c>
      <c r="E57" s="38">
        <f t="shared" si="10"/>
        <v>15899927</v>
      </c>
      <c r="F57" s="76">
        <f>16840952-1073964+132939</f>
        <v>15899927</v>
      </c>
      <c r="G57" s="38">
        <f>10640853+321595</f>
        <v>10962448</v>
      </c>
      <c r="H57" s="38">
        <v>1035043</v>
      </c>
      <c r="I57" s="38"/>
      <c r="J57" s="38">
        <f>K57+N57</f>
        <v>639683</v>
      </c>
      <c r="K57" s="38">
        <v>40773</v>
      </c>
      <c r="L57" s="38"/>
      <c r="M57" s="38"/>
      <c r="N57" s="38">
        <f>O57</f>
        <v>598910</v>
      </c>
      <c r="O57" s="38">
        <f>598910</f>
        <v>598910</v>
      </c>
      <c r="P57" s="55">
        <f>E57+J57</f>
        <v>16539610</v>
      </c>
      <c r="Q57" s="53"/>
      <c r="R57" s="59"/>
      <c r="W57" s="53">
        <f t="shared" si="1"/>
        <v>0</v>
      </c>
    </row>
    <row r="58" spans="1:23" ht="25.5">
      <c r="A58" s="39"/>
      <c r="B58" s="39" t="s">
        <v>258</v>
      </c>
      <c r="C58" s="74" t="s">
        <v>449</v>
      </c>
      <c r="D58" s="68" t="s">
        <v>347</v>
      </c>
      <c r="E58" s="38">
        <f t="shared" si="10"/>
        <v>6688812</v>
      </c>
      <c r="F58" s="38">
        <f>6814760-486266+42948+317370</f>
        <v>6688812</v>
      </c>
      <c r="G58" s="38">
        <f>3931719+29722</f>
        <v>3961441</v>
      </c>
      <c r="H58" s="38">
        <v>787317</v>
      </c>
      <c r="I58" s="38"/>
      <c r="J58" s="38">
        <f t="shared" si="7"/>
        <v>611587</v>
      </c>
      <c r="K58" s="38">
        <v>595587</v>
      </c>
      <c r="L58" s="38"/>
      <c r="M58" s="38"/>
      <c r="N58" s="38">
        <f>16000+O58</f>
        <v>16000</v>
      </c>
      <c r="O58" s="38">
        <f>260000-260000</f>
        <v>0</v>
      </c>
      <c r="P58" s="55">
        <f t="shared" si="8"/>
        <v>7300399</v>
      </c>
      <c r="Q58" s="53"/>
      <c r="R58" s="59"/>
      <c r="W58" s="53">
        <f t="shared" si="1"/>
        <v>16000</v>
      </c>
    </row>
    <row r="59" spans="1:23" ht="12.75">
      <c r="A59" s="74"/>
      <c r="B59" s="74" t="s">
        <v>103</v>
      </c>
      <c r="C59" s="74" t="s">
        <v>449</v>
      </c>
      <c r="D59" s="68" t="s">
        <v>104</v>
      </c>
      <c r="E59" s="38">
        <f t="shared" si="10"/>
        <v>5804061</v>
      </c>
      <c r="F59" s="38">
        <f>6013534-222529+13056</f>
        <v>5804061</v>
      </c>
      <c r="G59" s="38">
        <f>3693807+233909</f>
        <v>3927716</v>
      </c>
      <c r="H59" s="38">
        <v>829392</v>
      </c>
      <c r="I59" s="38"/>
      <c r="J59" s="38">
        <f t="shared" si="7"/>
        <v>0</v>
      </c>
      <c r="K59" s="38"/>
      <c r="L59" s="38"/>
      <c r="M59" s="38"/>
      <c r="N59" s="38">
        <f>O59</f>
        <v>0</v>
      </c>
      <c r="O59" s="38"/>
      <c r="P59" s="55">
        <f t="shared" si="8"/>
        <v>5804061</v>
      </c>
      <c r="Q59" s="53"/>
      <c r="R59" s="59"/>
      <c r="W59" s="53">
        <f t="shared" si="1"/>
        <v>0</v>
      </c>
    </row>
    <row r="60" spans="1:23" ht="43.5" customHeight="1">
      <c r="A60" s="39"/>
      <c r="B60" s="39" t="s">
        <v>75</v>
      </c>
      <c r="C60" s="74" t="s">
        <v>449</v>
      </c>
      <c r="D60" s="36" t="s">
        <v>76</v>
      </c>
      <c r="E60" s="38">
        <f t="shared" si="10"/>
        <v>235300</v>
      </c>
      <c r="F60" s="38">
        <v>235300</v>
      </c>
      <c r="G60" s="38"/>
      <c r="H60" s="38"/>
      <c r="I60" s="38"/>
      <c r="J60" s="38">
        <f t="shared" si="7"/>
        <v>0</v>
      </c>
      <c r="K60" s="38"/>
      <c r="L60" s="38"/>
      <c r="M60" s="38"/>
      <c r="N60" s="38">
        <f>O60</f>
        <v>0</v>
      </c>
      <c r="O60" s="38"/>
      <c r="P60" s="55">
        <f t="shared" si="8"/>
        <v>235300</v>
      </c>
      <c r="Q60" s="53"/>
      <c r="R60" s="59"/>
      <c r="W60" s="53">
        <f t="shared" si="1"/>
        <v>0</v>
      </c>
    </row>
    <row r="61" spans="1:23" ht="102" hidden="1">
      <c r="A61" s="39"/>
      <c r="B61" s="39" t="s">
        <v>83</v>
      </c>
      <c r="C61" s="39"/>
      <c r="D61" s="36" t="s">
        <v>84</v>
      </c>
      <c r="E61" s="38"/>
      <c r="F61" s="38"/>
      <c r="G61" s="38"/>
      <c r="H61" s="38"/>
      <c r="I61" s="38"/>
      <c r="J61" s="38">
        <f t="shared" si="7"/>
        <v>0</v>
      </c>
      <c r="K61" s="38"/>
      <c r="L61" s="38"/>
      <c r="M61" s="38"/>
      <c r="N61" s="38"/>
      <c r="O61" s="38"/>
      <c r="P61" s="55">
        <f t="shared" si="8"/>
        <v>0</v>
      </c>
      <c r="Q61" s="53"/>
      <c r="R61" s="59"/>
      <c r="W61" s="53">
        <f t="shared" si="1"/>
        <v>0</v>
      </c>
    </row>
    <row r="62" spans="1:23" ht="25.5" hidden="1">
      <c r="A62" s="39"/>
      <c r="B62" s="39"/>
      <c r="C62" s="39"/>
      <c r="D62" s="36" t="s">
        <v>381</v>
      </c>
      <c r="E62" s="38"/>
      <c r="F62" s="38"/>
      <c r="G62" s="38"/>
      <c r="H62" s="38"/>
      <c r="I62" s="38"/>
      <c r="J62" s="38"/>
      <c r="K62" s="38"/>
      <c r="L62" s="38"/>
      <c r="M62" s="38"/>
      <c r="N62" s="38"/>
      <c r="O62" s="38"/>
      <c r="P62" s="55">
        <f t="shared" si="8"/>
        <v>0</v>
      </c>
      <c r="Q62" s="53"/>
      <c r="R62" s="59"/>
      <c r="W62" s="53">
        <f t="shared" si="1"/>
        <v>0</v>
      </c>
    </row>
    <row r="63" spans="1:23" ht="25.5">
      <c r="A63" s="39"/>
      <c r="B63" s="39" t="s">
        <v>271</v>
      </c>
      <c r="C63" s="39"/>
      <c r="D63" s="36" t="s">
        <v>317</v>
      </c>
      <c r="E63" s="38">
        <f>SUM(E64:E68)</f>
        <v>10499140</v>
      </c>
      <c r="F63" s="38">
        <f>SUM(F64:F68)</f>
        <v>10499140</v>
      </c>
      <c r="G63" s="38">
        <f>SUM(G64:G68)</f>
        <v>50716</v>
      </c>
      <c r="H63" s="38">
        <f>SUM(H65:H68)</f>
        <v>0</v>
      </c>
      <c r="I63" s="38"/>
      <c r="J63" s="38">
        <f>K63+N63</f>
        <v>0</v>
      </c>
      <c r="K63" s="38">
        <f>SUM(K65:K68)</f>
        <v>0</v>
      </c>
      <c r="L63" s="38">
        <f>SUM(L65:L68)</f>
        <v>0</v>
      </c>
      <c r="M63" s="38">
        <f>SUM(M65:M68)</f>
        <v>0</v>
      </c>
      <c r="N63" s="38">
        <f>SUM(N65:N68)</f>
        <v>0</v>
      </c>
      <c r="O63" s="38">
        <f>SUM(O65:O68)</f>
        <v>0</v>
      </c>
      <c r="P63" s="55">
        <f t="shared" si="8"/>
        <v>10499140</v>
      </c>
      <c r="Q63" s="53"/>
      <c r="R63" s="59"/>
      <c r="W63" s="53">
        <f t="shared" si="1"/>
        <v>0</v>
      </c>
    </row>
    <row r="64" spans="1:23" ht="25.5">
      <c r="A64" s="39"/>
      <c r="B64" s="74" t="s">
        <v>52</v>
      </c>
      <c r="C64" s="74" t="s">
        <v>54</v>
      </c>
      <c r="D64" s="68" t="s">
        <v>53</v>
      </c>
      <c r="E64" s="38">
        <f>F64</f>
        <v>61873</v>
      </c>
      <c r="F64" s="38">
        <v>61873</v>
      </c>
      <c r="G64" s="38">
        <v>50716</v>
      </c>
      <c r="H64" s="38"/>
      <c r="I64" s="38"/>
      <c r="J64" s="38"/>
      <c r="K64" s="38"/>
      <c r="L64" s="38"/>
      <c r="M64" s="38"/>
      <c r="N64" s="38"/>
      <c r="O64" s="38"/>
      <c r="P64" s="55">
        <f t="shared" si="8"/>
        <v>61873</v>
      </c>
      <c r="Q64" s="53"/>
      <c r="R64" s="59"/>
      <c r="W64" s="53"/>
    </row>
    <row r="65" spans="1:23" ht="25.5" hidden="1">
      <c r="A65" s="39"/>
      <c r="B65" s="39" t="s">
        <v>343</v>
      </c>
      <c r="C65" s="39"/>
      <c r="D65" s="60" t="s">
        <v>74</v>
      </c>
      <c r="E65" s="38">
        <f>5344508+335111+31491-5711110</f>
        <v>0</v>
      </c>
      <c r="F65" s="38"/>
      <c r="G65" s="38">
        <f>3648888-3648888</f>
        <v>0</v>
      </c>
      <c r="H65" s="38">
        <f>127100+26092-153192</f>
        <v>0</v>
      </c>
      <c r="I65" s="38"/>
      <c r="J65" s="38">
        <f>K65+N65</f>
        <v>0</v>
      </c>
      <c r="K65" s="38"/>
      <c r="L65" s="38"/>
      <c r="M65" s="38"/>
      <c r="N65" s="124">
        <f>99960+96590-196550</f>
        <v>0</v>
      </c>
      <c r="O65" s="124">
        <f>N65</f>
        <v>0</v>
      </c>
      <c r="P65" s="55">
        <f>E65+J65</f>
        <v>0</v>
      </c>
      <c r="Q65" s="53"/>
      <c r="R65" s="59"/>
      <c r="W65" s="53">
        <f t="shared" si="1"/>
        <v>0</v>
      </c>
    </row>
    <row r="66" spans="1:23" ht="25.5" hidden="1">
      <c r="A66" s="39"/>
      <c r="B66" s="39" t="s">
        <v>344</v>
      </c>
      <c r="C66" s="39"/>
      <c r="D66" s="60" t="s">
        <v>80</v>
      </c>
      <c r="E66" s="38">
        <f>192600+12030-204630</f>
        <v>0</v>
      </c>
      <c r="F66" s="38"/>
      <c r="G66" s="38">
        <f>100000-100000</f>
        <v>0</v>
      </c>
      <c r="H66" s="38"/>
      <c r="I66" s="38"/>
      <c r="J66" s="38">
        <f>K66+N66</f>
        <v>0</v>
      </c>
      <c r="K66" s="38"/>
      <c r="L66" s="38"/>
      <c r="M66" s="38"/>
      <c r="N66" s="38"/>
      <c r="O66" s="38"/>
      <c r="P66" s="55">
        <f>E66+J66</f>
        <v>0</v>
      </c>
      <c r="Q66" s="53"/>
      <c r="R66" s="59"/>
      <c r="W66" s="53">
        <f t="shared" si="1"/>
        <v>0</v>
      </c>
    </row>
    <row r="67" spans="1:23" ht="25.5">
      <c r="A67" s="39"/>
      <c r="B67" s="39" t="s">
        <v>273</v>
      </c>
      <c r="C67" s="74" t="s">
        <v>450</v>
      </c>
      <c r="D67" s="60" t="s">
        <v>382</v>
      </c>
      <c r="E67" s="38">
        <f>F67+I67</f>
        <v>441109</v>
      </c>
      <c r="F67" s="38">
        <v>441109</v>
      </c>
      <c r="G67" s="38"/>
      <c r="H67" s="38"/>
      <c r="I67" s="38"/>
      <c r="J67" s="38">
        <f>K67+N67</f>
        <v>0</v>
      </c>
      <c r="K67" s="38"/>
      <c r="L67" s="38"/>
      <c r="M67" s="38"/>
      <c r="N67" s="38"/>
      <c r="O67" s="38"/>
      <c r="P67" s="55">
        <f>E67+J67</f>
        <v>441109</v>
      </c>
      <c r="Q67" s="53"/>
      <c r="R67" s="59"/>
      <c r="W67" s="53">
        <f t="shared" si="1"/>
        <v>0</v>
      </c>
    </row>
    <row r="68" spans="1:23" ht="76.5">
      <c r="A68" s="39"/>
      <c r="B68" s="39" t="s">
        <v>356</v>
      </c>
      <c r="C68" s="74" t="s">
        <v>450</v>
      </c>
      <c r="D68" s="36" t="s">
        <v>88</v>
      </c>
      <c r="E68" s="38">
        <f>F68+I68</f>
        <v>9996158</v>
      </c>
      <c r="F68" s="38">
        <v>9996158</v>
      </c>
      <c r="G68" s="38"/>
      <c r="H68" s="38"/>
      <c r="I68" s="38"/>
      <c r="J68" s="38"/>
      <c r="K68" s="38"/>
      <c r="L68" s="38"/>
      <c r="M68" s="38"/>
      <c r="N68" s="38"/>
      <c r="O68" s="38"/>
      <c r="P68" s="55">
        <f>E68+J68</f>
        <v>9996158</v>
      </c>
      <c r="Q68" s="53"/>
      <c r="R68" s="59"/>
      <c r="W68" s="53">
        <f t="shared" si="1"/>
        <v>0</v>
      </c>
    </row>
    <row r="69" spans="1:23" ht="12.75">
      <c r="A69" s="39"/>
      <c r="B69" s="39" t="s">
        <v>378</v>
      </c>
      <c r="C69" s="39"/>
      <c r="D69" s="36" t="s">
        <v>292</v>
      </c>
      <c r="E69" s="38">
        <f>SUM(E70:E74)</f>
        <v>43745884</v>
      </c>
      <c r="F69" s="38">
        <f>SUM(F70:F74)</f>
        <v>43745884</v>
      </c>
      <c r="G69" s="38">
        <f>SUM(G70:G74)</f>
        <v>20506718</v>
      </c>
      <c r="H69" s="38">
        <f>SUM(H70:H74)</f>
        <v>4147688</v>
      </c>
      <c r="I69" s="38"/>
      <c r="J69" s="38">
        <f t="shared" si="7"/>
        <v>4802247</v>
      </c>
      <c r="K69" s="38">
        <f>SUM(K70:K74)</f>
        <v>922111</v>
      </c>
      <c r="L69" s="38">
        <f>SUM(L70:L74)</f>
        <v>251822</v>
      </c>
      <c r="M69" s="38">
        <f>SUM(M70:M74)</f>
        <v>156109</v>
      </c>
      <c r="N69" s="38">
        <f>SUM(N70:N74)</f>
        <v>3880136</v>
      </c>
      <c r="O69" s="38">
        <f>SUM(O70:O74)</f>
        <v>3880136</v>
      </c>
      <c r="P69" s="55">
        <f aca="true" t="shared" si="11" ref="P69:P125">E69+J69</f>
        <v>48548131</v>
      </c>
      <c r="Q69" s="53"/>
      <c r="R69" s="59"/>
      <c r="W69" s="53">
        <f t="shared" si="1"/>
        <v>0</v>
      </c>
    </row>
    <row r="70" spans="1:23" ht="25.5">
      <c r="A70" s="39"/>
      <c r="B70" s="74" t="s">
        <v>14</v>
      </c>
      <c r="C70" s="74" t="s">
        <v>451</v>
      </c>
      <c r="D70" s="73" t="s">
        <v>280</v>
      </c>
      <c r="E70" s="38">
        <f>F70+I70</f>
        <v>221182</v>
      </c>
      <c r="F70" s="38">
        <v>221182</v>
      </c>
      <c r="G70" s="38"/>
      <c r="H70" s="38"/>
      <c r="I70" s="38"/>
      <c r="J70" s="38">
        <f t="shared" si="7"/>
        <v>0</v>
      </c>
      <c r="K70" s="38"/>
      <c r="L70" s="38"/>
      <c r="M70" s="38"/>
      <c r="N70" s="38"/>
      <c r="O70" s="38"/>
      <c r="P70" s="55">
        <f t="shared" si="11"/>
        <v>221182</v>
      </c>
      <c r="Q70" s="53"/>
      <c r="R70" s="59"/>
      <c r="W70" s="53">
        <f t="shared" si="1"/>
        <v>0</v>
      </c>
    </row>
    <row r="71" spans="1:23" ht="38.25">
      <c r="A71" s="74"/>
      <c r="B71" s="74" t="s">
        <v>218</v>
      </c>
      <c r="C71" s="74" t="s">
        <v>451</v>
      </c>
      <c r="D71" s="73" t="s">
        <v>219</v>
      </c>
      <c r="E71" s="38">
        <f>F71+I71</f>
        <v>73322</v>
      </c>
      <c r="F71" s="38">
        <v>73322</v>
      </c>
      <c r="G71" s="38"/>
      <c r="H71" s="38"/>
      <c r="I71" s="38"/>
      <c r="J71" s="38"/>
      <c r="K71" s="38"/>
      <c r="L71" s="38"/>
      <c r="M71" s="38"/>
      <c r="N71" s="38"/>
      <c r="O71" s="38"/>
      <c r="P71" s="55">
        <f t="shared" si="11"/>
        <v>73322</v>
      </c>
      <c r="Q71" s="53"/>
      <c r="R71" s="59"/>
      <c r="W71" s="53">
        <f t="shared" si="1"/>
        <v>0</v>
      </c>
    </row>
    <row r="72" spans="1:23" ht="38.25">
      <c r="A72" s="39"/>
      <c r="B72" s="74" t="s">
        <v>15</v>
      </c>
      <c r="C72" s="74" t="s">
        <v>451</v>
      </c>
      <c r="D72" s="60" t="s">
        <v>281</v>
      </c>
      <c r="E72" s="38">
        <f>F72+I72</f>
        <v>28805715</v>
      </c>
      <c r="F72" s="150">
        <f>26948586+590000-818398+1113768+971759</f>
        <v>28805715</v>
      </c>
      <c r="G72" s="38">
        <f>16514307+1251340+848789</f>
        <v>18614436</v>
      </c>
      <c r="H72" s="38">
        <v>3365069</v>
      </c>
      <c r="I72" s="38"/>
      <c r="J72" s="38">
        <f t="shared" si="7"/>
        <v>4650767</v>
      </c>
      <c r="K72" s="38">
        <v>770631</v>
      </c>
      <c r="L72" s="38">
        <v>207915</v>
      </c>
      <c r="M72" s="38">
        <v>121816</v>
      </c>
      <c r="N72" s="38">
        <f>O72</f>
        <v>3880136</v>
      </c>
      <c r="O72" s="38">
        <f>522008+3358128</f>
        <v>3880136</v>
      </c>
      <c r="P72" s="55">
        <f>E72+J72</f>
        <v>33456482</v>
      </c>
      <c r="Q72" s="53"/>
      <c r="R72" s="59"/>
      <c r="W72" s="53">
        <f t="shared" si="1"/>
        <v>0</v>
      </c>
    </row>
    <row r="73" spans="1:23" ht="25.5">
      <c r="A73" s="39"/>
      <c r="B73" s="74" t="s">
        <v>16</v>
      </c>
      <c r="C73" s="74" t="s">
        <v>451</v>
      </c>
      <c r="D73" s="60" t="s">
        <v>282</v>
      </c>
      <c r="E73" s="38">
        <f>F73+I73</f>
        <v>11317020</v>
      </c>
      <c r="F73" s="76">
        <f>11190430+119232+7358</f>
        <v>11317020</v>
      </c>
      <c r="G73" s="38">
        <f>1486701+48245</f>
        <v>1534946</v>
      </c>
      <c r="H73" s="38">
        <v>624129</v>
      </c>
      <c r="I73" s="38"/>
      <c r="J73" s="38">
        <f t="shared" si="7"/>
        <v>85600</v>
      </c>
      <c r="K73" s="38">
        <v>85600</v>
      </c>
      <c r="L73" s="38">
        <v>13900</v>
      </c>
      <c r="M73" s="38">
        <v>16960</v>
      </c>
      <c r="N73" s="38">
        <f>O73</f>
        <v>0</v>
      </c>
      <c r="O73" s="38"/>
      <c r="P73" s="55">
        <f t="shared" si="11"/>
        <v>11402620</v>
      </c>
      <c r="Q73" s="53"/>
      <c r="R73" s="59"/>
      <c r="W73" s="53">
        <f t="shared" si="1"/>
        <v>0</v>
      </c>
    </row>
    <row r="74" spans="1:23" ht="12.75">
      <c r="A74" s="39"/>
      <c r="B74" s="39" t="s">
        <v>340</v>
      </c>
      <c r="C74" s="74" t="s">
        <v>451</v>
      </c>
      <c r="D74" s="60" t="s">
        <v>289</v>
      </c>
      <c r="E74" s="38">
        <f>F74+I74</f>
        <v>3328645</v>
      </c>
      <c r="F74" s="38">
        <f>656185+80000-50740+2643200</f>
        <v>3328645</v>
      </c>
      <c r="G74" s="38">
        <f>357336</f>
        <v>357336</v>
      </c>
      <c r="H74" s="38">
        <v>158490</v>
      </c>
      <c r="I74" s="38"/>
      <c r="J74" s="38">
        <f t="shared" si="7"/>
        <v>65880</v>
      </c>
      <c r="K74" s="38">
        <v>65880</v>
      </c>
      <c r="L74" s="38">
        <v>30007</v>
      </c>
      <c r="M74" s="38">
        <v>17333</v>
      </c>
      <c r="N74" s="38"/>
      <c r="O74" s="38"/>
      <c r="P74" s="55">
        <f t="shared" si="11"/>
        <v>3394525</v>
      </c>
      <c r="Q74" s="53"/>
      <c r="R74" s="59"/>
      <c r="W74" s="53">
        <f t="shared" si="1"/>
        <v>0</v>
      </c>
    </row>
    <row r="75" spans="1:23" ht="12.75">
      <c r="A75" s="39"/>
      <c r="B75" s="39" t="s">
        <v>366</v>
      </c>
      <c r="C75" s="39"/>
      <c r="D75" s="60" t="s">
        <v>283</v>
      </c>
      <c r="E75" s="38">
        <f>E76+E78+E80+E82</f>
        <v>0</v>
      </c>
      <c r="F75" s="38">
        <f>F76+F78+F80+F82</f>
        <v>0</v>
      </c>
      <c r="G75" s="38">
        <f>G76+G78+G80+G82</f>
        <v>0</v>
      </c>
      <c r="H75" s="38">
        <f>H76+H78+H80+H82</f>
        <v>0</v>
      </c>
      <c r="I75" s="38">
        <f>I76+I78+I80+I82</f>
        <v>0</v>
      </c>
      <c r="J75" s="38">
        <f>K75+N75</f>
        <v>101944707</v>
      </c>
      <c r="K75" s="38">
        <f>K76+K78+K80+K82</f>
        <v>0</v>
      </c>
      <c r="L75" s="38">
        <f>L76+L78+L80+L82</f>
        <v>0</v>
      </c>
      <c r="M75" s="38">
        <f>M76+M78+M80+M82</f>
        <v>0</v>
      </c>
      <c r="N75" s="38">
        <f>N76+N78+N80+N82+N81</f>
        <v>101944707</v>
      </c>
      <c r="O75" s="38">
        <f>O76+O78+O80+O82+O81</f>
        <v>101944707</v>
      </c>
      <c r="P75" s="55">
        <f t="shared" si="11"/>
        <v>101944707</v>
      </c>
      <c r="Q75" s="53"/>
      <c r="R75" s="59"/>
      <c r="W75" s="53">
        <f t="shared" si="1"/>
        <v>0</v>
      </c>
    </row>
    <row r="76" spans="1:23" s="54" customFormat="1" ht="12.75">
      <c r="A76" s="39"/>
      <c r="B76" s="39" t="s">
        <v>338</v>
      </c>
      <c r="C76" s="74" t="s">
        <v>443</v>
      </c>
      <c r="D76" s="60" t="s">
        <v>339</v>
      </c>
      <c r="E76" s="38"/>
      <c r="F76" s="38"/>
      <c r="G76" s="38"/>
      <c r="H76" s="38"/>
      <c r="I76" s="38"/>
      <c r="J76" s="38">
        <f t="shared" si="7"/>
        <v>74050186</v>
      </c>
      <c r="K76" s="38"/>
      <c r="L76" s="38"/>
      <c r="M76" s="38"/>
      <c r="N76" s="38">
        <f>O76</f>
        <v>74050186</v>
      </c>
      <c r="O76" s="38">
        <f>56407714-8591333+30000000+1-10000000+20094271-13860467</f>
        <v>74050186</v>
      </c>
      <c r="P76" s="55">
        <f t="shared" si="11"/>
        <v>74050186</v>
      </c>
      <c r="Q76" s="53"/>
      <c r="R76" s="53"/>
      <c r="W76" s="53">
        <f t="shared" si="1"/>
        <v>0</v>
      </c>
    </row>
    <row r="77" spans="1:23" s="54" customFormat="1" ht="45" hidden="1">
      <c r="A77" s="39"/>
      <c r="B77" s="39"/>
      <c r="C77" s="39"/>
      <c r="D77" s="91" t="s">
        <v>235</v>
      </c>
      <c r="E77" s="38"/>
      <c r="F77" s="38"/>
      <c r="G77" s="38"/>
      <c r="H77" s="38"/>
      <c r="I77" s="38"/>
      <c r="J77" s="38">
        <f t="shared" si="7"/>
        <v>0</v>
      </c>
      <c r="K77" s="38"/>
      <c r="L77" s="38"/>
      <c r="M77" s="38"/>
      <c r="N77" s="38">
        <f>O77</f>
        <v>0</v>
      </c>
      <c r="O77" s="76"/>
      <c r="P77" s="55">
        <f t="shared" si="11"/>
        <v>0</v>
      </c>
      <c r="Q77" s="53"/>
      <c r="R77" s="53"/>
      <c r="W77" s="53">
        <f t="shared" si="1"/>
        <v>0</v>
      </c>
    </row>
    <row r="78" spans="1:23" s="57" customFormat="1" ht="12.75" hidden="1">
      <c r="A78" s="39"/>
      <c r="B78" s="39" t="s">
        <v>357</v>
      </c>
      <c r="C78" s="39"/>
      <c r="D78" s="60" t="s">
        <v>358</v>
      </c>
      <c r="E78" s="38"/>
      <c r="F78" s="38"/>
      <c r="G78" s="38"/>
      <c r="H78" s="38"/>
      <c r="I78" s="38"/>
      <c r="J78" s="38">
        <f t="shared" si="7"/>
        <v>0</v>
      </c>
      <c r="K78" s="38"/>
      <c r="L78" s="38"/>
      <c r="M78" s="38"/>
      <c r="N78" s="38"/>
      <c r="O78" s="38">
        <f>N78</f>
        <v>0</v>
      </c>
      <c r="P78" s="55">
        <f t="shared" si="11"/>
        <v>0</v>
      </c>
      <c r="Q78" s="53"/>
      <c r="R78" s="56"/>
      <c r="W78" s="53">
        <f t="shared" si="1"/>
        <v>0</v>
      </c>
    </row>
    <row r="79" spans="1:23" ht="25.5" hidden="1">
      <c r="A79" s="39"/>
      <c r="B79" s="39"/>
      <c r="C79" s="39"/>
      <c r="D79" s="60" t="s">
        <v>381</v>
      </c>
      <c r="E79" s="38"/>
      <c r="F79" s="38"/>
      <c r="G79" s="38"/>
      <c r="H79" s="38"/>
      <c r="I79" s="38"/>
      <c r="J79" s="38">
        <f t="shared" si="7"/>
        <v>0</v>
      </c>
      <c r="K79" s="38"/>
      <c r="L79" s="38"/>
      <c r="M79" s="38"/>
      <c r="N79" s="38"/>
      <c r="O79" s="38">
        <f>N79</f>
        <v>0</v>
      </c>
      <c r="P79" s="55">
        <f t="shared" si="11"/>
        <v>0</v>
      </c>
      <c r="Q79" s="53"/>
      <c r="R79" s="59"/>
      <c r="W79" s="53">
        <f aca="true" t="shared" si="12" ref="W79:W146">N79-O79</f>
        <v>0</v>
      </c>
    </row>
    <row r="80" spans="1:23" ht="51">
      <c r="A80" s="39"/>
      <c r="B80" s="74" t="s">
        <v>485</v>
      </c>
      <c r="C80" s="74" t="s">
        <v>446</v>
      </c>
      <c r="D80" s="73" t="s">
        <v>488</v>
      </c>
      <c r="E80" s="38"/>
      <c r="F80" s="38"/>
      <c r="G80" s="38"/>
      <c r="H80" s="38"/>
      <c r="I80" s="38"/>
      <c r="J80" s="38">
        <f t="shared" si="7"/>
        <v>21486969</v>
      </c>
      <c r="K80" s="38"/>
      <c r="L80" s="38"/>
      <c r="M80" s="38"/>
      <c r="N80" s="38">
        <f>O80</f>
        <v>21486969</v>
      </c>
      <c r="O80" s="38">
        <f>9646092+8591333+2250000-1+999545</f>
        <v>21486969</v>
      </c>
      <c r="P80" s="55">
        <f t="shared" si="11"/>
        <v>21486969</v>
      </c>
      <c r="Q80" s="53"/>
      <c r="R80" s="59"/>
      <c r="W80" s="53"/>
    </row>
    <row r="81" spans="1:23" ht="51" hidden="1">
      <c r="A81" s="39"/>
      <c r="B81" s="74" t="s">
        <v>33</v>
      </c>
      <c r="C81" s="74" t="s">
        <v>447</v>
      </c>
      <c r="D81" s="73" t="s">
        <v>34</v>
      </c>
      <c r="E81" s="38"/>
      <c r="F81" s="38"/>
      <c r="G81" s="38"/>
      <c r="H81" s="38"/>
      <c r="I81" s="38"/>
      <c r="J81" s="38">
        <f t="shared" si="7"/>
        <v>0</v>
      </c>
      <c r="K81" s="38"/>
      <c r="L81" s="38"/>
      <c r="M81" s="38"/>
      <c r="N81" s="38">
        <f>O81</f>
        <v>0</v>
      </c>
      <c r="O81" s="38"/>
      <c r="P81" s="55">
        <f t="shared" si="11"/>
        <v>0</v>
      </c>
      <c r="Q81" s="53"/>
      <c r="R81" s="59"/>
      <c r="W81" s="53"/>
    </row>
    <row r="82" spans="1:23" ht="51">
      <c r="A82" s="39"/>
      <c r="B82" s="74" t="s">
        <v>486</v>
      </c>
      <c r="C82" s="74" t="s">
        <v>448</v>
      </c>
      <c r="D82" s="73" t="s">
        <v>487</v>
      </c>
      <c r="E82" s="38"/>
      <c r="F82" s="38"/>
      <c r="G82" s="38"/>
      <c r="H82" s="38"/>
      <c r="I82" s="38"/>
      <c r="J82" s="38">
        <f t="shared" si="7"/>
        <v>6407552</v>
      </c>
      <c r="K82" s="38"/>
      <c r="L82" s="38"/>
      <c r="M82" s="38"/>
      <c r="N82" s="38">
        <f>O82</f>
        <v>6407552</v>
      </c>
      <c r="O82" s="38">
        <v>6407552</v>
      </c>
      <c r="P82" s="55">
        <f t="shared" si="11"/>
        <v>6407552</v>
      </c>
      <c r="Q82" s="53"/>
      <c r="R82" s="59"/>
      <c r="W82" s="53"/>
    </row>
    <row r="83" spans="1:23" ht="25.5" hidden="1">
      <c r="A83" s="74"/>
      <c r="B83" s="74" t="s">
        <v>376</v>
      </c>
      <c r="C83" s="74"/>
      <c r="D83" s="131" t="s">
        <v>377</v>
      </c>
      <c r="E83" s="38">
        <f>E84</f>
        <v>0</v>
      </c>
      <c r="F83" s="38">
        <f>F84</f>
        <v>0</v>
      </c>
      <c r="G83" s="38"/>
      <c r="H83" s="38"/>
      <c r="I83" s="38"/>
      <c r="J83" s="38">
        <f t="shared" si="7"/>
        <v>0</v>
      </c>
      <c r="K83" s="38"/>
      <c r="L83" s="38"/>
      <c r="M83" s="38"/>
      <c r="N83" s="38"/>
      <c r="O83" s="38"/>
      <c r="P83" s="55">
        <f t="shared" si="11"/>
        <v>0</v>
      </c>
      <c r="Q83" s="53"/>
      <c r="R83" s="59"/>
      <c r="W83" s="53">
        <f t="shared" si="12"/>
        <v>0</v>
      </c>
    </row>
    <row r="84" spans="1:23" ht="25.5" hidden="1">
      <c r="A84" s="74"/>
      <c r="B84" s="74" t="s">
        <v>303</v>
      </c>
      <c r="C84" s="74" t="s">
        <v>452</v>
      </c>
      <c r="D84" s="132" t="s">
        <v>304</v>
      </c>
      <c r="E84" s="38">
        <f>F84+I84</f>
        <v>0</v>
      </c>
      <c r="F84" s="38"/>
      <c r="G84" s="38"/>
      <c r="H84" s="38"/>
      <c r="I84" s="38"/>
      <c r="J84" s="38">
        <f t="shared" si="7"/>
        <v>0</v>
      </c>
      <c r="K84" s="38"/>
      <c r="L84" s="38"/>
      <c r="M84" s="38"/>
      <c r="N84" s="38"/>
      <c r="O84" s="38"/>
      <c r="P84" s="55">
        <f t="shared" si="11"/>
        <v>0</v>
      </c>
      <c r="Q84" s="53"/>
      <c r="R84" s="59"/>
      <c r="W84" s="53">
        <f t="shared" si="12"/>
        <v>0</v>
      </c>
    </row>
    <row r="85" spans="1:23" ht="25.5" hidden="1">
      <c r="A85" s="74"/>
      <c r="B85" s="74" t="s">
        <v>407</v>
      </c>
      <c r="C85" s="74"/>
      <c r="D85" s="131" t="s">
        <v>405</v>
      </c>
      <c r="E85" s="38">
        <f>E86</f>
        <v>0</v>
      </c>
      <c r="F85" s="38">
        <f>F86</f>
        <v>0</v>
      </c>
      <c r="G85" s="38"/>
      <c r="H85" s="38"/>
      <c r="I85" s="38">
        <f>I86</f>
        <v>0</v>
      </c>
      <c r="J85" s="38">
        <f t="shared" si="7"/>
        <v>0</v>
      </c>
      <c r="K85" s="38"/>
      <c r="L85" s="38"/>
      <c r="M85" s="38"/>
      <c r="N85" s="38">
        <f>O85</f>
        <v>0</v>
      </c>
      <c r="O85" s="38">
        <f>O86</f>
        <v>0</v>
      </c>
      <c r="P85" s="55">
        <f t="shared" si="11"/>
        <v>0</v>
      </c>
      <c r="Q85" s="53"/>
      <c r="R85" s="59"/>
      <c r="W85" s="53">
        <f t="shared" si="12"/>
        <v>0</v>
      </c>
    </row>
    <row r="86" spans="1:23" ht="12.75" hidden="1">
      <c r="A86" s="74"/>
      <c r="B86" s="74" t="s">
        <v>426</v>
      </c>
      <c r="C86" s="74" t="s">
        <v>453</v>
      </c>
      <c r="D86" s="131" t="s">
        <v>427</v>
      </c>
      <c r="E86" s="38">
        <f>F86+I86</f>
        <v>0</v>
      </c>
      <c r="F86" s="38"/>
      <c r="G86" s="38"/>
      <c r="H86" s="38"/>
      <c r="I86" s="38"/>
      <c r="J86" s="38">
        <f t="shared" si="7"/>
        <v>0</v>
      </c>
      <c r="K86" s="38"/>
      <c r="L86" s="38"/>
      <c r="M86" s="38"/>
      <c r="N86" s="38">
        <f>O86</f>
        <v>0</v>
      </c>
      <c r="O86" s="38"/>
      <c r="P86" s="55">
        <f t="shared" si="11"/>
        <v>0</v>
      </c>
      <c r="Q86" s="53"/>
      <c r="R86" s="59"/>
      <c r="W86" s="53">
        <f t="shared" si="12"/>
        <v>0</v>
      </c>
    </row>
    <row r="87" spans="1:23" s="147" customFormat="1" ht="12.75">
      <c r="A87" s="144"/>
      <c r="B87" s="39" t="s">
        <v>369</v>
      </c>
      <c r="C87" s="39"/>
      <c r="D87" s="60" t="s">
        <v>373</v>
      </c>
      <c r="E87" s="38">
        <f>F87</f>
        <v>0</v>
      </c>
      <c r="F87" s="38">
        <f>F88</f>
        <v>0</v>
      </c>
      <c r="G87" s="38"/>
      <c r="H87" s="38"/>
      <c r="I87" s="38"/>
      <c r="J87" s="38">
        <f>K87+N87</f>
        <v>70000</v>
      </c>
      <c r="K87" s="38">
        <f>K88+K89</f>
        <v>64000</v>
      </c>
      <c r="L87" s="38">
        <f>L88</f>
        <v>0</v>
      </c>
      <c r="M87" s="38">
        <f>M88</f>
        <v>0</v>
      </c>
      <c r="N87" s="38">
        <f>N88+N89</f>
        <v>6000</v>
      </c>
      <c r="O87" s="38">
        <f>O88+O89</f>
        <v>0</v>
      </c>
      <c r="P87" s="55">
        <f t="shared" si="11"/>
        <v>70000</v>
      </c>
      <c r="Q87" s="145"/>
      <c r="R87" s="146"/>
      <c r="W87" s="145">
        <f t="shared" si="12"/>
        <v>6000</v>
      </c>
    </row>
    <row r="88" spans="1:23" s="149" customFormat="1" ht="25.5">
      <c r="A88" s="144"/>
      <c r="B88" s="39" t="s">
        <v>337</v>
      </c>
      <c r="C88" s="39" t="s">
        <v>454</v>
      </c>
      <c r="D88" s="60" t="s">
        <v>352</v>
      </c>
      <c r="E88" s="38">
        <f>F88</f>
        <v>0</v>
      </c>
      <c r="F88" s="38"/>
      <c r="G88" s="38"/>
      <c r="H88" s="38"/>
      <c r="I88" s="38"/>
      <c r="J88" s="38">
        <f t="shared" si="7"/>
        <v>70000</v>
      </c>
      <c r="K88" s="38">
        <f>63000+1000+98000-98000</f>
        <v>64000</v>
      </c>
      <c r="L88" s="38"/>
      <c r="M88" s="38"/>
      <c r="N88" s="38">
        <f>7000-1000+856110-98000-758110</f>
        <v>6000</v>
      </c>
      <c r="O88" s="38"/>
      <c r="P88" s="55">
        <f t="shared" si="11"/>
        <v>70000</v>
      </c>
      <c r="Q88" s="145"/>
      <c r="R88" s="148"/>
      <c r="W88" s="145">
        <f t="shared" si="12"/>
        <v>6000</v>
      </c>
    </row>
    <row r="89" spans="1:23" ht="25.5" hidden="1">
      <c r="A89" s="102"/>
      <c r="B89" s="102" t="s">
        <v>287</v>
      </c>
      <c r="C89" s="102"/>
      <c r="D89" s="103" t="s">
        <v>333</v>
      </c>
      <c r="E89" s="76"/>
      <c r="F89" s="76"/>
      <c r="G89" s="76"/>
      <c r="H89" s="76"/>
      <c r="I89" s="76"/>
      <c r="J89" s="38">
        <f t="shared" si="7"/>
        <v>0</v>
      </c>
      <c r="K89" s="76">
        <f>262546-262546</f>
        <v>0</v>
      </c>
      <c r="L89" s="76"/>
      <c r="M89" s="76"/>
      <c r="N89" s="76">
        <f>98000-98000</f>
        <v>0</v>
      </c>
      <c r="O89" s="76"/>
      <c r="P89" s="55">
        <f t="shared" si="11"/>
        <v>0</v>
      </c>
      <c r="Q89" s="53"/>
      <c r="R89" s="59"/>
      <c r="W89" s="53">
        <f t="shared" si="12"/>
        <v>0</v>
      </c>
    </row>
    <row r="90" spans="1:23" ht="14.25" customHeight="1">
      <c r="A90" s="102"/>
      <c r="B90" s="102" t="s">
        <v>371</v>
      </c>
      <c r="C90" s="102"/>
      <c r="D90" s="118" t="s">
        <v>232</v>
      </c>
      <c r="E90" s="76">
        <f>E91</f>
        <v>112000</v>
      </c>
      <c r="F90" s="76">
        <f>F91</f>
        <v>112000</v>
      </c>
      <c r="G90" s="76"/>
      <c r="H90" s="76"/>
      <c r="I90" s="76"/>
      <c r="J90" s="38"/>
      <c r="K90" s="76"/>
      <c r="L90" s="76"/>
      <c r="M90" s="76"/>
      <c r="N90" s="76"/>
      <c r="O90" s="76"/>
      <c r="P90" s="55">
        <f t="shared" si="11"/>
        <v>112000</v>
      </c>
      <c r="Q90" s="53"/>
      <c r="R90" s="59"/>
      <c r="W90" s="53">
        <f t="shared" si="12"/>
        <v>0</v>
      </c>
    </row>
    <row r="91" spans="1:23" ht="66.75" customHeight="1">
      <c r="A91" s="102"/>
      <c r="B91" s="102" t="s">
        <v>69</v>
      </c>
      <c r="C91" s="74" t="s">
        <v>455</v>
      </c>
      <c r="D91" s="103" t="s">
        <v>70</v>
      </c>
      <c r="E91" s="76">
        <f>F91</f>
        <v>112000</v>
      </c>
      <c r="F91" s="76">
        <v>112000</v>
      </c>
      <c r="G91" s="76"/>
      <c r="H91" s="76"/>
      <c r="I91" s="76"/>
      <c r="J91" s="38">
        <f t="shared" si="7"/>
        <v>0</v>
      </c>
      <c r="K91" s="76"/>
      <c r="L91" s="76"/>
      <c r="M91" s="76"/>
      <c r="N91" s="76"/>
      <c r="O91" s="76"/>
      <c r="P91" s="55">
        <f t="shared" si="11"/>
        <v>112000</v>
      </c>
      <c r="Q91" s="53"/>
      <c r="R91" s="59"/>
      <c r="W91" s="53">
        <f t="shared" si="12"/>
        <v>0</v>
      </c>
    </row>
    <row r="92" spans="1:23" ht="25.5">
      <c r="A92" s="98"/>
      <c r="B92" s="98" t="s">
        <v>171</v>
      </c>
      <c r="C92" s="98"/>
      <c r="D92" s="99" t="s">
        <v>134</v>
      </c>
      <c r="E92" s="51">
        <f>E93+E95+E115+E120</f>
        <v>720476554</v>
      </c>
      <c r="F92" s="51">
        <f>F93+F95+F115+F120</f>
        <v>720476554</v>
      </c>
      <c r="G92" s="51">
        <f>G93+G95+G115+G120</f>
        <v>442455923</v>
      </c>
      <c r="H92" s="51">
        <f>H93+H95+H115+H120</f>
        <v>87019509</v>
      </c>
      <c r="I92" s="51"/>
      <c r="J92" s="51">
        <f>J94+J95+J121+J116+J118</f>
        <v>169084250</v>
      </c>
      <c r="K92" s="51">
        <f>K93+K95+K115+K120</f>
        <v>29006676</v>
      </c>
      <c r="L92" s="51">
        <f>L93+L95+L115+L120</f>
        <v>11252237</v>
      </c>
      <c r="M92" s="51">
        <f>M93+M95+M115+M120</f>
        <v>2229233</v>
      </c>
      <c r="N92" s="51">
        <f>N93+N95+N115+N120</f>
        <v>140077574</v>
      </c>
      <c r="O92" s="51">
        <f>O93+O95+O115+O120</f>
        <v>137950725</v>
      </c>
      <c r="P92" s="52">
        <f t="shared" si="11"/>
        <v>889560804</v>
      </c>
      <c r="Q92" s="53"/>
      <c r="R92" s="59"/>
      <c r="W92" s="53">
        <f t="shared" si="12"/>
        <v>2126849</v>
      </c>
    </row>
    <row r="93" spans="1:23" ht="12.75">
      <c r="A93" s="42"/>
      <c r="B93" s="42" t="s">
        <v>362</v>
      </c>
      <c r="C93" s="42"/>
      <c r="D93" s="43" t="s">
        <v>363</v>
      </c>
      <c r="E93" s="37">
        <f>E94</f>
        <v>1686804</v>
      </c>
      <c r="F93" s="37">
        <f>F94</f>
        <v>1686804</v>
      </c>
      <c r="G93" s="37">
        <f>G94</f>
        <v>1059573</v>
      </c>
      <c r="H93" s="37">
        <f>H94</f>
        <v>211590</v>
      </c>
      <c r="I93" s="37"/>
      <c r="J93" s="38">
        <f aca="true" t="shared" si="13" ref="J93:O93">J94</f>
        <v>112054</v>
      </c>
      <c r="K93" s="38">
        <f t="shared" si="13"/>
        <v>0</v>
      </c>
      <c r="L93" s="38">
        <f t="shared" si="13"/>
        <v>0</v>
      </c>
      <c r="M93" s="38">
        <f t="shared" si="13"/>
        <v>0</v>
      </c>
      <c r="N93" s="38">
        <f t="shared" si="13"/>
        <v>112054</v>
      </c>
      <c r="O93" s="38">
        <f t="shared" si="13"/>
        <v>112054</v>
      </c>
      <c r="P93" s="55">
        <f t="shared" si="11"/>
        <v>1798858</v>
      </c>
      <c r="Q93" s="53"/>
      <c r="R93" s="59"/>
      <c r="W93" s="53">
        <f t="shared" si="12"/>
        <v>0</v>
      </c>
    </row>
    <row r="94" spans="1:23" ht="12.75">
      <c r="A94" s="39"/>
      <c r="B94" s="39" t="s">
        <v>249</v>
      </c>
      <c r="C94" s="74" t="s">
        <v>441</v>
      </c>
      <c r="D94" s="58" t="s">
        <v>250</v>
      </c>
      <c r="E94" s="38">
        <f>F94</f>
        <v>1686804</v>
      </c>
      <c r="F94" s="38">
        <f>1585453-52461+56098+57705+11692+28317</f>
        <v>1686804</v>
      </c>
      <c r="G94" s="38">
        <f>919454+59050+57705+23364</f>
        <v>1059573</v>
      </c>
      <c r="H94" s="38">
        <v>211590</v>
      </c>
      <c r="I94" s="38"/>
      <c r="J94" s="38">
        <f aca="true" t="shared" si="14" ref="J94:J121">K94+N94</f>
        <v>112054</v>
      </c>
      <c r="K94" s="38"/>
      <c r="L94" s="38"/>
      <c r="M94" s="38"/>
      <c r="N94" s="38">
        <f>O94</f>
        <v>112054</v>
      </c>
      <c r="O94" s="38">
        <v>112054</v>
      </c>
      <c r="P94" s="55">
        <f t="shared" si="11"/>
        <v>1798858</v>
      </c>
      <c r="Q94" s="53"/>
      <c r="R94" s="59"/>
      <c r="W94" s="53">
        <f t="shared" si="12"/>
        <v>0</v>
      </c>
    </row>
    <row r="95" spans="1:23" ht="12.75">
      <c r="A95" s="42"/>
      <c r="B95" s="42" t="s">
        <v>259</v>
      </c>
      <c r="C95" s="42"/>
      <c r="D95" s="65" t="s">
        <v>260</v>
      </c>
      <c r="E95" s="38">
        <f>SUM(E96:E114)-E98-E100-E103-E105-E107-E109-E111</f>
        <v>718789750</v>
      </c>
      <c r="F95" s="38">
        <f>SUM(F96:F114)-F98-F100-F103-F105-F107-F109-F111</f>
        <v>718789750</v>
      </c>
      <c r="G95" s="38">
        <f>SUM(G96:G114)-G98-G100-G103-G105-G107-G109-G111</f>
        <v>441396350</v>
      </c>
      <c r="H95" s="38">
        <f>SUM(H96:H114)-H98-H100-H103-H105-H107-H109</f>
        <v>86807919</v>
      </c>
      <c r="I95" s="38"/>
      <c r="J95" s="38">
        <f t="shared" si="14"/>
        <v>102658671</v>
      </c>
      <c r="K95" s="38">
        <f>K96+K99+K101+K104+K106+K110+K112+K113+K114+K108</f>
        <v>29006676</v>
      </c>
      <c r="L95" s="38">
        <f>L96+L99+L101+L104+L106+L110+L112+L113+L114+L108</f>
        <v>11252237</v>
      </c>
      <c r="M95" s="38">
        <f>M96+M99+M101+M104+M106+M110+M112+M113+M114+M108</f>
        <v>2229233</v>
      </c>
      <c r="N95" s="38">
        <f>N96+N99+N101+N104+N106+N110+N112+N113+N114+N108</f>
        <v>73651995</v>
      </c>
      <c r="O95" s="38">
        <f>O96+O99+O101+O104+O106+O110+O112+O113+O114+O108</f>
        <v>71525146</v>
      </c>
      <c r="P95" s="55">
        <f t="shared" si="11"/>
        <v>821448421</v>
      </c>
      <c r="Q95" s="53"/>
      <c r="R95" s="59"/>
      <c r="W95" s="53">
        <f t="shared" si="12"/>
        <v>2126849</v>
      </c>
    </row>
    <row r="96" spans="1:23" ht="12.75">
      <c r="A96" s="39"/>
      <c r="B96" s="39" t="s">
        <v>261</v>
      </c>
      <c r="C96" s="74" t="s">
        <v>456</v>
      </c>
      <c r="D96" s="36" t="s">
        <v>262</v>
      </c>
      <c r="E96" s="38">
        <f>F96+I96</f>
        <v>460760699</v>
      </c>
      <c r="F96" s="38">
        <f>492636256-38927640+2064392+311898+3800+(26000)+3046598+25299+1574096</f>
        <v>460760699</v>
      </c>
      <c r="G96" s="38">
        <f>285968246+289295+255654</f>
        <v>286513195</v>
      </c>
      <c r="H96" s="140">
        <v>62362211</v>
      </c>
      <c r="I96" s="38"/>
      <c r="J96" s="38">
        <f>K96+N96</f>
        <v>52173880</v>
      </c>
      <c r="K96" s="38">
        <v>12503634</v>
      </c>
      <c r="L96" s="38">
        <v>3425655</v>
      </c>
      <c r="M96" s="38">
        <v>1260697</v>
      </c>
      <c r="N96" s="117">
        <f>O96+1101562</f>
        <v>39670246</v>
      </c>
      <c r="O96" s="38">
        <f>5498507+(20000)+280256-3800+(6700)-(6700)+35355288-2608567+(27000)</f>
        <v>38568684</v>
      </c>
      <c r="P96" s="55">
        <f t="shared" si="11"/>
        <v>512934579</v>
      </c>
      <c r="Q96" s="53">
        <f>24800+69391</f>
        <v>94191</v>
      </c>
      <c r="R96" s="59"/>
      <c r="S96" s="59">
        <f>R96-Q96</f>
        <v>-94191</v>
      </c>
      <c r="W96" s="53">
        <f>N96-O96</f>
        <v>1101562</v>
      </c>
    </row>
    <row r="97" spans="1:23" ht="45" hidden="1">
      <c r="A97" s="39"/>
      <c r="B97" s="39"/>
      <c r="C97" s="39"/>
      <c r="D97" s="94" t="s">
        <v>118</v>
      </c>
      <c r="E97" s="38">
        <f aca="true" t="shared" si="15" ref="E97:E114">F97+I97</f>
        <v>0</v>
      </c>
      <c r="F97" s="38"/>
      <c r="G97" s="38"/>
      <c r="H97" s="38"/>
      <c r="I97" s="38"/>
      <c r="J97" s="38">
        <f>K97+N97</f>
        <v>0</v>
      </c>
      <c r="K97" s="38"/>
      <c r="L97" s="38"/>
      <c r="M97" s="38"/>
      <c r="N97" s="38">
        <f>O97</f>
        <v>0</v>
      </c>
      <c r="O97" s="38"/>
      <c r="P97" s="55">
        <f t="shared" si="11"/>
        <v>0</v>
      </c>
      <c r="Q97" s="53"/>
      <c r="R97" s="59"/>
      <c r="W97" s="53">
        <f t="shared" si="12"/>
        <v>0</v>
      </c>
    </row>
    <row r="98" spans="1:23" ht="12.75">
      <c r="A98" s="39"/>
      <c r="B98" s="39"/>
      <c r="C98" s="39"/>
      <c r="D98" s="94" t="s">
        <v>425</v>
      </c>
      <c r="E98" s="38">
        <f>F98</f>
        <v>336478764</v>
      </c>
      <c r="F98" s="38">
        <f>359523508-23044745+1</f>
        <v>336478764</v>
      </c>
      <c r="G98" s="38">
        <f>264869693+6116934</f>
        <v>270986627</v>
      </c>
      <c r="H98" s="38">
        <v>5901867</v>
      </c>
      <c r="I98" s="38"/>
      <c r="J98" s="38">
        <f>K98+N98</f>
        <v>16946624</v>
      </c>
      <c r="K98" s="38"/>
      <c r="L98" s="38"/>
      <c r="M98" s="38"/>
      <c r="N98" s="38">
        <f>O98</f>
        <v>16946624</v>
      </c>
      <c r="O98" s="38">
        <v>16946624</v>
      </c>
      <c r="P98" s="55">
        <f t="shared" si="11"/>
        <v>353425388</v>
      </c>
      <c r="Q98" s="53"/>
      <c r="R98" s="59"/>
      <c r="W98" s="53">
        <f t="shared" si="12"/>
        <v>0</v>
      </c>
    </row>
    <row r="99" spans="1:23" ht="25.5">
      <c r="A99" s="39"/>
      <c r="B99" s="39" t="s">
        <v>298</v>
      </c>
      <c r="C99" s="74" t="s">
        <v>457</v>
      </c>
      <c r="D99" s="68" t="s">
        <v>212</v>
      </c>
      <c r="E99" s="38">
        <f t="shared" si="15"/>
        <v>62970330</v>
      </c>
      <c r="F99" s="38">
        <f>67612606-5056300+(10000)+396000+8024</f>
        <v>62970330</v>
      </c>
      <c r="G99" s="38">
        <f>38790341+284065</f>
        <v>39074406</v>
      </c>
      <c r="H99" s="38">
        <v>11604193</v>
      </c>
      <c r="I99" s="38"/>
      <c r="J99" s="38">
        <f t="shared" si="14"/>
        <v>6787474</v>
      </c>
      <c r="K99" s="38">
        <v>285289</v>
      </c>
      <c r="L99" s="38"/>
      <c r="M99" s="38"/>
      <c r="N99" s="38">
        <f>O99</f>
        <v>6502185</v>
      </c>
      <c r="O99" s="38">
        <f>1622997+5271580-392392</f>
        <v>6502185</v>
      </c>
      <c r="P99" s="55">
        <f t="shared" si="11"/>
        <v>69757804</v>
      </c>
      <c r="Q99" s="53"/>
      <c r="R99" s="59"/>
      <c r="W99" s="53">
        <f t="shared" si="12"/>
        <v>0</v>
      </c>
    </row>
    <row r="100" spans="1:23" ht="12.75">
      <c r="A100" s="39"/>
      <c r="B100" s="39"/>
      <c r="C100" s="39"/>
      <c r="D100" s="94" t="s">
        <v>425</v>
      </c>
      <c r="E100" s="38">
        <f>F100</f>
        <v>47670774</v>
      </c>
      <c r="F100" s="38">
        <f>48836905-1166131</f>
        <v>47670774</v>
      </c>
      <c r="G100" s="38">
        <f>35928415+3145991</f>
        <v>39074406</v>
      </c>
      <c r="H100" s="38"/>
      <c r="I100" s="38"/>
      <c r="J100" s="38">
        <f t="shared" si="14"/>
        <v>3069830</v>
      </c>
      <c r="K100" s="38"/>
      <c r="L100" s="38"/>
      <c r="M100" s="38"/>
      <c r="N100" s="38">
        <f>O100</f>
        <v>3069830</v>
      </c>
      <c r="O100" s="38">
        <v>3069830</v>
      </c>
      <c r="P100" s="55">
        <f t="shared" si="11"/>
        <v>50740604</v>
      </c>
      <c r="Q100" s="53"/>
      <c r="R100" s="59"/>
      <c r="W100" s="53">
        <f t="shared" si="12"/>
        <v>0</v>
      </c>
    </row>
    <row r="101" spans="1:23" ht="51">
      <c r="A101" s="39"/>
      <c r="B101" s="39" t="s">
        <v>263</v>
      </c>
      <c r="C101" s="74" t="s">
        <v>458</v>
      </c>
      <c r="D101" s="36" t="s">
        <v>348</v>
      </c>
      <c r="E101" s="38">
        <f t="shared" si="15"/>
        <v>5569015</v>
      </c>
      <c r="F101" s="38">
        <f>5740571-180420+8864</f>
        <v>5569015</v>
      </c>
      <c r="G101" s="38">
        <f>3469107+235215</f>
        <v>3704322</v>
      </c>
      <c r="H101" s="38">
        <v>277382</v>
      </c>
      <c r="I101" s="38"/>
      <c r="J101" s="38">
        <f t="shared" si="14"/>
        <v>0</v>
      </c>
      <c r="K101" s="38"/>
      <c r="L101" s="38"/>
      <c r="M101" s="38"/>
      <c r="N101" s="38">
        <f>O101</f>
        <v>0</v>
      </c>
      <c r="O101" s="38"/>
      <c r="P101" s="55">
        <f t="shared" si="11"/>
        <v>5569015</v>
      </c>
      <c r="Q101" s="53"/>
      <c r="R101" s="59"/>
      <c r="W101" s="53">
        <f t="shared" si="12"/>
        <v>0</v>
      </c>
    </row>
    <row r="102" spans="1:23" ht="45" hidden="1">
      <c r="A102" s="39"/>
      <c r="B102" s="39"/>
      <c r="C102" s="39"/>
      <c r="D102" s="94" t="s">
        <v>118</v>
      </c>
      <c r="E102" s="38">
        <f t="shared" si="15"/>
        <v>0</v>
      </c>
      <c r="F102" s="38"/>
      <c r="G102" s="38"/>
      <c r="H102" s="38"/>
      <c r="I102" s="38"/>
      <c r="J102" s="38">
        <f t="shared" si="14"/>
        <v>0</v>
      </c>
      <c r="K102" s="38"/>
      <c r="L102" s="38"/>
      <c r="M102" s="38"/>
      <c r="N102" s="38"/>
      <c r="O102" s="38"/>
      <c r="P102" s="55">
        <f t="shared" si="11"/>
        <v>0</v>
      </c>
      <c r="Q102" s="53"/>
      <c r="R102" s="59"/>
      <c r="W102" s="53">
        <f t="shared" si="12"/>
        <v>0</v>
      </c>
    </row>
    <row r="103" spans="1:23" ht="12.75">
      <c r="A103" s="39"/>
      <c r="B103" s="39"/>
      <c r="C103" s="39"/>
      <c r="D103" s="94" t="s">
        <v>425</v>
      </c>
      <c r="E103" s="38">
        <f>F103</f>
        <v>4519271</v>
      </c>
      <c r="F103" s="38">
        <f>4352951+166320</f>
        <v>4519271</v>
      </c>
      <c r="G103" s="38">
        <f>3213159+491163</f>
        <v>3704322</v>
      </c>
      <c r="H103" s="38"/>
      <c r="I103" s="38"/>
      <c r="J103" s="38"/>
      <c r="K103" s="38"/>
      <c r="L103" s="38"/>
      <c r="M103" s="38"/>
      <c r="N103" s="38"/>
      <c r="O103" s="38"/>
      <c r="P103" s="55">
        <f t="shared" si="11"/>
        <v>4519271</v>
      </c>
      <c r="Q103" s="53"/>
      <c r="R103" s="59"/>
      <c r="W103" s="53">
        <f t="shared" si="12"/>
        <v>0</v>
      </c>
    </row>
    <row r="104" spans="1:23" ht="25.5">
      <c r="A104" s="39"/>
      <c r="B104" s="39" t="s">
        <v>264</v>
      </c>
      <c r="C104" s="74" t="s">
        <v>459</v>
      </c>
      <c r="D104" s="43" t="s">
        <v>265</v>
      </c>
      <c r="E104" s="38">
        <f t="shared" si="15"/>
        <v>24900148</v>
      </c>
      <c r="F104" s="38">
        <f>26878899-1982615+3864</f>
        <v>24900148</v>
      </c>
      <c r="G104" s="38">
        <f>15765709+181910</f>
        <v>15947619</v>
      </c>
      <c r="H104" s="38">
        <v>2100368</v>
      </c>
      <c r="I104" s="38"/>
      <c r="J104" s="38">
        <f t="shared" si="14"/>
        <v>14275135</v>
      </c>
      <c r="K104" s="38">
        <v>13061098</v>
      </c>
      <c r="L104" s="38">
        <v>7112418</v>
      </c>
      <c r="M104" s="38">
        <v>879687</v>
      </c>
      <c r="N104" s="38">
        <f>O104+1025287</f>
        <v>1214037</v>
      </c>
      <c r="O104" s="38">
        <v>188750</v>
      </c>
      <c r="P104" s="55">
        <f t="shared" si="11"/>
        <v>39175283</v>
      </c>
      <c r="Q104" s="53"/>
      <c r="R104" s="59"/>
      <c r="W104" s="53">
        <f t="shared" si="12"/>
        <v>1025287</v>
      </c>
    </row>
    <row r="105" spans="1:23" ht="12.75">
      <c r="A105" s="39"/>
      <c r="B105" s="39"/>
      <c r="C105" s="39"/>
      <c r="D105" s="94" t="s">
        <v>425</v>
      </c>
      <c r="E105" s="38">
        <f>F105</f>
        <v>19456095</v>
      </c>
      <c r="F105" s="38">
        <f>19856976-400882+1</f>
        <v>19456095</v>
      </c>
      <c r="G105" s="38">
        <f>14602525+1345094</f>
        <v>15947619</v>
      </c>
      <c r="H105" s="38"/>
      <c r="I105" s="38"/>
      <c r="J105" s="38">
        <f t="shared" si="14"/>
        <v>188750</v>
      </c>
      <c r="K105" s="38"/>
      <c r="L105" s="38"/>
      <c r="M105" s="38"/>
      <c r="N105" s="38">
        <f>O105</f>
        <v>188750</v>
      </c>
      <c r="O105" s="38">
        <v>188750</v>
      </c>
      <c r="P105" s="55">
        <f t="shared" si="11"/>
        <v>19644845</v>
      </c>
      <c r="Q105" s="53"/>
      <c r="R105" s="59"/>
      <c r="W105" s="53">
        <f t="shared" si="12"/>
        <v>0</v>
      </c>
    </row>
    <row r="106" spans="1:23" ht="25.5">
      <c r="A106" s="39"/>
      <c r="B106" s="39" t="s">
        <v>266</v>
      </c>
      <c r="C106" s="74" t="s">
        <v>460</v>
      </c>
      <c r="D106" s="36" t="s">
        <v>321</v>
      </c>
      <c r="E106" s="38">
        <f t="shared" si="15"/>
        <v>412242</v>
      </c>
      <c r="F106" s="38">
        <f>453596-41354</f>
        <v>412242</v>
      </c>
      <c r="G106" s="38">
        <f>306092+1980</f>
        <v>308072</v>
      </c>
      <c r="H106" s="38">
        <v>31449</v>
      </c>
      <c r="I106" s="38"/>
      <c r="J106" s="38">
        <f t="shared" si="14"/>
        <v>0</v>
      </c>
      <c r="K106" s="38"/>
      <c r="L106" s="38"/>
      <c r="M106" s="38"/>
      <c r="N106" s="38"/>
      <c r="O106" s="38"/>
      <c r="P106" s="55">
        <f t="shared" si="11"/>
        <v>412242</v>
      </c>
      <c r="Q106" s="53"/>
      <c r="R106" s="59"/>
      <c r="W106" s="53">
        <f t="shared" si="12"/>
        <v>0</v>
      </c>
    </row>
    <row r="107" spans="1:23" ht="12.75">
      <c r="A107" s="39"/>
      <c r="B107" s="39"/>
      <c r="C107" s="39"/>
      <c r="D107" s="94" t="s">
        <v>425</v>
      </c>
      <c r="E107" s="38">
        <f>F107</f>
        <v>375849</v>
      </c>
      <c r="F107" s="38">
        <f>386422-10573</f>
        <v>375849</v>
      </c>
      <c r="G107" s="38">
        <f>283509+24563</f>
        <v>308072</v>
      </c>
      <c r="H107" s="38"/>
      <c r="I107" s="38"/>
      <c r="J107" s="38"/>
      <c r="K107" s="38"/>
      <c r="L107" s="38"/>
      <c r="M107" s="38"/>
      <c r="N107" s="38"/>
      <c r="O107" s="38"/>
      <c r="P107" s="55">
        <f t="shared" si="11"/>
        <v>375849</v>
      </c>
      <c r="Q107" s="53"/>
      <c r="R107" s="59"/>
      <c r="W107" s="53">
        <f t="shared" si="12"/>
        <v>0</v>
      </c>
    </row>
    <row r="108" spans="1:23" ht="25.5">
      <c r="A108" s="74"/>
      <c r="B108" s="74" t="s">
        <v>225</v>
      </c>
      <c r="C108" s="74" t="s">
        <v>461</v>
      </c>
      <c r="D108" s="36" t="s">
        <v>226</v>
      </c>
      <c r="E108" s="38">
        <f t="shared" si="15"/>
        <v>153366304</v>
      </c>
      <c r="F108" s="38">
        <f>134912639+2252194+(10000)+18667133-1619066-311898+15200-25299-544599+(10000)</f>
        <v>153366304</v>
      </c>
      <c r="G108" s="38">
        <f>71852896+9719095+12946230-255654</f>
        <v>94262567</v>
      </c>
      <c r="H108" s="38">
        <v>10282310</v>
      </c>
      <c r="I108" s="38"/>
      <c r="J108" s="38">
        <f t="shared" si="14"/>
        <v>29345433</v>
      </c>
      <c r="K108" s="38">
        <v>3156655</v>
      </c>
      <c r="L108" s="38">
        <v>714164</v>
      </c>
      <c r="M108" s="38">
        <v>88849</v>
      </c>
      <c r="N108" s="38">
        <f>O108</f>
        <v>26188778</v>
      </c>
      <c r="O108" s="38">
        <f>25620857-15200+(6700)+576421</f>
        <v>26188778</v>
      </c>
      <c r="P108" s="55">
        <f t="shared" si="11"/>
        <v>182711737</v>
      </c>
      <c r="Q108" s="53"/>
      <c r="R108" s="59"/>
      <c r="W108" s="53">
        <f t="shared" si="12"/>
        <v>0</v>
      </c>
    </row>
    <row r="109" spans="1:23" ht="12.75">
      <c r="A109" s="74"/>
      <c r="B109" s="74"/>
      <c r="C109" s="74"/>
      <c r="D109" s="94" t="s">
        <v>425</v>
      </c>
      <c r="E109" s="38">
        <f>F109</f>
        <v>99517828</v>
      </c>
      <c r="F109" s="38">
        <f>90089438+9428392-2</f>
        <v>99517828</v>
      </c>
      <c r="G109" s="38">
        <f>66551636+15020356-1</f>
        <v>81571991</v>
      </c>
      <c r="H109" s="38"/>
      <c r="I109" s="38"/>
      <c r="J109" s="38"/>
      <c r="K109" s="38"/>
      <c r="L109" s="38"/>
      <c r="M109" s="38"/>
      <c r="N109" s="38"/>
      <c r="O109" s="38"/>
      <c r="P109" s="55">
        <f t="shared" si="11"/>
        <v>99517828</v>
      </c>
      <c r="Q109" s="53"/>
      <c r="R109" s="59"/>
      <c r="W109" s="53">
        <f t="shared" si="12"/>
        <v>0</v>
      </c>
    </row>
    <row r="110" spans="1:23" ht="12.75">
      <c r="A110" s="39"/>
      <c r="B110" s="39" t="s">
        <v>267</v>
      </c>
      <c r="C110" s="74" t="s">
        <v>462</v>
      </c>
      <c r="D110" s="68" t="s">
        <v>349</v>
      </c>
      <c r="E110" s="38">
        <f t="shared" si="15"/>
        <v>967322</v>
      </c>
      <c r="F110" s="38">
        <f>939887+27435</f>
        <v>967322</v>
      </c>
      <c r="G110" s="38">
        <f>625830+95840</f>
        <v>721670</v>
      </c>
      <c r="H110" s="38">
        <v>33661</v>
      </c>
      <c r="I110" s="38"/>
      <c r="J110" s="38">
        <f t="shared" si="14"/>
        <v>39000</v>
      </c>
      <c r="K110" s="38"/>
      <c r="L110" s="38"/>
      <c r="M110" s="38"/>
      <c r="N110" s="38">
        <f>O110</f>
        <v>39000</v>
      </c>
      <c r="O110" s="38">
        <v>39000</v>
      </c>
      <c r="P110" s="55">
        <f t="shared" si="11"/>
        <v>1006322</v>
      </c>
      <c r="Q110" s="133">
        <f>800000+1335647</f>
        <v>2135647</v>
      </c>
      <c r="R110" s="59"/>
      <c r="W110" s="53">
        <f t="shared" si="12"/>
        <v>0</v>
      </c>
    </row>
    <row r="111" spans="1:23" ht="12.75">
      <c r="A111" s="39"/>
      <c r="B111" s="39"/>
      <c r="C111" s="74"/>
      <c r="D111" s="94" t="s">
        <v>425</v>
      </c>
      <c r="E111" s="38">
        <f t="shared" si="15"/>
        <v>740419</v>
      </c>
      <c r="F111" s="38">
        <v>740419</v>
      </c>
      <c r="G111" s="38">
        <v>606898</v>
      </c>
      <c r="H111" s="38"/>
      <c r="I111" s="38"/>
      <c r="J111" s="38">
        <f t="shared" si="14"/>
        <v>39000</v>
      </c>
      <c r="K111" s="38"/>
      <c r="L111" s="38"/>
      <c r="M111" s="38"/>
      <c r="N111" s="38">
        <f>O111</f>
        <v>39000</v>
      </c>
      <c r="O111" s="38">
        <v>39000</v>
      </c>
      <c r="P111" s="55">
        <f t="shared" si="11"/>
        <v>779419</v>
      </c>
      <c r="Q111" s="133"/>
      <c r="R111" s="59"/>
      <c r="W111" s="53"/>
    </row>
    <row r="112" spans="1:23" ht="63.75">
      <c r="A112" s="39"/>
      <c r="B112" s="39" t="s">
        <v>268</v>
      </c>
      <c r="C112" s="74" t="s">
        <v>462</v>
      </c>
      <c r="D112" s="68" t="s">
        <v>215</v>
      </c>
      <c r="E112" s="38">
        <f t="shared" si="15"/>
        <v>1586073</v>
      </c>
      <c r="F112" s="38">
        <f>1691623-105550</f>
        <v>1586073</v>
      </c>
      <c r="G112" s="38">
        <f>851399+13100</f>
        <v>864499</v>
      </c>
      <c r="H112" s="38">
        <v>116345</v>
      </c>
      <c r="I112" s="38"/>
      <c r="J112" s="38">
        <f t="shared" si="14"/>
        <v>37749</v>
      </c>
      <c r="K112" s="38"/>
      <c r="L112" s="38"/>
      <c r="M112" s="38"/>
      <c r="N112" s="38">
        <f>O112</f>
        <v>37749</v>
      </c>
      <c r="O112" s="38">
        <v>37749</v>
      </c>
      <c r="P112" s="55">
        <f t="shared" si="11"/>
        <v>1623822</v>
      </c>
      <c r="Q112" s="53">
        <f>-138517+35863</f>
        <v>-102654</v>
      </c>
      <c r="R112" s="59"/>
      <c r="S112" s="59">
        <f>Q112-R101-R112</f>
        <v>-102654</v>
      </c>
      <c r="W112" s="53">
        <f t="shared" si="12"/>
        <v>0</v>
      </c>
    </row>
    <row r="113" spans="1:23" ht="12.75" hidden="1">
      <c r="A113" s="39"/>
      <c r="B113" s="39" t="s">
        <v>269</v>
      </c>
      <c r="C113" s="39"/>
      <c r="D113" s="36" t="s">
        <v>270</v>
      </c>
      <c r="E113" s="38">
        <f t="shared" si="15"/>
        <v>0</v>
      </c>
      <c r="F113" s="38"/>
      <c r="G113" s="38"/>
      <c r="H113" s="38"/>
      <c r="I113" s="38"/>
      <c r="J113" s="38">
        <f t="shared" si="14"/>
        <v>0</v>
      </c>
      <c r="K113" s="38"/>
      <c r="L113" s="38"/>
      <c r="M113" s="38"/>
      <c r="N113" s="38"/>
      <c r="O113" s="38"/>
      <c r="P113" s="55">
        <f t="shared" si="11"/>
        <v>0</v>
      </c>
      <c r="Q113" s="53"/>
      <c r="R113" s="59"/>
      <c r="W113" s="53">
        <f t="shared" si="12"/>
        <v>0</v>
      </c>
    </row>
    <row r="114" spans="1:23" ht="38.25">
      <c r="A114" s="39"/>
      <c r="B114" s="39" t="s">
        <v>334</v>
      </c>
      <c r="C114" s="74" t="s">
        <v>462</v>
      </c>
      <c r="D114" s="60" t="s">
        <v>383</v>
      </c>
      <c r="E114" s="38">
        <f t="shared" si="15"/>
        <v>8257617</v>
      </c>
      <c r="F114" s="38">
        <v>8257617</v>
      </c>
      <c r="G114" s="38"/>
      <c r="H114" s="38"/>
      <c r="I114" s="38"/>
      <c r="J114" s="38">
        <f t="shared" si="14"/>
        <v>0</v>
      </c>
      <c r="K114" s="38"/>
      <c r="L114" s="38"/>
      <c r="M114" s="38"/>
      <c r="N114" s="38"/>
      <c r="O114" s="38"/>
      <c r="P114" s="55">
        <f t="shared" si="11"/>
        <v>8257617</v>
      </c>
      <c r="Q114" s="53"/>
      <c r="R114" s="59"/>
      <c r="W114" s="53">
        <f t="shared" si="12"/>
        <v>0</v>
      </c>
    </row>
    <row r="115" spans="1:23" s="54" customFormat="1" ht="12.75">
      <c r="A115" s="39"/>
      <c r="B115" s="39" t="s">
        <v>366</v>
      </c>
      <c r="C115" s="39"/>
      <c r="D115" s="60" t="s">
        <v>283</v>
      </c>
      <c r="E115" s="38">
        <f>E116+E118</f>
        <v>0</v>
      </c>
      <c r="F115" s="38"/>
      <c r="G115" s="38">
        <f>G116+G118</f>
        <v>0</v>
      </c>
      <c r="H115" s="38">
        <f>H116+H118</f>
        <v>0</v>
      </c>
      <c r="I115" s="38"/>
      <c r="J115" s="38">
        <f t="shared" si="14"/>
        <v>66313525</v>
      </c>
      <c r="K115" s="38">
        <f>K116+K118</f>
        <v>0</v>
      </c>
      <c r="L115" s="38">
        <f>L116+L118</f>
        <v>0</v>
      </c>
      <c r="M115" s="38">
        <f>M116+M118</f>
        <v>0</v>
      </c>
      <c r="N115" s="38">
        <f>N116+N118</f>
        <v>66313525</v>
      </c>
      <c r="O115" s="38">
        <f>O116+O118</f>
        <v>66313525</v>
      </c>
      <c r="P115" s="55">
        <f t="shared" si="11"/>
        <v>66313525</v>
      </c>
      <c r="Q115" s="53"/>
      <c r="R115" s="53"/>
      <c r="W115" s="53">
        <f t="shared" si="12"/>
        <v>0</v>
      </c>
    </row>
    <row r="116" spans="1:23" s="57" customFormat="1" ht="12.75">
      <c r="A116" s="39"/>
      <c r="B116" s="39" t="s">
        <v>338</v>
      </c>
      <c r="C116" s="74" t="s">
        <v>443</v>
      </c>
      <c r="D116" s="36" t="s">
        <v>339</v>
      </c>
      <c r="E116" s="38"/>
      <c r="F116" s="38"/>
      <c r="G116" s="38"/>
      <c r="H116" s="38"/>
      <c r="I116" s="38"/>
      <c r="J116" s="38">
        <f t="shared" si="14"/>
        <v>66313525</v>
      </c>
      <c r="K116" s="38"/>
      <c r="L116" s="38"/>
      <c r="M116" s="38"/>
      <c r="N116" s="38">
        <f>O116</f>
        <v>66313525</v>
      </c>
      <c r="O116" s="38">
        <f>30839960+18999747+2043451+14430367</f>
        <v>66313525</v>
      </c>
      <c r="P116" s="55">
        <f t="shared" si="11"/>
        <v>66313525</v>
      </c>
      <c r="Q116" s="53"/>
      <c r="R116" s="56"/>
      <c r="W116" s="53">
        <f t="shared" si="12"/>
        <v>0</v>
      </c>
    </row>
    <row r="117" spans="1:23" s="57" customFormat="1" ht="45" hidden="1">
      <c r="A117" s="39"/>
      <c r="B117" s="39"/>
      <c r="C117" s="39"/>
      <c r="D117" s="91" t="s">
        <v>235</v>
      </c>
      <c r="E117" s="38"/>
      <c r="F117" s="38"/>
      <c r="G117" s="38"/>
      <c r="H117" s="38"/>
      <c r="I117" s="38"/>
      <c r="J117" s="38">
        <f t="shared" si="14"/>
        <v>0</v>
      </c>
      <c r="K117" s="38"/>
      <c r="L117" s="38"/>
      <c r="M117" s="38"/>
      <c r="N117" s="38">
        <f>O117</f>
        <v>0</v>
      </c>
      <c r="O117" s="76"/>
      <c r="P117" s="55">
        <f t="shared" si="11"/>
        <v>0</v>
      </c>
      <c r="Q117" s="53"/>
      <c r="R117" s="56"/>
      <c r="W117" s="53">
        <f t="shared" si="12"/>
        <v>0</v>
      </c>
    </row>
    <row r="118" spans="1:23" ht="12.75" hidden="1">
      <c r="A118" s="39"/>
      <c r="B118" s="39" t="s">
        <v>357</v>
      </c>
      <c r="C118" s="39"/>
      <c r="D118" s="36" t="s">
        <v>358</v>
      </c>
      <c r="E118" s="38"/>
      <c r="F118" s="38"/>
      <c r="G118" s="38"/>
      <c r="H118" s="38"/>
      <c r="I118" s="38"/>
      <c r="J118" s="38">
        <f>K118+N118</f>
        <v>0</v>
      </c>
      <c r="K118" s="38"/>
      <c r="L118" s="38"/>
      <c r="M118" s="38"/>
      <c r="N118" s="38"/>
      <c r="O118" s="38"/>
      <c r="P118" s="55">
        <f t="shared" si="11"/>
        <v>0</v>
      </c>
      <c r="Q118" s="53"/>
      <c r="R118" s="59"/>
      <c r="W118" s="53">
        <f t="shared" si="12"/>
        <v>0</v>
      </c>
    </row>
    <row r="119" spans="1:23" s="3" customFormat="1" ht="51" hidden="1">
      <c r="A119" s="39"/>
      <c r="B119" s="39"/>
      <c r="C119" s="39"/>
      <c r="D119" s="73" t="s">
        <v>156</v>
      </c>
      <c r="E119" s="38"/>
      <c r="F119" s="38"/>
      <c r="G119" s="38"/>
      <c r="H119" s="38"/>
      <c r="I119" s="38"/>
      <c r="J119" s="38">
        <f>K119+N119</f>
        <v>0</v>
      </c>
      <c r="K119" s="38"/>
      <c r="L119" s="38"/>
      <c r="M119" s="38"/>
      <c r="N119" s="38"/>
      <c r="O119" s="38">
        <f>N119</f>
        <v>0</v>
      </c>
      <c r="P119" s="55">
        <f t="shared" si="11"/>
        <v>0</v>
      </c>
      <c r="Q119" s="53"/>
      <c r="W119" s="53">
        <f t="shared" si="12"/>
        <v>0</v>
      </c>
    </row>
    <row r="120" spans="1:23" s="3" customFormat="1" ht="12.75" hidden="1">
      <c r="A120" s="39"/>
      <c r="B120" s="39" t="s">
        <v>369</v>
      </c>
      <c r="C120" s="39"/>
      <c r="D120" s="60" t="s">
        <v>373</v>
      </c>
      <c r="E120" s="38">
        <f>E121</f>
        <v>0</v>
      </c>
      <c r="F120" s="38"/>
      <c r="G120" s="38"/>
      <c r="H120" s="38"/>
      <c r="I120" s="38"/>
      <c r="J120" s="38">
        <f t="shared" si="14"/>
        <v>0</v>
      </c>
      <c r="K120" s="38">
        <f>K121</f>
        <v>0</v>
      </c>
      <c r="L120" s="38">
        <f>L121</f>
        <v>0</v>
      </c>
      <c r="M120" s="38">
        <f>M121</f>
        <v>0</v>
      </c>
      <c r="N120" s="38">
        <f>N121</f>
        <v>0</v>
      </c>
      <c r="O120" s="38">
        <f>O121</f>
        <v>0</v>
      </c>
      <c r="P120" s="55">
        <f t="shared" si="11"/>
        <v>0</v>
      </c>
      <c r="Q120" s="53"/>
      <c r="W120" s="53">
        <f t="shared" si="12"/>
        <v>0</v>
      </c>
    </row>
    <row r="121" spans="1:23" s="3" customFormat="1" ht="25.5" hidden="1">
      <c r="A121" s="39"/>
      <c r="B121" s="39" t="s">
        <v>287</v>
      </c>
      <c r="C121" s="39"/>
      <c r="D121" s="60" t="s">
        <v>333</v>
      </c>
      <c r="E121" s="38"/>
      <c r="F121" s="38"/>
      <c r="G121" s="38"/>
      <c r="H121" s="38"/>
      <c r="I121" s="38"/>
      <c r="J121" s="38">
        <f t="shared" si="14"/>
        <v>0</v>
      </c>
      <c r="K121" s="38"/>
      <c r="L121" s="38"/>
      <c r="M121" s="38"/>
      <c r="N121" s="38"/>
      <c r="O121" s="38"/>
      <c r="P121" s="55">
        <f t="shared" si="11"/>
        <v>0</v>
      </c>
      <c r="Q121" s="53"/>
      <c r="W121" s="53">
        <f t="shared" si="12"/>
        <v>0</v>
      </c>
    </row>
    <row r="122" spans="1:23" s="3" customFormat="1" ht="25.5">
      <c r="A122" s="98"/>
      <c r="B122" s="98" t="s">
        <v>172</v>
      </c>
      <c r="C122" s="98"/>
      <c r="D122" s="99" t="s">
        <v>137</v>
      </c>
      <c r="E122" s="51">
        <f>E123+E125+E128+E190+E193+E202+E204</f>
        <v>1237638493</v>
      </c>
      <c r="F122" s="51">
        <f>F123+F125+F128+F190+F193+F202+F204</f>
        <v>1237638493</v>
      </c>
      <c r="G122" s="51">
        <f>G123+G125+G128+G190+G193+G202+G204</f>
        <v>55474248</v>
      </c>
      <c r="H122" s="51">
        <f>H123+H125+H128+H190+H193+H202+H204</f>
        <v>4298118</v>
      </c>
      <c r="I122" s="51">
        <f>I123+I125+I128+I190+I193+I202+I204</f>
        <v>0</v>
      </c>
      <c r="J122" s="51">
        <f>K122+N122</f>
        <v>12452572</v>
      </c>
      <c r="K122" s="51">
        <f>K123+K125+K128+K190+K193+K202+K204</f>
        <v>102333</v>
      </c>
      <c r="L122" s="51">
        <f>L123+L125+L128+L190+L193+L202+L204</f>
        <v>60095</v>
      </c>
      <c r="M122" s="51">
        <f>M123+M125+M128+M190+M193+M202+M204</f>
        <v>0</v>
      </c>
      <c r="N122" s="51">
        <f>N123+N125+N128+N190+N193+N202+N204</f>
        <v>12350239</v>
      </c>
      <c r="O122" s="130">
        <f>O123+O125+O128+O190+O193+O202+O204</f>
        <v>12350239</v>
      </c>
      <c r="P122" s="52">
        <f t="shared" si="11"/>
        <v>1250091065</v>
      </c>
      <c r="Q122" s="53"/>
      <c r="W122" s="53">
        <f>N122-O122</f>
        <v>0</v>
      </c>
    </row>
    <row r="123" spans="1:23" s="3" customFormat="1" ht="12.75">
      <c r="A123" s="42"/>
      <c r="B123" s="42" t="s">
        <v>362</v>
      </c>
      <c r="C123" s="42"/>
      <c r="D123" s="43" t="s">
        <v>363</v>
      </c>
      <c r="E123" s="37">
        <f>E124</f>
        <v>54439080</v>
      </c>
      <c r="F123" s="37">
        <f>F124</f>
        <v>54439080</v>
      </c>
      <c r="G123" s="37">
        <f>G124</f>
        <v>39520542</v>
      </c>
      <c r="H123" s="37">
        <f>H124</f>
        <v>1628854</v>
      </c>
      <c r="I123" s="37"/>
      <c r="J123" s="38">
        <f>K123+N123</f>
        <v>6342324</v>
      </c>
      <c r="K123" s="37">
        <f>K124</f>
        <v>0</v>
      </c>
      <c r="L123" s="37">
        <f>L124</f>
        <v>0</v>
      </c>
      <c r="M123" s="37">
        <f>M124</f>
        <v>0</v>
      </c>
      <c r="N123" s="37">
        <f>N124</f>
        <v>6342324</v>
      </c>
      <c r="O123" s="125">
        <f>O124</f>
        <v>6342324</v>
      </c>
      <c r="P123" s="55">
        <f t="shared" si="11"/>
        <v>60781404</v>
      </c>
      <c r="Q123" s="53"/>
      <c r="W123" s="53">
        <f t="shared" si="12"/>
        <v>0</v>
      </c>
    </row>
    <row r="124" spans="1:23" s="3" customFormat="1" ht="12.75">
      <c r="A124" s="39"/>
      <c r="B124" s="39" t="s">
        <v>249</v>
      </c>
      <c r="C124" s="74" t="s">
        <v>441</v>
      </c>
      <c r="D124" s="58" t="s">
        <v>250</v>
      </c>
      <c r="E124" s="38">
        <f>F124+I124</f>
        <v>54439080</v>
      </c>
      <c r="F124" s="38">
        <f>47129653-2971141+752496+3049870+5330354+1160966-13118</f>
        <v>54439080</v>
      </c>
      <c r="G124" s="38">
        <f>31683653+1186040+1331292+5330354-10797</f>
        <v>39520542</v>
      </c>
      <c r="H124" s="140">
        <v>1628854</v>
      </c>
      <c r="I124" s="38"/>
      <c r="J124" s="38">
        <f>K124+N124</f>
        <v>6342324</v>
      </c>
      <c r="K124" s="38"/>
      <c r="L124" s="38"/>
      <c r="M124" s="38"/>
      <c r="N124" s="76">
        <f>O124</f>
        <v>6342324</v>
      </c>
      <c r="O124" s="76">
        <f>85230+3658163+3248939-650008</f>
        <v>6342324</v>
      </c>
      <c r="P124" s="55">
        <f t="shared" si="11"/>
        <v>60781404</v>
      </c>
      <c r="Q124" s="53"/>
      <c r="W124" s="53">
        <f t="shared" si="12"/>
        <v>0</v>
      </c>
    </row>
    <row r="125" spans="1:23" s="3" customFormat="1" ht="12.75">
      <c r="A125" s="9"/>
      <c r="B125" s="9" t="s">
        <v>251</v>
      </c>
      <c r="C125" s="9"/>
      <c r="D125" s="15" t="s">
        <v>252</v>
      </c>
      <c r="E125" s="27">
        <f>E126</f>
        <v>2611950</v>
      </c>
      <c r="F125" s="27">
        <f>F126</f>
        <v>2611950</v>
      </c>
      <c r="G125" s="27">
        <f>G126</f>
        <v>0</v>
      </c>
      <c r="H125" s="27">
        <f>H126</f>
        <v>0</v>
      </c>
      <c r="I125" s="27"/>
      <c r="J125" s="27">
        <f>K125+N125</f>
        <v>0</v>
      </c>
      <c r="K125" s="27"/>
      <c r="L125" s="27"/>
      <c r="M125" s="27"/>
      <c r="N125" s="125">
        <f>N126</f>
        <v>0</v>
      </c>
      <c r="O125" s="125">
        <f>O126</f>
        <v>0</v>
      </c>
      <c r="P125" s="26">
        <f t="shared" si="11"/>
        <v>2611950</v>
      </c>
      <c r="Q125" s="53"/>
      <c r="W125" s="53">
        <f t="shared" si="12"/>
        <v>0</v>
      </c>
    </row>
    <row r="126" spans="1:23" s="3" customFormat="1" ht="25.5">
      <c r="A126" s="9"/>
      <c r="B126" s="9" t="s">
        <v>246</v>
      </c>
      <c r="C126" s="9" t="s">
        <v>445</v>
      </c>
      <c r="D126" s="15" t="s">
        <v>247</v>
      </c>
      <c r="E126" s="27">
        <f>F126+I126</f>
        <v>2611950</v>
      </c>
      <c r="F126" s="27">
        <f>1666311+945639</f>
        <v>2611950</v>
      </c>
      <c r="G126" s="27"/>
      <c r="H126" s="27"/>
      <c r="I126" s="27"/>
      <c r="J126" s="27">
        <f>K126+N126</f>
        <v>0</v>
      </c>
      <c r="K126" s="27"/>
      <c r="L126" s="27"/>
      <c r="M126" s="27"/>
      <c r="N126" s="27"/>
      <c r="O126" s="27"/>
      <c r="P126" s="26">
        <f aca="true" t="shared" si="16" ref="P126:P135">E126+J126</f>
        <v>2611950</v>
      </c>
      <c r="Q126" s="53"/>
      <c r="W126" s="53">
        <f t="shared" si="12"/>
        <v>0</v>
      </c>
    </row>
    <row r="127" spans="1:23" s="3" customFormat="1" ht="84.75" customHeight="1">
      <c r="A127" s="9"/>
      <c r="B127" s="9"/>
      <c r="C127" s="9"/>
      <c r="D127" s="91" t="s">
        <v>119</v>
      </c>
      <c r="E127" s="27">
        <f>E126</f>
        <v>2611950</v>
      </c>
      <c r="F127" s="27">
        <f>F126</f>
        <v>2611950</v>
      </c>
      <c r="G127" s="27"/>
      <c r="H127" s="27"/>
      <c r="I127" s="27"/>
      <c r="J127" s="27"/>
      <c r="K127" s="27"/>
      <c r="L127" s="27"/>
      <c r="M127" s="27"/>
      <c r="N127" s="27"/>
      <c r="O127" s="27"/>
      <c r="P127" s="26">
        <f t="shared" si="16"/>
        <v>2611950</v>
      </c>
      <c r="Q127" s="53"/>
      <c r="W127" s="53">
        <f t="shared" si="12"/>
        <v>0</v>
      </c>
    </row>
    <row r="128" spans="1:23" s="3" customFormat="1" ht="25.5">
      <c r="A128" s="39"/>
      <c r="B128" s="39" t="s">
        <v>271</v>
      </c>
      <c r="C128" s="39"/>
      <c r="D128" s="60" t="s">
        <v>317</v>
      </c>
      <c r="E128" s="38">
        <f>E129+E131+E133+E135+E138+E141+E143+E145+E147+E149+E151+E153+E155+E157+E159+E161+E163+E165+E167+E169+E171+E175+E179+E184+E185+E187+E188+E186+E181+E182+E183+E173+E177</f>
        <v>1124724595</v>
      </c>
      <c r="F128" s="38">
        <f>F129+F131+F133+F135+F138+F141+F143+F145+F147+F149+F151+F153+F155+F157+F159+F161+F163+F165+F167+F169+F171+F175+F179+F184+F185+F187+F188+F186+F181+F182+F183+F173+F177</f>
        <v>1124724595</v>
      </c>
      <c r="G128" s="38">
        <f>G129+G131+G133+G135+G138+G141+G143+G145+G147+G149+G151+G153+G155+G157+G159+G161+G163+G165+G167+G169+G171+G175+G179+G184+G185+G187+G188+G186+G181+G182+G183</f>
        <v>15953706</v>
      </c>
      <c r="H128" s="38">
        <f>H129+H131+H133+H135+H138+H141+H143+H145+H147+H149+H151+H153+H155+H157+H159+H161+H163+H165+H167+H169+H171+H175+H179+H184+H185+H187+H188+H186+H181+H182+H183</f>
        <v>2669264</v>
      </c>
      <c r="I128" s="38">
        <f>I129+I131+I133+I135+I138+I141+I143+I145+I147+I149+I151+I153+I155+I157+I159+I161+I163+I165+I167+I169+I171+I175+I179+I184+I185+I187+I188+I186+I181+I182+I183+I173</f>
        <v>0</v>
      </c>
      <c r="J128" s="38">
        <f>K128+N128</f>
        <v>1812882</v>
      </c>
      <c r="K128" s="38">
        <f>K129+K131+K133+K135+K138+K141+K143+K145+K147+K149+K151+K153+K155+K157+K159+K161+K163+K165+K167+K169+K171+K175+K179+K184+K185+K187+K188+K186+K181+K182+K183</f>
        <v>102333</v>
      </c>
      <c r="L128" s="38">
        <f>L129+L131+L133+L135+L138+L141+L143+L145+L147+L149+L151+L153+L155+L157+L159+L161+L163+L165+L167+L169+L171+L175+L179+L184+L185+L187+L188+L186+L181+L182+L183</f>
        <v>60095</v>
      </c>
      <c r="M128" s="38">
        <f>M129+M131+M133+M135+M138+M141+M143+M145+M147+M149+M151+M153+M155+M157+M159+M161+M163+M165+M167+M169+M171+M175+M179+M184+M185+M187+M188+M186+M181+M182+M183</f>
        <v>0</v>
      </c>
      <c r="N128" s="38">
        <f>N129+N131+N133+N135+N138+N141+N143+N145+N147+N149+N151+N153+N155+N157+N159+N161+N163+N165+N167+N169+N171+N175+N179+N184+N185+N187+N188+N186+N181+N182+N183</f>
        <v>1710549</v>
      </c>
      <c r="O128" s="38">
        <f>O129+O131+O133+O135+O138+O141+O143+O145+O147+O149+O151+O153+O155+O157+O159+O161+O163+O165+O167+O169+O171+O175+O179+O184+O185+O187+O188+O186+O181+O182+O183</f>
        <v>1710549</v>
      </c>
      <c r="P128" s="55">
        <f t="shared" si="16"/>
        <v>1126537477</v>
      </c>
      <c r="Q128" s="53"/>
      <c r="W128" s="53">
        <f t="shared" si="12"/>
        <v>0</v>
      </c>
    </row>
    <row r="129" spans="1:23" s="3" customFormat="1" ht="216">
      <c r="A129" s="9"/>
      <c r="B129" s="9" t="s">
        <v>319</v>
      </c>
      <c r="C129" s="9" t="s">
        <v>463</v>
      </c>
      <c r="D129" s="40" t="s">
        <v>92</v>
      </c>
      <c r="E129" s="27">
        <f>F129</f>
        <v>85780000</v>
      </c>
      <c r="F129" s="27">
        <f>154079000-68299000</f>
        <v>85780000</v>
      </c>
      <c r="G129" s="27"/>
      <c r="H129" s="27"/>
      <c r="I129" s="27"/>
      <c r="J129" s="27">
        <f>K129+N129</f>
        <v>0</v>
      </c>
      <c r="K129" s="27"/>
      <c r="L129" s="27"/>
      <c r="M129" s="27"/>
      <c r="N129" s="27"/>
      <c r="O129" s="27"/>
      <c r="P129" s="26">
        <f t="shared" si="16"/>
        <v>85780000</v>
      </c>
      <c r="Q129" s="53"/>
      <c r="W129" s="53">
        <f t="shared" si="12"/>
        <v>0</v>
      </c>
    </row>
    <row r="130" spans="1:23" s="3" customFormat="1" ht="112.5">
      <c r="A130" s="9"/>
      <c r="B130" s="9"/>
      <c r="C130" s="9"/>
      <c r="D130" s="91" t="s">
        <v>188</v>
      </c>
      <c r="E130" s="27">
        <f>E129</f>
        <v>85780000</v>
      </c>
      <c r="F130" s="27">
        <f>F129</f>
        <v>85780000</v>
      </c>
      <c r="G130" s="27"/>
      <c r="H130" s="27"/>
      <c r="I130" s="27"/>
      <c r="J130" s="27">
        <f>K130+N130</f>
        <v>0</v>
      </c>
      <c r="K130" s="27">
        <f>K129</f>
        <v>0</v>
      </c>
      <c r="L130" s="27"/>
      <c r="M130" s="27"/>
      <c r="N130" s="27"/>
      <c r="O130" s="27"/>
      <c r="P130" s="26">
        <f t="shared" si="16"/>
        <v>85780000</v>
      </c>
      <c r="Q130" s="53"/>
      <c r="W130" s="53">
        <f t="shared" si="12"/>
        <v>0</v>
      </c>
    </row>
    <row r="131" spans="1:23" s="3" customFormat="1" ht="192">
      <c r="A131" s="9"/>
      <c r="B131" s="9" t="s">
        <v>322</v>
      </c>
      <c r="C131" s="9" t="s">
        <v>463</v>
      </c>
      <c r="D131" s="40" t="s">
        <v>96</v>
      </c>
      <c r="E131" s="27">
        <f>F131</f>
        <v>95272</v>
      </c>
      <c r="F131" s="27">
        <f>129114-33842</f>
        <v>95272</v>
      </c>
      <c r="G131" s="27"/>
      <c r="H131" s="27"/>
      <c r="I131" s="27"/>
      <c r="J131" s="27">
        <f>K131+N131</f>
        <v>0</v>
      </c>
      <c r="K131" s="27"/>
      <c r="L131" s="27"/>
      <c r="M131" s="27"/>
      <c r="N131" s="27"/>
      <c r="O131" s="27"/>
      <c r="P131" s="26">
        <f t="shared" si="16"/>
        <v>95272</v>
      </c>
      <c r="Q131" s="53"/>
      <c r="W131" s="53">
        <f t="shared" si="12"/>
        <v>0</v>
      </c>
    </row>
    <row r="132" spans="1:23" s="3" customFormat="1" ht="67.5">
      <c r="A132" s="9"/>
      <c r="B132" s="9"/>
      <c r="C132" s="9"/>
      <c r="D132" s="91" t="s">
        <v>120</v>
      </c>
      <c r="E132" s="27">
        <f>E131</f>
        <v>95272</v>
      </c>
      <c r="F132" s="27">
        <f>F131</f>
        <v>95272</v>
      </c>
      <c r="G132" s="27"/>
      <c r="H132" s="27"/>
      <c r="I132" s="27"/>
      <c r="J132" s="27"/>
      <c r="K132" s="27"/>
      <c r="L132" s="27"/>
      <c r="M132" s="27"/>
      <c r="N132" s="27"/>
      <c r="O132" s="27"/>
      <c r="P132" s="26">
        <f t="shared" si="16"/>
        <v>95272</v>
      </c>
      <c r="Q132" s="53"/>
      <c r="W132" s="53">
        <f t="shared" si="12"/>
        <v>0</v>
      </c>
    </row>
    <row r="133" spans="1:23" s="3" customFormat="1" ht="216">
      <c r="A133" s="9"/>
      <c r="B133" s="9" t="s">
        <v>323</v>
      </c>
      <c r="C133" s="9" t="s">
        <v>463</v>
      </c>
      <c r="D133" s="40" t="s">
        <v>97</v>
      </c>
      <c r="E133" s="27">
        <f>F133+I133</f>
        <v>1055206</v>
      </c>
      <c r="F133" s="27">
        <f>1373702-268884-975934+966322-40000</f>
        <v>1055206</v>
      </c>
      <c r="G133" s="27"/>
      <c r="H133" s="27"/>
      <c r="I133" s="27"/>
      <c r="J133" s="27">
        <f>K133+N133</f>
        <v>40000</v>
      </c>
      <c r="K133" s="27"/>
      <c r="L133" s="27"/>
      <c r="M133" s="27"/>
      <c r="N133" s="27">
        <f>O133</f>
        <v>40000</v>
      </c>
      <c r="O133" s="27">
        <v>40000</v>
      </c>
      <c r="P133" s="26">
        <f t="shared" si="16"/>
        <v>1095206</v>
      </c>
      <c r="Q133" s="53"/>
      <c r="W133" s="53">
        <f t="shared" si="12"/>
        <v>0</v>
      </c>
    </row>
    <row r="134" spans="1:23" s="3" customFormat="1" ht="225" hidden="1">
      <c r="A134" s="9"/>
      <c r="B134" s="9"/>
      <c r="C134" s="9"/>
      <c r="D134" s="91" t="s">
        <v>112</v>
      </c>
      <c r="E134" s="27"/>
      <c r="F134" s="27"/>
      <c r="G134" s="27"/>
      <c r="H134" s="27"/>
      <c r="I134" s="27"/>
      <c r="J134" s="27"/>
      <c r="K134" s="27"/>
      <c r="L134" s="27"/>
      <c r="M134" s="27"/>
      <c r="N134" s="27"/>
      <c r="O134" s="27"/>
      <c r="P134" s="26">
        <f t="shared" si="16"/>
        <v>0</v>
      </c>
      <c r="Q134" s="53"/>
      <c r="W134" s="53">
        <f t="shared" si="12"/>
        <v>0</v>
      </c>
    </row>
    <row r="135" spans="1:23" s="3" customFormat="1" ht="372">
      <c r="A135" s="81"/>
      <c r="B135" s="81" t="s">
        <v>324</v>
      </c>
      <c r="C135" s="81" t="s">
        <v>463</v>
      </c>
      <c r="D135" s="82" t="s">
        <v>0</v>
      </c>
      <c r="E135" s="83">
        <f>F135</f>
        <v>11493000</v>
      </c>
      <c r="F135" s="83">
        <f>20796000-9303000</f>
        <v>11493000</v>
      </c>
      <c r="G135" s="83"/>
      <c r="H135" s="83"/>
      <c r="I135" s="83"/>
      <c r="J135" s="83">
        <f>K135+N135</f>
        <v>0</v>
      </c>
      <c r="K135" s="83"/>
      <c r="L135" s="83"/>
      <c r="M135" s="83"/>
      <c r="N135" s="83"/>
      <c r="O135" s="83"/>
      <c r="P135" s="78">
        <f t="shared" si="16"/>
        <v>11493000</v>
      </c>
      <c r="Q135" s="53"/>
      <c r="W135" s="53">
        <f t="shared" si="12"/>
        <v>0</v>
      </c>
    </row>
    <row r="136" spans="1:23" s="3" customFormat="1" ht="240">
      <c r="A136" s="79"/>
      <c r="B136" s="79"/>
      <c r="C136" s="79"/>
      <c r="D136" s="84" t="s">
        <v>431</v>
      </c>
      <c r="E136" s="80"/>
      <c r="F136" s="80"/>
      <c r="G136" s="80"/>
      <c r="H136" s="80"/>
      <c r="I136" s="80"/>
      <c r="J136" s="80"/>
      <c r="K136" s="80"/>
      <c r="L136" s="80"/>
      <c r="M136" s="80"/>
      <c r="N136" s="80"/>
      <c r="O136" s="80"/>
      <c r="P136" s="77"/>
      <c r="Q136" s="53"/>
      <c r="W136" s="53">
        <f t="shared" si="12"/>
        <v>0</v>
      </c>
    </row>
    <row r="137" spans="1:23" s="3" customFormat="1" ht="112.5">
      <c r="A137" s="9"/>
      <c r="B137" s="9"/>
      <c r="C137" s="9"/>
      <c r="D137" s="91" t="s">
        <v>237</v>
      </c>
      <c r="E137" s="27">
        <f>F137</f>
        <v>11493000</v>
      </c>
      <c r="F137" s="27">
        <f>F135</f>
        <v>11493000</v>
      </c>
      <c r="G137" s="27"/>
      <c r="H137" s="27"/>
      <c r="I137" s="27"/>
      <c r="J137" s="27">
        <f>K137+N137</f>
        <v>0</v>
      </c>
      <c r="K137" s="27">
        <f>K135</f>
        <v>0</v>
      </c>
      <c r="L137" s="27"/>
      <c r="M137" s="27"/>
      <c r="N137" s="27"/>
      <c r="O137" s="27"/>
      <c r="P137" s="26">
        <f aca="true" t="shared" si="17" ref="P137:P168">E137+J137</f>
        <v>11493000</v>
      </c>
      <c r="Q137" s="53"/>
      <c r="W137" s="53">
        <f t="shared" si="12"/>
        <v>0</v>
      </c>
    </row>
    <row r="138" spans="1:23" s="3" customFormat="1" ht="372">
      <c r="A138" s="81"/>
      <c r="B138" s="81" t="s">
        <v>325</v>
      </c>
      <c r="C138" s="81" t="s">
        <v>463</v>
      </c>
      <c r="D138" s="82" t="s">
        <v>433</v>
      </c>
      <c r="E138" s="83">
        <f>F138</f>
        <v>3141</v>
      </c>
      <c r="F138" s="83">
        <f>4058-917</f>
        <v>3141</v>
      </c>
      <c r="G138" s="83"/>
      <c r="H138" s="83"/>
      <c r="I138" s="83"/>
      <c r="J138" s="83">
        <f>K138+N138</f>
        <v>0</v>
      </c>
      <c r="K138" s="83"/>
      <c r="L138" s="83"/>
      <c r="M138" s="83"/>
      <c r="N138" s="83"/>
      <c r="O138" s="83"/>
      <c r="P138" s="78">
        <f t="shared" si="17"/>
        <v>3141</v>
      </c>
      <c r="Q138" s="53"/>
      <c r="W138" s="53">
        <f t="shared" si="12"/>
        <v>0</v>
      </c>
    </row>
    <row r="139" spans="1:23" s="3" customFormat="1" ht="120">
      <c r="A139" s="79"/>
      <c r="B139" s="79"/>
      <c r="C139" s="79"/>
      <c r="D139" s="84" t="s">
        <v>432</v>
      </c>
      <c r="E139" s="80"/>
      <c r="F139" s="80"/>
      <c r="G139" s="80"/>
      <c r="H139" s="80"/>
      <c r="I139" s="80"/>
      <c r="J139" s="80">
        <f>K139+N139</f>
        <v>0</v>
      </c>
      <c r="K139" s="80"/>
      <c r="L139" s="80"/>
      <c r="M139" s="80"/>
      <c r="N139" s="80"/>
      <c r="O139" s="80"/>
      <c r="P139" s="77">
        <f t="shared" si="17"/>
        <v>0</v>
      </c>
      <c r="Q139" s="53"/>
      <c r="W139" s="53">
        <f t="shared" si="12"/>
        <v>0</v>
      </c>
    </row>
    <row r="140" spans="1:23" s="3" customFormat="1" ht="67.5">
      <c r="A140" s="9"/>
      <c r="B140" s="9"/>
      <c r="C140" s="9"/>
      <c r="D140" s="91" t="s">
        <v>120</v>
      </c>
      <c r="E140" s="27">
        <f>E138</f>
        <v>3141</v>
      </c>
      <c r="F140" s="27">
        <f>F138</f>
        <v>3141</v>
      </c>
      <c r="G140" s="27"/>
      <c r="H140" s="27"/>
      <c r="I140" s="27"/>
      <c r="J140" s="27"/>
      <c r="K140" s="27"/>
      <c r="L140" s="27"/>
      <c r="M140" s="27"/>
      <c r="N140" s="27"/>
      <c r="O140" s="27"/>
      <c r="P140" s="26">
        <f t="shared" si="17"/>
        <v>3141</v>
      </c>
      <c r="Q140" s="53"/>
      <c r="W140" s="53">
        <f t="shared" si="12"/>
        <v>0</v>
      </c>
    </row>
    <row r="141" spans="1:23" s="3" customFormat="1" ht="84">
      <c r="A141" s="9"/>
      <c r="B141" s="9" t="s">
        <v>326</v>
      </c>
      <c r="C141" s="9" t="s">
        <v>464</v>
      </c>
      <c r="D141" s="41" t="s">
        <v>401</v>
      </c>
      <c r="E141" s="27">
        <f>F141</f>
        <v>4681000</v>
      </c>
      <c r="F141" s="27">
        <f>7618000-2937000</f>
        <v>4681000</v>
      </c>
      <c r="G141" s="27"/>
      <c r="H141" s="27"/>
      <c r="I141" s="27"/>
      <c r="J141" s="27">
        <f>K141+N141</f>
        <v>0</v>
      </c>
      <c r="K141" s="27"/>
      <c r="L141" s="27"/>
      <c r="M141" s="27"/>
      <c r="N141" s="27"/>
      <c r="O141" s="27"/>
      <c r="P141" s="26">
        <f t="shared" si="17"/>
        <v>4681000</v>
      </c>
      <c r="Q141" s="53"/>
      <c r="W141" s="53">
        <f t="shared" si="12"/>
        <v>0</v>
      </c>
    </row>
    <row r="142" spans="1:23" s="3" customFormat="1" ht="112.5">
      <c r="A142" s="9"/>
      <c r="B142" s="9"/>
      <c r="C142" s="9"/>
      <c r="D142" s="91" t="s">
        <v>237</v>
      </c>
      <c r="E142" s="27">
        <f>E141</f>
        <v>4681000</v>
      </c>
      <c r="F142" s="27">
        <f>F141</f>
        <v>4681000</v>
      </c>
      <c r="G142" s="27"/>
      <c r="H142" s="27"/>
      <c r="I142" s="27"/>
      <c r="J142" s="27">
        <f>K142+N142</f>
        <v>0</v>
      </c>
      <c r="K142" s="27">
        <f>K141</f>
        <v>0</v>
      </c>
      <c r="L142" s="27"/>
      <c r="M142" s="27"/>
      <c r="N142" s="27"/>
      <c r="O142" s="27"/>
      <c r="P142" s="26">
        <f t="shared" si="17"/>
        <v>4681000</v>
      </c>
      <c r="Q142" s="53"/>
      <c r="W142" s="53">
        <f t="shared" si="12"/>
        <v>0</v>
      </c>
    </row>
    <row r="143" spans="1:23" s="3" customFormat="1" ht="84">
      <c r="A143" s="9"/>
      <c r="B143" s="9" t="s">
        <v>327</v>
      </c>
      <c r="C143" s="9" t="s">
        <v>464</v>
      </c>
      <c r="D143" s="41" t="s">
        <v>402</v>
      </c>
      <c r="E143" s="27">
        <f>F143</f>
        <v>3384</v>
      </c>
      <c r="F143" s="27">
        <f>6607-3223</f>
        <v>3384</v>
      </c>
      <c r="G143" s="27"/>
      <c r="H143" s="27"/>
      <c r="I143" s="27"/>
      <c r="J143" s="27">
        <f>K143+N143</f>
        <v>0</v>
      </c>
      <c r="K143" s="27"/>
      <c r="L143" s="27"/>
      <c r="M143" s="27"/>
      <c r="N143" s="27"/>
      <c r="O143" s="27"/>
      <c r="P143" s="26">
        <f t="shared" si="17"/>
        <v>3384</v>
      </c>
      <c r="Q143" s="53"/>
      <c r="W143" s="53">
        <f t="shared" si="12"/>
        <v>0</v>
      </c>
    </row>
    <row r="144" spans="1:23" s="3" customFormat="1" ht="67.5">
      <c r="A144" s="9"/>
      <c r="B144" s="9"/>
      <c r="C144" s="9"/>
      <c r="D144" s="91" t="s">
        <v>120</v>
      </c>
      <c r="E144" s="27">
        <f>E143</f>
        <v>3384</v>
      </c>
      <c r="F144" s="27">
        <f>F143</f>
        <v>3384</v>
      </c>
      <c r="G144" s="27"/>
      <c r="H144" s="27"/>
      <c r="I144" s="27"/>
      <c r="J144" s="27"/>
      <c r="K144" s="27"/>
      <c r="L144" s="27"/>
      <c r="M144" s="27"/>
      <c r="N144" s="27"/>
      <c r="O144" s="27"/>
      <c r="P144" s="26">
        <f t="shared" si="17"/>
        <v>3384</v>
      </c>
      <c r="Q144" s="53"/>
      <c r="W144" s="53">
        <f t="shared" si="12"/>
        <v>0</v>
      </c>
    </row>
    <row r="145" spans="1:23" s="3" customFormat="1" ht="84">
      <c r="A145" s="9"/>
      <c r="B145" s="9" t="s">
        <v>328</v>
      </c>
      <c r="C145" s="9" t="s">
        <v>464</v>
      </c>
      <c r="D145" s="41" t="s">
        <v>403</v>
      </c>
      <c r="E145" s="27">
        <f>F145</f>
        <v>30069</v>
      </c>
      <c r="F145" s="27">
        <f>45200-13976-19088+17933</f>
        <v>30069</v>
      </c>
      <c r="G145" s="27"/>
      <c r="H145" s="27"/>
      <c r="I145" s="27"/>
      <c r="J145" s="27">
        <f aca="true" t="shared" si="18" ref="J145:J153">K145+N145</f>
        <v>0</v>
      </c>
      <c r="K145" s="27"/>
      <c r="L145" s="27"/>
      <c r="M145" s="27"/>
      <c r="N145" s="27"/>
      <c r="O145" s="27"/>
      <c r="P145" s="26">
        <f t="shared" si="17"/>
        <v>30069</v>
      </c>
      <c r="Q145" s="53"/>
      <c r="W145" s="53">
        <f t="shared" si="12"/>
        <v>0</v>
      </c>
    </row>
    <row r="146" spans="1:23" s="3" customFormat="1" ht="225" hidden="1">
      <c r="A146" s="9"/>
      <c r="B146" s="9"/>
      <c r="C146" s="9"/>
      <c r="D146" s="91" t="s">
        <v>112</v>
      </c>
      <c r="E146" s="27"/>
      <c r="F146" s="27"/>
      <c r="G146" s="27"/>
      <c r="H146" s="27"/>
      <c r="I146" s="27"/>
      <c r="J146" s="27">
        <f t="shared" si="18"/>
        <v>0</v>
      </c>
      <c r="K146" s="27"/>
      <c r="L146" s="27"/>
      <c r="M146" s="27"/>
      <c r="N146" s="27"/>
      <c r="O146" s="27"/>
      <c r="P146" s="26">
        <f t="shared" si="17"/>
        <v>0</v>
      </c>
      <c r="Q146" s="53"/>
      <c r="W146" s="53">
        <f t="shared" si="12"/>
        <v>0</v>
      </c>
    </row>
    <row r="147" spans="1:23" s="3" customFormat="1" ht="25.5">
      <c r="A147" s="9"/>
      <c r="B147" s="9" t="s">
        <v>244</v>
      </c>
      <c r="C147" s="9" t="s">
        <v>464</v>
      </c>
      <c r="D147" s="15" t="s">
        <v>245</v>
      </c>
      <c r="E147" s="27">
        <f>F147</f>
        <v>3864357</v>
      </c>
      <c r="F147" s="27">
        <f>3485000+487991-1769670+1661036</f>
        <v>3864357</v>
      </c>
      <c r="G147" s="27"/>
      <c r="H147" s="27"/>
      <c r="I147" s="27"/>
      <c r="J147" s="27">
        <f t="shared" si="18"/>
        <v>0</v>
      </c>
      <c r="K147" s="27"/>
      <c r="L147" s="27"/>
      <c r="M147" s="27"/>
      <c r="N147" s="27"/>
      <c r="O147" s="27"/>
      <c r="P147" s="26">
        <f t="shared" si="17"/>
        <v>3864357</v>
      </c>
      <c r="Q147" s="53"/>
      <c r="W147" s="53">
        <f aca="true" t="shared" si="19" ref="W147:W207">N147-O147</f>
        <v>0</v>
      </c>
    </row>
    <row r="148" spans="1:23" s="3" customFormat="1" ht="225" hidden="1">
      <c r="A148" s="9"/>
      <c r="B148" s="9"/>
      <c r="C148" s="9"/>
      <c r="D148" s="91" t="s">
        <v>112</v>
      </c>
      <c r="E148" s="27"/>
      <c r="F148" s="27"/>
      <c r="G148" s="27"/>
      <c r="H148" s="27"/>
      <c r="I148" s="27"/>
      <c r="J148" s="27">
        <f t="shared" si="18"/>
        <v>0</v>
      </c>
      <c r="K148" s="27"/>
      <c r="L148" s="27"/>
      <c r="M148" s="27"/>
      <c r="N148" s="27"/>
      <c r="O148" s="27"/>
      <c r="P148" s="26">
        <f t="shared" si="17"/>
        <v>0</v>
      </c>
      <c r="Q148" s="53"/>
      <c r="W148" s="53">
        <f t="shared" si="19"/>
        <v>0</v>
      </c>
    </row>
    <row r="149" spans="1:23" s="3" customFormat="1" ht="127.5">
      <c r="A149" s="9"/>
      <c r="B149" s="9" t="s">
        <v>314</v>
      </c>
      <c r="C149" s="9" t="s">
        <v>464</v>
      </c>
      <c r="D149" s="15" t="s">
        <v>10</v>
      </c>
      <c r="E149" s="27">
        <f>F149</f>
        <v>7636000</v>
      </c>
      <c r="F149" s="27">
        <f>11923000-4287000</f>
        <v>7636000</v>
      </c>
      <c r="G149" s="27"/>
      <c r="H149" s="27"/>
      <c r="I149" s="27"/>
      <c r="J149" s="27">
        <f t="shared" si="18"/>
        <v>0</v>
      </c>
      <c r="K149" s="27"/>
      <c r="L149" s="27"/>
      <c r="M149" s="27"/>
      <c r="N149" s="27"/>
      <c r="O149" s="27"/>
      <c r="P149" s="26">
        <f t="shared" si="17"/>
        <v>7636000</v>
      </c>
      <c r="Q149" s="53"/>
      <c r="W149" s="53">
        <f t="shared" si="19"/>
        <v>0</v>
      </c>
    </row>
    <row r="150" spans="1:23" s="3" customFormat="1" ht="112.5">
      <c r="A150" s="9"/>
      <c r="B150" s="9"/>
      <c r="C150" s="9"/>
      <c r="D150" s="91" t="s">
        <v>237</v>
      </c>
      <c r="E150" s="27">
        <f>E149</f>
        <v>7636000</v>
      </c>
      <c r="F150" s="27">
        <f>F149</f>
        <v>7636000</v>
      </c>
      <c r="G150" s="27"/>
      <c r="H150" s="27"/>
      <c r="I150" s="27"/>
      <c r="J150" s="27">
        <f t="shared" si="18"/>
        <v>0</v>
      </c>
      <c r="K150" s="27">
        <f>K149</f>
        <v>0</v>
      </c>
      <c r="L150" s="27"/>
      <c r="M150" s="27"/>
      <c r="N150" s="27"/>
      <c r="O150" s="27"/>
      <c r="P150" s="26">
        <f t="shared" si="17"/>
        <v>7636000</v>
      </c>
      <c r="Q150" s="53"/>
      <c r="W150" s="53">
        <f t="shared" si="19"/>
        <v>0</v>
      </c>
    </row>
    <row r="151" spans="1:23" s="3" customFormat="1" ht="140.25">
      <c r="A151" s="9"/>
      <c r="B151" s="9" t="s">
        <v>315</v>
      </c>
      <c r="C151" s="9" t="s">
        <v>464</v>
      </c>
      <c r="D151" s="15" t="s">
        <v>233</v>
      </c>
      <c r="E151" s="27">
        <f>F151</f>
        <v>25462</v>
      </c>
      <c r="F151" s="27">
        <f>35734-10272</f>
        <v>25462</v>
      </c>
      <c r="G151" s="27"/>
      <c r="H151" s="27"/>
      <c r="I151" s="27"/>
      <c r="J151" s="27">
        <f t="shared" si="18"/>
        <v>0</v>
      </c>
      <c r="K151" s="27"/>
      <c r="L151" s="27"/>
      <c r="M151" s="27"/>
      <c r="N151" s="27"/>
      <c r="O151" s="27"/>
      <c r="P151" s="26">
        <f t="shared" si="17"/>
        <v>25462</v>
      </c>
      <c r="Q151" s="53"/>
      <c r="W151" s="53">
        <f t="shared" si="19"/>
        <v>0</v>
      </c>
    </row>
    <row r="152" spans="1:23" s="3" customFormat="1" ht="67.5">
      <c r="A152" s="9"/>
      <c r="B152" s="9"/>
      <c r="C152" s="9"/>
      <c r="D152" s="91" t="s">
        <v>120</v>
      </c>
      <c r="E152" s="27">
        <f>E151</f>
        <v>25462</v>
      </c>
      <c r="F152" s="27">
        <f>F151</f>
        <v>25462</v>
      </c>
      <c r="G152" s="27"/>
      <c r="H152" s="27"/>
      <c r="I152" s="27"/>
      <c r="J152" s="27">
        <f t="shared" si="18"/>
        <v>0</v>
      </c>
      <c r="K152" s="27"/>
      <c r="L152" s="27"/>
      <c r="M152" s="27"/>
      <c r="N152" s="27"/>
      <c r="O152" s="27"/>
      <c r="P152" s="26">
        <f t="shared" si="17"/>
        <v>25462</v>
      </c>
      <c r="Q152" s="53"/>
      <c r="W152" s="53">
        <f t="shared" si="19"/>
        <v>0</v>
      </c>
    </row>
    <row r="153" spans="1:23" s="3" customFormat="1" ht="25.5">
      <c r="A153" s="9"/>
      <c r="B153" s="9" t="s">
        <v>310</v>
      </c>
      <c r="C153" s="9" t="s">
        <v>450</v>
      </c>
      <c r="D153" s="15" t="s">
        <v>113</v>
      </c>
      <c r="E153" s="27">
        <f>F153</f>
        <v>6600000</v>
      </c>
      <c r="F153" s="27">
        <f>6500000+100000</f>
        <v>6600000</v>
      </c>
      <c r="G153" s="27"/>
      <c r="H153" s="27"/>
      <c r="I153" s="27"/>
      <c r="J153" s="27">
        <f t="shared" si="18"/>
        <v>0</v>
      </c>
      <c r="K153" s="27"/>
      <c r="L153" s="27"/>
      <c r="M153" s="27"/>
      <c r="N153" s="27"/>
      <c r="O153" s="27"/>
      <c r="P153" s="26">
        <f t="shared" si="17"/>
        <v>6600000</v>
      </c>
      <c r="Q153" s="53"/>
      <c r="W153" s="53">
        <f t="shared" si="19"/>
        <v>0</v>
      </c>
    </row>
    <row r="154" spans="1:23" s="3" customFormat="1" ht="90">
      <c r="A154" s="9"/>
      <c r="B154" s="9"/>
      <c r="C154" s="9"/>
      <c r="D154" s="91" t="s">
        <v>429</v>
      </c>
      <c r="E154" s="27">
        <f>E153</f>
        <v>6600000</v>
      </c>
      <c r="F154" s="27">
        <f>F153</f>
        <v>6600000</v>
      </c>
      <c r="G154" s="27"/>
      <c r="H154" s="27"/>
      <c r="I154" s="27"/>
      <c r="J154" s="27"/>
      <c r="K154" s="27"/>
      <c r="L154" s="27"/>
      <c r="M154" s="27"/>
      <c r="N154" s="27"/>
      <c r="O154" s="27"/>
      <c r="P154" s="26">
        <f t="shared" si="17"/>
        <v>6600000</v>
      </c>
      <c r="Q154" s="53"/>
      <c r="W154" s="53">
        <f t="shared" si="19"/>
        <v>0</v>
      </c>
    </row>
    <row r="155" spans="1:23" s="3" customFormat="1" ht="25.5">
      <c r="A155" s="9"/>
      <c r="B155" s="9" t="s">
        <v>311</v>
      </c>
      <c r="C155" s="9" t="s">
        <v>450</v>
      </c>
      <c r="D155" s="15" t="s">
        <v>430</v>
      </c>
      <c r="E155" s="27">
        <f>F155</f>
        <v>5040000</v>
      </c>
      <c r="F155" s="27">
        <f>6050000-1010000</f>
        <v>5040000</v>
      </c>
      <c r="G155" s="27"/>
      <c r="H155" s="27"/>
      <c r="I155" s="27"/>
      <c r="J155" s="27">
        <f>K155+N155</f>
        <v>0</v>
      </c>
      <c r="K155" s="27"/>
      <c r="L155" s="27"/>
      <c r="M155" s="27"/>
      <c r="N155" s="27"/>
      <c r="O155" s="27"/>
      <c r="P155" s="26">
        <f t="shared" si="17"/>
        <v>5040000</v>
      </c>
      <c r="Q155" s="53"/>
      <c r="W155" s="53">
        <f t="shared" si="19"/>
        <v>0</v>
      </c>
    </row>
    <row r="156" spans="1:23" s="3" customFormat="1" ht="90">
      <c r="A156" s="9"/>
      <c r="B156" s="9"/>
      <c r="C156" s="9"/>
      <c r="D156" s="91" t="s">
        <v>429</v>
      </c>
      <c r="E156" s="27">
        <f>E155</f>
        <v>5040000</v>
      </c>
      <c r="F156" s="27">
        <f>F155</f>
        <v>5040000</v>
      </c>
      <c r="G156" s="27"/>
      <c r="H156" s="27"/>
      <c r="I156" s="27"/>
      <c r="J156" s="27"/>
      <c r="K156" s="27"/>
      <c r="L156" s="27"/>
      <c r="M156" s="27"/>
      <c r="N156" s="27"/>
      <c r="O156" s="27"/>
      <c r="P156" s="26">
        <f t="shared" si="17"/>
        <v>5040000</v>
      </c>
      <c r="Q156" s="53"/>
      <c r="W156" s="53">
        <f t="shared" si="19"/>
        <v>0</v>
      </c>
    </row>
    <row r="157" spans="1:23" s="3" customFormat="1" ht="12.75">
      <c r="A157" s="9"/>
      <c r="B157" s="9" t="s">
        <v>312</v>
      </c>
      <c r="C157" s="9" t="s">
        <v>450</v>
      </c>
      <c r="D157" s="15" t="s">
        <v>332</v>
      </c>
      <c r="E157" s="27">
        <f>F157</f>
        <v>333486646</v>
      </c>
      <c r="F157" s="27">
        <f>339261435-5774789</f>
        <v>333486646</v>
      </c>
      <c r="G157" s="27"/>
      <c r="H157" s="27"/>
      <c r="I157" s="27"/>
      <c r="J157" s="27">
        <f>K157+N157</f>
        <v>0</v>
      </c>
      <c r="K157" s="27"/>
      <c r="L157" s="27"/>
      <c r="M157" s="27"/>
      <c r="N157" s="27"/>
      <c r="O157" s="27"/>
      <c r="P157" s="26">
        <f t="shared" si="17"/>
        <v>333486646</v>
      </c>
      <c r="Q157" s="53"/>
      <c r="W157" s="53">
        <f t="shared" si="19"/>
        <v>0</v>
      </c>
    </row>
    <row r="158" spans="1:23" s="3" customFormat="1" ht="90">
      <c r="A158" s="9"/>
      <c r="B158" s="9"/>
      <c r="C158" s="9"/>
      <c r="D158" s="91" t="s">
        <v>429</v>
      </c>
      <c r="E158" s="27">
        <f>E157</f>
        <v>333486646</v>
      </c>
      <c r="F158" s="27">
        <f>F157</f>
        <v>333486646</v>
      </c>
      <c r="G158" s="27"/>
      <c r="H158" s="27"/>
      <c r="I158" s="27"/>
      <c r="J158" s="27"/>
      <c r="K158" s="27"/>
      <c r="L158" s="27"/>
      <c r="M158" s="27"/>
      <c r="N158" s="27"/>
      <c r="O158" s="27"/>
      <c r="P158" s="26">
        <f t="shared" si="17"/>
        <v>333486646</v>
      </c>
      <c r="Q158" s="53"/>
      <c r="W158" s="53">
        <f t="shared" si="19"/>
        <v>0</v>
      </c>
    </row>
    <row r="159" spans="1:23" s="3" customFormat="1" ht="25.5">
      <c r="A159" s="9"/>
      <c r="B159" s="9" t="s">
        <v>299</v>
      </c>
      <c r="C159" s="9" t="s">
        <v>450</v>
      </c>
      <c r="D159" s="66" t="s">
        <v>398</v>
      </c>
      <c r="E159" s="27">
        <f>F159</f>
        <v>27060000</v>
      </c>
      <c r="F159" s="27">
        <f>25000000+2060000</f>
        <v>27060000</v>
      </c>
      <c r="G159" s="27"/>
      <c r="H159" s="27"/>
      <c r="I159" s="27"/>
      <c r="J159" s="27">
        <f>K159+N159</f>
        <v>0</v>
      </c>
      <c r="K159" s="27"/>
      <c r="L159" s="27"/>
      <c r="M159" s="27"/>
      <c r="N159" s="27"/>
      <c r="O159" s="27"/>
      <c r="P159" s="26">
        <f t="shared" si="17"/>
        <v>27060000</v>
      </c>
      <c r="Q159" s="53"/>
      <c r="W159" s="53">
        <f t="shared" si="19"/>
        <v>0</v>
      </c>
    </row>
    <row r="160" spans="1:23" s="3" customFormat="1" ht="90">
      <c r="A160" s="9"/>
      <c r="B160" s="9"/>
      <c r="C160" s="9"/>
      <c r="D160" s="91" t="s">
        <v>429</v>
      </c>
      <c r="E160" s="27">
        <f>E159</f>
        <v>27060000</v>
      </c>
      <c r="F160" s="27">
        <f>F159</f>
        <v>27060000</v>
      </c>
      <c r="G160" s="27"/>
      <c r="H160" s="27"/>
      <c r="I160" s="27"/>
      <c r="J160" s="27"/>
      <c r="K160" s="27"/>
      <c r="L160" s="27"/>
      <c r="M160" s="27"/>
      <c r="N160" s="27"/>
      <c r="O160" s="27"/>
      <c r="P160" s="26">
        <f t="shared" si="17"/>
        <v>27060000</v>
      </c>
      <c r="Q160" s="53"/>
      <c r="W160" s="53">
        <f t="shared" si="19"/>
        <v>0</v>
      </c>
    </row>
    <row r="161" spans="1:23" s="3" customFormat="1" ht="12.75">
      <c r="A161" s="9"/>
      <c r="B161" s="9" t="s">
        <v>335</v>
      </c>
      <c r="C161" s="9" t="s">
        <v>450</v>
      </c>
      <c r="D161" s="15" t="s">
        <v>329</v>
      </c>
      <c r="E161" s="27">
        <f>F161</f>
        <v>69600000</v>
      </c>
      <c r="F161" s="27">
        <f>70000000-400000</f>
        <v>69600000</v>
      </c>
      <c r="G161" s="27"/>
      <c r="H161" s="27"/>
      <c r="I161" s="27"/>
      <c r="J161" s="27">
        <f>K161+N161</f>
        <v>0</v>
      </c>
      <c r="K161" s="27"/>
      <c r="L161" s="27"/>
      <c r="M161" s="27"/>
      <c r="N161" s="27"/>
      <c r="O161" s="27"/>
      <c r="P161" s="26">
        <f t="shared" si="17"/>
        <v>69600000</v>
      </c>
      <c r="Q161" s="53"/>
      <c r="W161" s="53">
        <f t="shared" si="19"/>
        <v>0</v>
      </c>
    </row>
    <row r="162" spans="1:23" s="3" customFormat="1" ht="90">
      <c r="A162" s="9"/>
      <c r="B162" s="9"/>
      <c r="C162" s="9"/>
      <c r="D162" s="91" t="s">
        <v>429</v>
      </c>
      <c r="E162" s="27">
        <f>E161</f>
        <v>69600000</v>
      </c>
      <c r="F162" s="27">
        <f>F161</f>
        <v>69600000</v>
      </c>
      <c r="G162" s="27"/>
      <c r="H162" s="27"/>
      <c r="I162" s="27"/>
      <c r="J162" s="27"/>
      <c r="K162" s="27"/>
      <c r="L162" s="27"/>
      <c r="M162" s="27"/>
      <c r="N162" s="27"/>
      <c r="O162" s="27"/>
      <c r="P162" s="26">
        <f t="shared" si="17"/>
        <v>69600000</v>
      </c>
      <c r="Q162" s="53"/>
      <c r="W162" s="53">
        <f t="shared" si="19"/>
        <v>0</v>
      </c>
    </row>
    <row r="163" spans="1:23" s="3" customFormat="1" ht="12.75">
      <c r="A163" s="9"/>
      <c r="B163" s="9" t="s">
        <v>89</v>
      </c>
      <c r="C163" s="9" t="s">
        <v>450</v>
      </c>
      <c r="D163" s="15" t="s">
        <v>90</v>
      </c>
      <c r="E163" s="27">
        <f>F163</f>
        <v>10800000</v>
      </c>
      <c r="F163" s="27">
        <f>10500000+300000</f>
        <v>10800000</v>
      </c>
      <c r="G163" s="27"/>
      <c r="H163" s="27"/>
      <c r="I163" s="27"/>
      <c r="J163" s="27"/>
      <c r="K163" s="27"/>
      <c r="L163" s="27"/>
      <c r="M163" s="27"/>
      <c r="N163" s="27"/>
      <c r="O163" s="27"/>
      <c r="P163" s="26">
        <f t="shared" si="17"/>
        <v>10800000</v>
      </c>
      <c r="Q163" s="53"/>
      <c r="W163" s="53">
        <f t="shared" si="19"/>
        <v>0</v>
      </c>
    </row>
    <row r="164" spans="1:23" ht="90">
      <c r="A164" s="9"/>
      <c r="B164" s="9"/>
      <c r="C164" s="9"/>
      <c r="D164" s="91" t="s">
        <v>429</v>
      </c>
      <c r="E164" s="27">
        <f>E163</f>
        <v>10800000</v>
      </c>
      <c r="F164" s="27">
        <f>F163</f>
        <v>10800000</v>
      </c>
      <c r="G164" s="27"/>
      <c r="H164" s="27"/>
      <c r="I164" s="27"/>
      <c r="J164" s="27"/>
      <c r="K164" s="27"/>
      <c r="L164" s="27"/>
      <c r="M164" s="27"/>
      <c r="N164" s="27"/>
      <c r="O164" s="27"/>
      <c r="P164" s="26">
        <f t="shared" si="17"/>
        <v>10800000</v>
      </c>
      <c r="Q164" s="53"/>
      <c r="R164" s="59"/>
      <c r="W164" s="53">
        <f t="shared" si="19"/>
        <v>0</v>
      </c>
    </row>
    <row r="165" spans="1:23" ht="12.75">
      <c r="A165" s="9"/>
      <c r="B165" s="9" t="s">
        <v>399</v>
      </c>
      <c r="C165" s="9" t="s">
        <v>450</v>
      </c>
      <c r="D165" s="15" t="s">
        <v>400</v>
      </c>
      <c r="E165" s="27">
        <f>F165</f>
        <v>1080000</v>
      </c>
      <c r="F165" s="27">
        <f>1050000+30000</f>
        <v>1080000</v>
      </c>
      <c r="G165" s="27"/>
      <c r="H165" s="27"/>
      <c r="I165" s="27"/>
      <c r="J165" s="27"/>
      <c r="K165" s="27"/>
      <c r="L165" s="27"/>
      <c r="M165" s="27"/>
      <c r="N165" s="27"/>
      <c r="O165" s="27"/>
      <c r="P165" s="26">
        <f t="shared" si="17"/>
        <v>1080000</v>
      </c>
      <c r="Q165" s="53"/>
      <c r="R165" s="59"/>
      <c r="W165" s="53">
        <f t="shared" si="19"/>
        <v>0</v>
      </c>
    </row>
    <row r="166" spans="1:23" s="3" customFormat="1" ht="90">
      <c r="A166" s="9"/>
      <c r="B166" s="9"/>
      <c r="C166" s="9"/>
      <c r="D166" s="91" t="s">
        <v>429</v>
      </c>
      <c r="E166" s="27">
        <f>E165</f>
        <v>1080000</v>
      </c>
      <c r="F166" s="27">
        <f>F165</f>
        <v>1080000</v>
      </c>
      <c r="G166" s="27"/>
      <c r="H166" s="27"/>
      <c r="I166" s="27"/>
      <c r="J166" s="27"/>
      <c r="K166" s="27"/>
      <c r="L166" s="27"/>
      <c r="M166" s="27"/>
      <c r="N166" s="27"/>
      <c r="O166" s="27"/>
      <c r="P166" s="26">
        <f t="shared" si="17"/>
        <v>1080000</v>
      </c>
      <c r="Q166" s="53"/>
      <c r="W166" s="53">
        <f t="shared" si="19"/>
        <v>0</v>
      </c>
    </row>
    <row r="167" spans="1:23" s="3" customFormat="1" ht="25.5">
      <c r="A167" s="9"/>
      <c r="B167" s="9" t="s">
        <v>330</v>
      </c>
      <c r="C167" s="9" t="s">
        <v>450</v>
      </c>
      <c r="D167" s="15" t="s">
        <v>63</v>
      </c>
      <c r="E167" s="27">
        <f>F167</f>
        <v>72000000</v>
      </c>
      <c r="F167" s="27">
        <f>48000000+24000000</f>
        <v>72000000</v>
      </c>
      <c r="G167" s="27"/>
      <c r="H167" s="27"/>
      <c r="I167" s="27"/>
      <c r="J167" s="27">
        <f>K167+N167</f>
        <v>0</v>
      </c>
      <c r="K167" s="27"/>
      <c r="L167" s="27"/>
      <c r="M167" s="27"/>
      <c r="N167" s="27"/>
      <c r="O167" s="27"/>
      <c r="P167" s="26">
        <f t="shared" si="17"/>
        <v>72000000</v>
      </c>
      <c r="Q167" s="53"/>
      <c r="W167" s="53">
        <f t="shared" si="19"/>
        <v>0</v>
      </c>
    </row>
    <row r="168" spans="1:23" ht="90">
      <c r="A168" s="9"/>
      <c r="B168" s="9"/>
      <c r="C168" s="9"/>
      <c r="D168" s="91" t="s">
        <v>429</v>
      </c>
      <c r="E168" s="27">
        <f>E167</f>
        <v>72000000</v>
      </c>
      <c r="F168" s="27">
        <f>F167</f>
        <v>72000000</v>
      </c>
      <c r="G168" s="27"/>
      <c r="H168" s="27"/>
      <c r="I168" s="27"/>
      <c r="J168" s="27"/>
      <c r="K168" s="27"/>
      <c r="L168" s="27"/>
      <c r="M168" s="27"/>
      <c r="N168" s="27"/>
      <c r="O168" s="27"/>
      <c r="P168" s="26">
        <f t="shared" si="17"/>
        <v>72000000</v>
      </c>
      <c r="Q168" s="53"/>
      <c r="R168" s="59"/>
      <c r="W168" s="53">
        <f t="shared" si="19"/>
        <v>0</v>
      </c>
    </row>
    <row r="169" spans="1:23" ht="38.25">
      <c r="A169" s="9"/>
      <c r="B169" s="9" t="s">
        <v>300</v>
      </c>
      <c r="C169" s="9" t="s">
        <v>455</v>
      </c>
      <c r="D169" s="66" t="s">
        <v>395</v>
      </c>
      <c r="E169" s="27">
        <f>F169</f>
        <v>312872100</v>
      </c>
      <c r="F169" s="27">
        <f>231365700+81506400</f>
        <v>312872100</v>
      </c>
      <c r="G169" s="27"/>
      <c r="H169" s="27"/>
      <c r="I169" s="27"/>
      <c r="J169" s="27">
        <f>K169+N169</f>
        <v>0</v>
      </c>
      <c r="K169" s="27"/>
      <c r="L169" s="27"/>
      <c r="M169" s="27"/>
      <c r="N169" s="27"/>
      <c r="O169" s="27"/>
      <c r="P169" s="26">
        <f aca="true" t="shared" si="20" ref="P169:P206">E169+J169</f>
        <v>312872100</v>
      </c>
      <c r="Q169" s="53"/>
      <c r="R169" s="59"/>
      <c r="W169" s="53">
        <f t="shared" si="19"/>
        <v>0</v>
      </c>
    </row>
    <row r="170" spans="1:23" ht="112.5">
      <c r="A170" s="9"/>
      <c r="B170" s="9"/>
      <c r="C170" s="9"/>
      <c r="D170" s="91" t="s">
        <v>237</v>
      </c>
      <c r="E170" s="27">
        <f>E169</f>
        <v>312872100</v>
      </c>
      <c r="F170" s="27">
        <f>F169</f>
        <v>312872100</v>
      </c>
      <c r="G170" s="27"/>
      <c r="H170" s="27"/>
      <c r="I170" s="27"/>
      <c r="J170" s="27">
        <f>K170+N170</f>
        <v>0</v>
      </c>
      <c r="K170" s="27">
        <f>K169</f>
        <v>0</v>
      </c>
      <c r="L170" s="27"/>
      <c r="M170" s="27"/>
      <c r="N170" s="27"/>
      <c r="O170" s="27"/>
      <c r="P170" s="26">
        <f t="shared" si="20"/>
        <v>312872100</v>
      </c>
      <c r="Q170" s="53"/>
      <c r="R170" s="59"/>
      <c r="W170" s="53">
        <f t="shared" si="19"/>
        <v>0</v>
      </c>
    </row>
    <row r="171" spans="1:23" ht="51">
      <c r="A171" s="9"/>
      <c r="B171" s="9" t="s">
        <v>396</v>
      </c>
      <c r="C171" s="9" t="s">
        <v>455</v>
      </c>
      <c r="D171" s="4" t="s">
        <v>397</v>
      </c>
      <c r="E171" s="27">
        <f>F171</f>
        <v>330651</v>
      </c>
      <c r="F171" s="27">
        <f>171187+159464</f>
        <v>330651</v>
      </c>
      <c r="G171" s="27"/>
      <c r="H171" s="27"/>
      <c r="I171" s="27"/>
      <c r="J171" s="27">
        <f>K171+N171</f>
        <v>0</v>
      </c>
      <c r="K171" s="27"/>
      <c r="L171" s="27"/>
      <c r="M171" s="27"/>
      <c r="N171" s="27"/>
      <c r="O171" s="27"/>
      <c r="P171" s="26">
        <f t="shared" si="20"/>
        <v>330651</v>
      </c>
      <c r="Q171" s="53"/>
      <c r="R171" s="59"/>
      <c r="W171" s="53">
        <f t="shared" si="19"/>
        <v>0</v>
      </c>
    </row>
    <row r="172" spans="1:23" s="3" customFormat="1" ht="67.5">
      <c r="A172" s="9"/>
      <c r="B172" s="9"/>
      <c r="C172" s="9"/>
      <c r="D172" s="91" t="s">
        <v>120</v>
      </c>
      <c r="E172" s="27">
        <f>E171</f>
        <v>330651</v>
      </c>
      <c r="F172" s="27">
        <f>F171</f>
        <v>330651</v>
      </c>
      <c r="G172" s="27"/>
      <c r="H172" s="27"/>
      <c r="I172" s="27"/>
      <c r="J172" s="27">
        <f>K172+N172</f>
        <v>0</v>
      </c>
      <c r="K172" s="27">
        <f>K171</f>
        <v>0</v>
      </c>
      <c r="L172" s="27"/>
      <c r="M172" s="27"/>
      <c r="N172" s="27"/>
      <c r="O172" s="27"/>
      <c r="P172" s="26">
        <f t="shared" si="20"/>
        <v>330651</v>
      </c>
      <c r="Q172" s="53"/>
      <c r="W172" s="53">
        <f t="shared" si="19"/>
        <v>0</v>
      </c>
    </row>
    <row r="173" spans="1:23" s="3" customFormat="1" ht="45" hidden="1">
      <c r="A173" s="9"/>
      <c r="B173" s="9" t="s">
        <v>384</v>
      </c>
      <c r="C173" s="9" t="s">
        <v>455</v>
      </c>
      <c r="D173" s="91" t="s">
        <v>385</v>
      </c>
      <c r="E173" s="27">
        <f>F173</f>
        <v>0</v>
      </c>
      <c r="F173" s="27"/>
      <c r="G173" s="27"/>
      <c r="H173" s="27"/>
      <c r="I173" s="27"/>
      <c r="J173" s="27"/>
      <c r="K173" s="27"/>
      <c r="L173" s="27"/>
      <c r="M173" s="27"/>
      <c r="N173" s="27"/>
      <c r="O173" s="27"/>
      <c r="P173" s="26">
        <f t="shared" si="20"/>
        <v>0</v>
      </c>
      <c r="Q173" s="53"/>
      <c r="W173" s="53">
        <f t="shared" si="19"/>
        <v>0</v>
      </c>
    </row>
    <row r="174" spans="1:23" s="3" customFormat="1" ht="67.5" hidden="1">
      <c r="A174" s="9"/>
      <c r="B174" s="9"/>
      <c r="C174" s="9"/>
      <c r="D174" s="91" t="s">
        <v>120</v>
      </c>
      <c r="E174" s="27">
        <f>E173</f>
        <v>0</v>
      </c>
      <c r="F174" s="27">
        <f>F173</f>
        <v>0</v>
      </c>
      <c r="G174" s="27"/>
      <c r="H174" s="27"/>
      <c r="I174" s="27"/>
      <c r="J174" s="27"/>
      <c r="K174" s="27"/>
      <c r="L174" s="27"/>
      <c r="M174" s="27"/>
      <c r="N174" s="27"/>
      <c r="O174" s="27"/>
      <c r="P174" s="26">
        <f t="shared" si="20"/>
        <v>0</v>
      </c>
      <c r="Q174" s="53"/>
      <c r="W174" s="53">
        <f t="shared" si="19"/>
        <v>0</v>
      </c>
    </row>
    <row r="175" spans="1:23" s="3" customFormat="1" ht="25.5">
      <c r="A175" s="39"/>
      <c r="B175" s="39" t="s">
        <v>272</v>
      </c>
      <c r="C175" s="74" t="s">
        <v>465</v>
      </c>
      <c r="D175" s="68" t="s">
        <v>331</v>
      </c>
      <c r="E175" s="38">
        <f>F175</f>
        <v>29494158</v>
      </c>
      <c r="F175" s="38">
        <f>3688680+14431093+(7680000)-(602500)-(386500)-(39000)-(24450)+78400-(88165)-(129900)-(203500)-(30000)+(5120000)</f>
        <v>29494158</v>
      </c>
      <c r="G175" s="38"/>
      <c r="H175" s="38"/>
      <c r="I175" s="38"/>
      <c r="J175" s="38">
        <f>K175+N175</f>
        <v>0</v>
      </c>
      <c r="K175" s="38"/>
      <c r="L175" s="38"/>
      <c r="M175" s="38"/>
      <c r="N175" s="38"/>
      <c r="O175" s="38"/>
      <c r="P175" s="55">
        <f t="shared" si="20"/>
        <v>29494158</v>
      </c>
      <c r="Q175" s="53"/>
      <c r="W175" s="53">
        <f t="shared" si="19"/>
        <v>0</v>
      </c>
    </row>
    <row r="176" spans="1:23" ht="25.5" hidden="1">
      <c r="A176" s="39"/>
      <c r="B176" s="39"/>
      <c r="C176" s="39"/>
      <c r="D176" s="68" t="s">
        <v>101</v>
      </c>
      <c r="E176" s="38"/>
      <c r="F176" s="38"/>
      <c r="G176" s="38"/>
      <c r="H176" s="38"/>
      <c r="I176" s="38"/>
      <c r="J176" s="38"/>
      <c r="K176" s="38"/>
      <c r="L176" s="38"/>
      <c r="M176" s="38"/>
      <c r="N176" s="38"/>
      <c r="O176" s="38"/>
      <c r="P176" s="55">
        <f t="shared" si="20"/>
        <v>0</v>
      </c>
      <c r="Q176" s="53"/>
      <c r="R176" s="59"/>
      <c r="W176" s="53">
        <f t="shared" si="19"/>
        <v>0</v>
      </c>
    </row>
    <row r="177" spans="1:23" ht="25.5">
      <c r="A177" s="39"/>
      <c r="B177" s="74" t="s">
        <v>434</v>
      </c>
      <c r="C177" s="74" t="s">
        <v>466</v>
      </c>
      <c r="D177" s="68" t="s">
        <v>435</v>
      </c>
      <c r="E177" s="38">
        <f>F177</f>
        <v>9000000</v>
      </c>
      <c r="F177" s="38">
        <f>7800000+1200000</f>
        <v>9000000</v>
      </c>
      <c r="G177" s="38"/>
      <c r="H177" s="38"/>
      <c r="I177" s="38"/>
      <c r="J177" s="38"/>
      <c r="K177" s="38"/>
      <c r="L177" s="38"/>
      <c r="M177" s="38"/>
      <c r="N177" s="38"/>
      <c r="O177" s="38"/>
      <c r="P177" s="55">
        <f t="shared" si="20"/>
        <v>9000000</v>
      </c>
      <c r="Q177" s="53"/>
      <c r="R177" s="59"/>
      <c r="W177" s="53">
        <f t="shared" si="19"/>
        <v>0</v>
      </c>
    </row>
    <row r="178" spans="1:23" ht="90">
      <c r="A178" s="39"/>
      <c r="B178" s="74"/>
      <c r="C178" s="39"/>
      <c r="D178" s="91" t="s">
        <v>429</v>
      </c>
      <c r="E178" s="38">
        <f>F178</f>
        <v>9000000</v>
      </c>
      <c r="F178" s="38">
        <f>F177</f>
        <v>9000000</v>
      </c>
      <c r="G178" s="38"/>
      <c r="H178" s="38"/>
      <c r="I178" s="38"/>
      <c r="J178" s="38"/>
      <c r="K178" s="38"/>
      <c r="L178" s="38"/>
      <c r="M178" s="38"/>
      <c r="N178" s="38"/>
      <c r="O178" s="38"/>
      <c r="P178" s="55">
        <f t="shared" si="20"/>
        <v>9000000</v>
      </c>
      <c r="Q178" s="53"/>
      <c r="R178" s="59"/>
      <c r="W178" s="53">
        <f t="shared" si="19"/>
        <v>0</v>
      </c>
    </row>
    <row r="179" spans="1:23" ht="76.5" hidden="1">
      <c r="A179" s="9"/>
      <c r="B179" s="9" t="s">
        <v>68</v>
      </c>
      <c r="C179" s="9" t="s">
        <v>455</v>
      </c>
      <c r="D179" s="4" t="s">
        <v>313</v>
      </c>
      <c r="E179" s="27">
        <f>F179</f>
        <v>0</v>
      </c>
      <c r="F179" s="27"/>
      <c r="G179" s="27"/>
      <c r="H179" s="27"/>
      <c r="I179" s="27"/>
      <c r="J179" s="27"/>
      <c r="K179" s="27"/>
      <c r="L179" s="27"/>
      <c r="M179" s="27"/>
      <c r="N179" s="27"/>
      <c r="O179" s="27"/>
      <c r="P179" s="26">
        <f t="shared" si="20"/>
        <v>0</v>
      </c>
      <c r="Q179" s="53"/>
      <c r="R179" s="59"/>
      <c r="W179" s="53">
        <f t="shared" si="19"/>
        <v>0</v>
      </c>
    </row>
    <row r="180" spans="1:23" ht="67.5" hidden="1">
      <c r="A180" s="9"/>
      <c r="B180" s="9"/>
      <c r="C180" s="9"/>
      <c r="D180" s="91" t="s">
        <v>120</v>
      </c>
      <c r="E180" s="27">
        <f>E179</f>
        <v>0</v>
      </c>
      <c r="F180" s="27">
        <f>F179</f>
        <v>0</v>
      </c>
      <c r="G180" s="27"/>
      <c r="H180" s="27"/>
      <c r="I180" s="27"/>
      <c r="J180" s="27">
        <f aca="true" t="shared" si="21" ref="J180:J185">K180+N180</f>
        <v>0</v>
      </c>
      <c r="K180" s="27"/>
      <c r="L180" s="27"/>
      <c r="M180" s="27"/>
      <c r="N180" s="27"/>
      <c r="O180" s="27"/>
      <c r="P180" s="26">
        <f t="shared" si="20"/>
        <v>0</v>
      </c>
      <c r="Q180" s="53"/>
      <c r="R180" s="59"/>
      <c r="W180" s="53">
        <f t="shared" si="19"/>
        <v>0</v>
      </c>
    </row>
    <row r="181" spans="1:23" ht="25.5">
      <c r="A181" s="9"/>
      <c r="B181" s="9" t="s">
        <v>343</v>
      </c>
      <c r="C181" s="9" t="s">
        <v>450</v>
      </c>
      <c r="D181" s="60" t="s">
        <v>74</v>
      </c>
      <c r="E181" s="27">
        <f>F181</f>
        <v>2371689</v>
      </c>
      <c r="F181" s="27">
        <f>2470419-98730</f>
        <v>2371689</v>
      </c>
      <c r="G181" s="27">
        <f>1577199+103942</f>
        <v>1681141</v>
      </c>
      <c r="H181" s="27">
        <v>160639</v>
      </c>
      <c r="I181" s="27"/>
      <c r="J181" s="27">
        <f t="shared" si="21"/>
        <v>0</v>
      </c>
      <c r="K181" s="27"/>
      <c r="L181" s="27"/>
      <c r="M181" s="27"/>
      <c r="N181" s="27">
        <f>O181</f>
        <v>0</v>
      </c>
      <c r="O181" s="27"/>
      <c r="P181" s="26">
        <f t="shared" si="20"/>
        <v>2371689</v>
      </c>
      <c r="Q181" s="53"/>
      <c r="R181" s="59"/>
      <c r="W181" s="53">
        <f t="shared" si="19"/>
        <v>0</v>
      </c>
    </row>
    <row r="182" spans="1:23" ht="25.5">
      <c r="A182" s="9"/>
      <c r="B182" s="9" t="s">
        <v>344</v>
      </c>
      <c r="C182" s="9" t="s">
        <v>450</v>
      </c>
      <c r="D182" s="60" t="s">
        <v>80</v>
      </c>
      <c r="E182" s="27">
        <f>F182</f>
        <v>245187</v>
      </c>
      <c r="F182" s="27">
        <f>241392+3795</f>
        <v>245187</v>
      </c>
      <c r="G182" s="27">
        <f>145482+20163</f>
        <v>165645</v>
      </c>
      <c r="H182" s="27"/>
      <c r="I182" s="27"/>
      <c r="J182" s="27">
        <f t="shared" si="21"/>
        <v>0</v>
      </c>
      <c r="K182" s="27"/>
      <c r="L182" s="27"/>
      <c r="M182" s="27"/>
      <c r="N182" s="27"/>
      <c r="O182" s="27"/>
      <c r="P182" s="26">
        <f t="shared" si="20"/>
        <v>245187</v>
      </c>
      <c r="Q182" s="53"/>
      <c r="R182" s="59"/>
      <c r="W182" s="53">
        <f t="shared" si="19"/>
        <v>0</v>
      </c>
    </row>
    <row r="183" spans="1:23" ht="25.5" hidden="1">
      <c r="A183" s="9"/>
      <c r="B183" s="9" t="s">
        <v>273</v>
      </c>
      <c r="C183" s="9"/>
      <c r="D183" s="60" t="s">
        <v>382</v>
      </c>
      <c r="E183" s="27"/>
      <c r="F183" s="27"/>
      <c r="G183" s="27"/>
      <c r="H183" s="27"/>
      <c r="I183" s="27"/>
      <c r="J183" s="27">
        <f t="shared" si="21"/>
        <v>0</v>
      </c>
      <c r="K183" s="27"/>
      <c r="L183" s="27"/>
      <c r="M183" s="27"/>
      <c r="N183" s="27"/>
      <c r="O183" s="27"/>
      <c r="P183" s="26">
        <f t="shared" si="20"/>
        <v>0</v>
      </c>
      <c r="Q183" s="53"/>
      <c r="R183" s="59"/>
      <c r="W183" s="53">
        <f t="shared" si="19"/>
        <v>0</v>
      </c>
    </row>
    <row r="184" spans="1:23" ht="76.5" hidden="1">
      <c r="A184" s="39"/>
      <c r="B184" s="39" t="s">
        <v>356</v>
      </c>
      <c r="C184" s="39"/>
      <c r="D184" s="36" t="s">
        <v>88</v>
      </c>
      <c r="E184" s="38">
        <f>2988909-2988909</f>
        <v>0</v>
      </c>
      <c r="F184" s="38"/>
      <c r="G184" s="38"/>
      <c r="H184" s="38"/>
      <c r="I184" s="38"/>
      <c r="J184" s="38">
        <f t="shared" si="21"/>
        <v>0</v>
      </c>
      <c r="K184" s="38"/>
      <c r="L184" s="38"/>
      <c r="M184" s="38"/>
      <c r="N184" s="38"/>
      <c r="O184" s="38"/>
      <c r="P184" s="55">
        <f t="shared" si="20"/>
        <v>0</v>
      </c>
      <c r="Q184" s="53"/>
      <c r="R184" s="59"/>
      <c r="W184" s="53">
        <f t="shared" si="19"/>
        <v>0</v>
      </c>
    </row>
    <row r="185" spans="1:23" ht="38.25">
      <c r="A185" s="39"/>
      <c r="B185" s="39" t="s">
        <v>274</v>
      </c>
      <c r="C185" s="74" t="s">
        <v>467</v>
      </c>
      <c r="D185" s="68" t="s">
        <v>114</v>
      </c>
      <c r="E185" s="38">
        <f>F185</f>
        <v>23257363</v>
      </c>
      <c r="F185" s="38">
        <f>24282162-1962420+422135+515486</f>
        <v>23257363</v>
      </c>
      <c r="G185" s="38">
        <f>13953970+27050+125900</f>
        <v>14106920</v>
      </c>
      <c r="H185" s="38">
        <v>2508625</v>
      </c>
      <c r="I185" s="38"/>
      <c r="J185" s="38">
        <f t="shared" si="21"/>
        <v>1772882</v>
      </c>
      <c r="K185" s="38">
        <v>102333</v>
      </c>
      <c r="L185" s="38">
        <v>60095</v>
      </c>
      <c r="M185" s="38"/>
      <c r="N185" s="38">
        <f>O185</f>
        <v>1670549</v>
      </c>
      <c r="O185" s="76">
        <f>530597+(9000)+(10000)+(5000)+1104952+(11000)</f>
        <v>1670549</v>
      </c>
      <c r="P185" s="55">
        <f t="shared" si="20"/>
        <v>25030245</v>
      </c>
      <c r="Q185" s="53"/>
      <c r="R185" s="59"/>
      <c r="W185" s="53">
        <f t="shared" si="19"/>
        <v>0</v>
      </c>
    </row>
    <row r="186" spans="1:23" ht="89.25">
      <c r="A186" s="74"/>
      <c r="B186" s="74" t="s">
        <v>125</v>
      </c>
      <c r="C186" s="74" t="s">
        <v>466</v>
      </c>
      <c r="D186" s="68" t="s">
        <v>117</v>
      </c>
      <c r="E186" s="38">
        <f>F186</f>
        <v>3063355</v>
      </c>
      <c r="F186" s="38">
        <v>3063355</v>
      </c>
      <c r="G186" s="38"/>
      <c r="H186" s="38"/>
      <c r="I186" s="38"/>
      <c r="J186" s="38"/>
      <c r="K186" s="38"/>
      <c r="L186" s="38"/>
      <c r="M186" s="38"/>
      <c r="N186" s="38"/>
      <c r="O186" s="38"/>
      <c r="P186" s="55">
        <f t="shared" si="20"/>
        <v>3063355</v>
      </c>
      <c r="Q186" s="53"/>
      <c r="R186" s="59"/>
      <c r="W186" s="53">
        <f t="shared" si="19"/>
        <v>0</v>
      </c>
    </row>
    <row r="187" spans="1:23" ht="25.5">
      <c r="A187" s="39"/>
      <c r="B187" s="39" t="s">
        <v>320</v>
      </c>
      <c r="C187" s="74" t="s">
        <v>463</v>
      </c>
      <c r="D187" s="90" t="s">
        <v>115</v>
      </c>
      <c r="E187" s="38">
        <f>F187</f>
        <v>1756555</v>
      </c>
      <c r="F187" s="38">
        <v>1756555</v>
      </c>
      <c r="G187" s="38"/>
      <c r="H187" s="38"/>
      <c r="I187" s="38"/>
      <c r="J187" s="151">
        <f>K187+N187</f>
        <v>0</v>
      </c>
      <c r="K187" s="38"/>
      <c r="L187" s="38"/>
      <c r="M187" s="38"/>
      <c r="N187" s="151">
        <f>O187</f>
        <v>0</v>
      </c>
      <c r="O187" s="151"/>
      <c r="P187" s="55">
        <f t="shared" si="20"/>
        <v>1756555</v>
      </c>
      <c r="Q187" s="53"/>
      <c r="R187" s="59"/>
      <c r="W187" s="53">
        <f t="shared" si="19"/>
        <v>0</v>
      </c>
    </row>
    <row r="188" spans="1:23" ht="38.25">
      <c r="A188" s="9"/>
      <c r="B188" s="9" t="s">
        <v>307</v>
      </c>
      <c r="C188" s="9" t="s">
        <v>466</v>
      </c>
      <c r="D188" s="15" t="s">
        <v>318</v>
      </c>
      <c r="E188" s="27">
        <f>F188</f>
        <v>102000000</v>
      </c>
      <c r="F188" s="27">
        <f>90500000+11500000</f>
        <v>102000000</v>
      </c>
      <c r="G188" s="27"/>
      <c r="H188" s="27"/>
      <c r="I188" s="27"/>
      <c r="J188" s="27">
        <f>K188+N188</f>
        <v>0</v>
      </c>
      <c r="K188" s="27"/>
      <c r="L188" s="27"/>
      <c r="M188" s="27"/>
      <c r="N188" s="27"/>
      <c r="O188" s="27"/>
      <c r="P188" s="26">
        <f t="shared" si="20"/>
        <v>102000000</v>
      </c>
      <c r="Q188" s="53"/>
      <c r="R188" s="59"/>
      <c r="W188" s="53">
        <f t="shared" si="19"/>
        <v>0</v>
      </c>
    </row>
    <row r="189" spans="1:23" ht="90">
      <c r="A189" s="9"/>
      <c r="B189" s="9"/>
      <c r="C189" s="9"/>
      <c r="D189" s="91" t="s">
        <v>429</v>
      </c>
      <c r="E189" s="27">
        <f>E188</f>
        <v>102000000</v>
      </c>
      <c r="F189" s="27">
        <f>F188</f>
        <v>102000000</v>
      </c>
      <c r="G189" s="27"/>
      <c r="H189" s="27"/>
      <c r="I189" s="27"/>
      <c r="J189" s="27"/>
      <c r="K189" s="27"/>
      <c r="L189" s="27"/>
      <c r="M189" s="27"/>
      <c r="N189" s="27"/>
      <c r="O189" s="27"/>
      <c r="P189" s="26">
        <f t="shared" si="20"/>
        <v>102000000</v>
      </c>
      <c r="Q189" s="53"/>
      <c r="R189" s="59"/>
      <c r="W189" s="53">
        <f t="shared" si="19"/>
        <v>0</v>
      </c>
    </row>
    <row r="190" spans="1:23" ht="12.75">
      <c r="A190" s="39"/>
      <c r="B190" s="39" t="s">
        <v>366</v>
      </c>
      <c r="C190" s="39"/>
      <c r="D190" s="63" t="s">
        <v>283</v>
      </c>
      <c r="E190" s="38">
        <f>E191</f>
        <v>0</v>
      </c>
      <c r="F190" s="38"/>
      <c r="G190" s="38">
        <f>G191</f>
        <v>0</v>
      </c>
      <c r="H190" s="38">
        <f>H191</f>
        <v>0</v>
      </c>
      <c r="I190" s="38"/>
      <c r="J190" s="38">
        <f>K190+N190</f>
        <v>4297366</v>
      </c>
      <c r="K190" s="38">
        <f>K191</f>
        <v>0</v>
      </c>
      <c r="L190" s="38">
        <f>L191</f>
        <v>0</v>
      </c>
      <c r="M190" s="38">
        <f>M191</f>
        <v>0</v>
      </c>
      <c r="N190" s="38">
        <f>N191</f>
        <v>4297366</v>
      </c>
      <c r="O190" s="38">
        <f>O191</f>
        <v>4297366</v>
      </c>
      <c r="P190" s="55">
        <f t="shared" si="20"/>
        <v>4297366</v>
      </c>
      <c r="Q190" s="53"/>
      <c r="R190" s="59"/>
      <c r="W190" s="53">
        <f t="shared" si="19"/>
        <v>0</v>
      </c>
    </row>
    <row r="191" spans="1:23" ht="12.75">
      <c r="A191" s="39"/>
      <c r="B191" s="39" t="s">
        <v>338</v>
      </c>
      <c r="C191" s="74" t="s">
        <v>443</v>
      </c>
      <c r="D191" s="63" t="s">
        <v>339</v>
      </c>
      <c r="E191" s="38"/>
      <c r="F191" s="38"/>
      <c r="G191" s="38"/>
      <c r="H191" s="38"/>
      <c r="I191" s="38"/>
      <c r="J191" s="38">
        <f>K191+N191</f>
        <v>4297366</v>
      </c>
      <c r="K191" s="38"/>
      <c r="L191" s="38"/>
      <c r="M191" s="38"/>
      <c r="N191" s="38">
        <f>O191</f>
        <v>4297366</v>
      </c>
      <c r="O191" s="76">
        <f>342900+584067+3370399</f>
        <v>4297366</v>
      </c>
      <c r="P191" s="55">
        <f t="shared" si="20"/>
        <v>4297366</v>
      </c>
      <c r="Q191" s="53"/>
      <c r="R191" s="59"/>
      <c r="W191" s="53">
        <f t="shared" si="19"/>
        <v>0</v>
      </c>
    </row>
    <row r="192" spans="1:23" ht="45" hidden="1">
      <c r="A192" s="39"/>
      <c r="B192" s="39"/>
      <c r="C192" s="39"/>
      <c r="D192" s="91" t="s">
        <v>235</v>
      </c>
      <c r="E192" s="38"/>
      <c r="F192" s="38"/>
      <c r="G192" s="38"/>
      <c r="H192" s="38"/>
      <c r="I192" s="38"/>
      <c r="J192" s="38">
        <f>K192+N192</f>
        <v>0</v>
      </c>
      <c r="K192" s="38"/>
      <c r="L192" s="38"/>
      <c r="M192" s="38"/>
      <c r="N192" s="38">
        <f>O192</f>
        <v>0</v>
      </c>
      <c r="O192" s="76"/>
      <c r="P192" s="55">
        <f t="shared" si="20"/>
        <v>0</v>
      </c>
      <c r="Q192" s="53"/>
      <c r="R192" s="59"/>
      <c r="W192" s="53">
        <f t="shared" si="19"/>
        <v>0</v>
      </c>
    </row>
    <row r="193" spans="1:23" ht="24.75" customHeight="1">
      <c r="A193" s="39"/>
      <c r="B193" s="39" t="s">
        <v>367</v>
      </c>
      <c r="C193" s="39"/>
      <c r="D193" s="36" t="s">
        <v>368</v>
      </c>
      <c r="E193" s="38">
        <f>E196+E198+E200+E194</f>
        <v>55862868</v>
      </c>
      <c r="F193" s="38">
        <f>F196+F198+F200+F194</f>
        <v>55862868</v>
      </c>
      <c r="G193" s="38">
        <f>G196+G198+G200</f>
        <v>0</v>
      </c>
      <c r="H193" s="38">
        <f>H196+H198+H200</f>
        <v>0</v>
      </c>
      <c r="I193" s="38"/>
      <c r="J193" s="38">
        <f>K193+N193</f>
        <v>0</v>
      </c>
      <c r="K193" s="38">
        <f>K196+K198+K200</f>
        <v>0</v>
      </c>
      <c r="L193" s="38">
        <f>L196+L198+L200</f>
        <v>0</v>
      </c>
      <c r="M193" s="38">
        <f>M196+M198+M200</f>
        <v>0</v>
      </c>
      <c r="N193" s="38"/>
      <c r="O193" s="38">
        <f>O196+O198+O200</f>
        <v>0</v>
      </c>
      <c r="P193" s="55">
        <f t="shared" si="20"/>
        <v>55862868</v>
      </c>
      <c r="Q193" s="53"/>
      <c r="R193" s="59"/>
      <c r="W193" s="53">
        <f t="shared" si="19"/>
        <v>0</v>
      </c>
    </row>
    <row r="194" spans="1:23" ht="38.25">
      <c r="A194" s="39"/>
      <c r="B194" s="39" t="s">
        <v>308</v>
      </c>
      <c r="C194" s="74" t="s">
        <v>464</v>
      </c>
      <c r="D194" s="36" t="s">
        <v>243</v>
      </c>
      <c r="E194" s="76">
        <f>F194</f>
        <v>5315642</v>
      </c>
      <c r="F194" s="76">
        <f>5256998+440100-623282-3475290+3717116</f>
        <v>5315642</v>
      </c>
      <c r="G194" s="38"/>
      <c r="H194" s="38"/>
      <c r="I194" s="38"/>
      <c r="J194" s="38">
        <f>K194+N194</f>
        <v>0</v>
      </c>
      <c r="K194" s="38"/>
      <c r="L194" s="38"/>
      <c r="M194" s="38"/>
      <c r="N194" s="38"/>
      <c r="O194" s="38"/>
      <c r="P194" s="55">
        <f t="shared" si="20"/>
        <v>5315642</v>
      </c>
      <c r="Q194" s="53"/>
      <c r="R194" s="59"/>
      <c r="W194" s="53">
        <f t="shared" si="19"/>
        <v>0</v>
      </c>
    </row>
    <row r="195" spans="1:23" s="3" customFormat="1" ht="213.75" hidden="1">
      <c r="A195" s="39"/>
      <c r="B195" s="39"/>
      <c r="C195" s="39"/>
      <c r="D195" s="91" t="s">
        <v>238</v>
      </c>
      <c r="E195" s="140">
        <f>F195</f>
        <v>0</v>
      </c>
      <c r="F195" s="76"/>
      <c r="G195" s="38"/>
      <c r="H195" s="38"/>
      <c r="I195" s="38"/>
      <c r="J195" s="38"/>
      <c r="K195" s="38"/>
      <c r="L195" s="38"/>
      <c r="M195" s="38"/>
      <c r="N195" s="38"/>
      <c r="O195" s="38"/>
      <c r="P195" s="55">
        <f t="shared" si="20"/>
        <v>0</v>
      </c>
      <c r="Q195" s="53"/>
      <c r="W195" s="53">
        <f t="shared" si="19"/>
        <v>0</v>
      </c>
    </row>
    <row r="196" spans="1:23" ht="38.25">
      <c r="A196" s="39"/>
      <c r="B196" s="39" t="s">
        <v>79</v>
      </c>
      <c r="C196" s="74" t="s">
        <v>464</v>
      </c>
      <c r="D196" s="36" t="s">
        <v>91</v>
      </c>
      <c r="E196" s="38">
        <f>F196</f>
        <v>2147630</v>
      </c>
      <c r="F196" s="38">
        <v>2147630</v>
      </c>
      <c r="G196" s="38"/>
      <c r="H196" s="38"/>
      <c r="I196" s="38"/>
      <c r="J196" s="38">
        <f>K196+N196</f>
        <v>0</v>
      </c>
      <c r="K196" s="38"/>
      <c r="L196" s="38"/>
      <c r="M196" s="38"/>
      <c r="N196" s="38"/>
      <c r="O196" s="38"/>
      <c r="P196" s="55">
        <f t="shared" si="20"/>
        <v>2147630</v>
      </c>
      <c r="Q196" s="53"/>
      <c r="R196" s="59"/>
      <c r="W196" s="53">
        <f t="shared" si="19"/>
        <v>0</v>
      </c>
    </row>
    <row r="197" spans="1:23" s="3" customFormat="1" ht="213.75" hidden="1">
      <c r="A197" s="39"/>
      <c r="B197" s="39"/>
      <c r="C197" s="39"/>
      <c r="D197" s="91" t="s">
        <v>238</v>
      </c>
      <c r="E197" s="38">
        <f>F197</f>
        <v>0</v>
      </c>
      <c r="F197" s="38"/>
      <c r="G197" s="38"/>
      <c r="H197" s="38"/>
      <c r="I197" s="38"/>
      <c r="J197" s="38"/>
      <c r="K197" s="38"/>
      <c r="L197" s="38"/>
      <c r="M197" s="38"/>
      <c r="N197" s="38"/>
      <c r="O197" s="38"/>
      <c r="P197" s="55">
        <f t="shared" si="20"/>
        <v>0</v>
      </c>
      <c r="Q197" s="53"/>
      <c r="W197" s="53">
        <f t="shared" si="19"/>
        <v>0</v>
      </c>
    </row>
    <row r="198" spans="1:23" s="3" customFormat="1" ht="38.25">
      <c r="A198" s="39"/>
      <c r="B198" s="39" t="s">
        <v>77</v>
      </c>
      <c r="C198" s="74" t="s">
        <v>464</v>
      </c>
      <c r="D198" s="60" t="s">
        <v>78</v>
      </c>
      <c r="E198" s="38">
        <f>F198</f>
        <v>4322821</v>
      </c>
      <c r="F198" s="38">
        <f>5808000-1912264-2840933+3268018</f>
        <v>4322821</v>
      </c>
      <c r="G198" s="38"/>
      <c r="H198" s="38"/>
      <c r="I198" s="38"/>
      <c r="J198" s="38"/>
      <c r="K198" s="38"/>
      <c r="L198" s="38"/>
      <c r="M198" s="38"/>
      <c r="N198" s="38"/>
      <c r="O198" s="38"/>
      <c r="P198" s="55">
        <f t="shared" si="20"/>
        <v>4322821</v>
      </c>
      <c r="Q198" s="53"/>
      <c r="W198" s="53">
        <f t="shared" si="19"/>
        <v>0</v>
      </c>
    </row>
    <row r="199" spans="1:23" s="3" customFormat="1" ht="213.75" hidden="1">
      <c r="A199" s="39"/>
      <c r="B199" s="39"/>
      <c r="C199" s="39"/>
      <c r="D199" s="91" t="s">
        <v>238</v>
      </c>
      <c r="E199" s="38"/>
      <c r="F199" s="38"/>
      <c r="G199" s="38"/>
      <c r="H199" s="38"/>
      <c r="I199" s="38"/>
      <c r="J199" s="38"/>
      <c r="K199" s="38"/>
      <c r="L199" s="38"/>
      <c r="M199" s="38"/>
      <c r="N199" s="38"/>
      <c r="O199" s="38"/>
      <c r="P199" s="55">
        <f t="shared" si="20"/>
        <v>0</v>
      </c>
      <c r="Q199" s="53"/>
      <c r="W199" s="53">
        <f t="shared" si="19"/>
        <v>0</v>
      </c>
    </row>
    <row r="200" spans="1:23" s="3" customFormat="1" ht="38.25">
      <c r="A200" s="39"/>
      <c r="B200" s="39" t="s">
        <v>309</v>
      </c>
      <c r="C200" s="74" t="s">
        <v>464</v>
      </c>
      <c r="D200" s="68" t="s">
        <v>234</v>
      </c>
      <c r="E200" s="76">
        <f>F200</f>
        <v>44076775</v>
      </c>
      <c r="F200" s="76">
        <f>41303200+1760400+2597028-32925170+31341317</f>
        <v>44076775</v>
      </c>
      <c r="G200" s="38"/>
      <c r="H200" s="38"/>
      <c r="I200" s="38"/>
      <c r="J200" s="38">
        <f>K200+N200</f>
        <v>0</v>
      </c>
      <c r="K200" s="38"/>
      <c r="L200" s="38"/>
      <c r="M200" s="38"/>
      <c r="N200" s="38"/>
      <c r="O200" s="38"/>
      <c r="P200" s="55">
        <f t="shared" si="20"/>
        <v>44076775</v>
      </c>
      <c r="Q200" s="53"/>
      <c r="W200" s="53">
        <f t="shared" si="19"/>
        <v>0</v>
      </c>
    </row>
    <row r="201" spans="1:23" s="3" customFormat="1" ht="213.75" hidden="1">
      <c r="A201" s="39"/>
      <c r="B201" s="39"/>
      <c r="C201" s="39"/>
      <c r="D201" s="91" t="s">
        <v>238</v>
      </c>
      <c r="E201" s="38">
        <f>F201</f>
        <v>0</v>
      </c>
      <c r="F201" s="38"/>
      <c r="G201" s="38"/>
      <c r="H201" s="38"/>
      <c r="I201" s="38"/>
      <c r="J201" s="38"/>
      <c r="K201" s="38"/>
      <c r="L201" s="38"/>
      <c r="M201" s="38"/>
      <c r="N201" s="38"/>
      <c r="O201" s="38"/>
      <c r="P201" s="55">
        <f t="shared" si="20"/>
        <v>0</v>
      </c>
      <c r="Q201" s="53"/>
      <c r="W201" s="53">
        <f t="shared" si="19"/>
        <v>0</v>
      </c>
    </row>
    <row r="202" spans="1:23" s="54" customFormat="1" ht="12.75" hidden="1">
      <c r="A202" s="39"/>
      <c r="B202" s="39" t="s">
        <v>369</v>
      </c>
      <c r="C202" s="39"/>
      <c r="D202" s="36" t="s">
        <v>373</v>
      </c>
      <c r="E202" s="38">
        <f>E203</f>
        <v>0</v>
      </c>
      <c r="F202" s="38">
        <f>F203</f>
        <v>0</v>
      </c>
      <c r="G202" s="38">
        <f>G203</f>
        <v>0</v>
      </c>
      <c r="H202" s="38">
        <f>H203</f>
        <v>0</v>
      </c>
      <c r="I202" s="38"/>
      <c r="J202" s="38">
        <f>K202+N202</f>
        <v>0</v>
      </c>
      <c r="K202" s="38">
        <f>K203</f>
        <v>0</v>
      </c>
      <c r="L202" s="38">
        <f>L203</f>
        <v>0</v>
      </c>
      <c r="M202" s="38">
        <f>M203</f>
        <v>0</v>
      </c>
      <c r="N202" s="38">
        <f>N203</f>
        <v>0</v>
      </c>
      <c r="O202" s="38">
        <f>O203</f>
        <v>0</v>
      </c>
      <c r="P202" s="55">
        <f t="shared" si="20"/>
        <v>0</v>
      </c>
      <c r="Q202" s="53"/>
      <c r="R202" s="53"/>
      <c r="W202" s="53">
        <f t="shared" si="19"/>
        <v>0</v>
      </c>
    </row>
    <row r="203" spans="1:23" s="57" customFormat="1" ht="25.5" hidden="1">
      <c r="A203" s="39"/>
      <c r="B203" s="39" t="s">
        <v>287</v>
      </c>
      <c r="C203" s="39"/>
      <c r="D203" s="60" t="s">
        <v>333</v>
      </c>
      <c r="E203" s="38"/>
      <c r="F203" s="38"/>
      <c r="G203" s="38"/>
      <c r="H203" s="38"/>
      <c r="I203" s="38"/>
      <c r="J203" s="38">
        <f>K203+N203</f>
        <v>0</v>
      </c>
      <c r="K203" s="38"/>
      <c r="L203" s="38"/>
      <c r="M203" s="38"/>
      <c r="N203" s="38"/>
      <c r="O203" s="38"/>
      <c r="P203" s="55">
        <f t="shared" si="20"/>
        <v>0</v>
      </c>
      <c r="Q203" s="53"/>
      <c r="R203" s="56"/>
      <c r="W203" s="53">
        <f t="shared" si="19"/>
        <v>0</v>
      </c>
    </row>
    <row r="204" spans="1:23" ht="25.5" hidden="1">
      <c r="A204" s="9"/>
      <c r="B204" s="9" t="s">
        <v>371</v>
      </c>
      <c r="C204" s="9"/>
      <c r="D204" s="6" t="s">
        <v>372</v>
      </c>
      <c r="E204" s="27">
        <f>E205+E206</f>
        <v>0</v>
      </c>
      <c r="F204" s="27"/>
      <c r="G204" s="27">
        <f>G205+G206</f>
        <v>0</v>
      </c>
      <c r="H204" s="27">
        <f>H205+H206</f>
        <v>0</v>
      </c>
      <c r="I204" s="27"/>
      <c r="J204" s="27">
        <f>J206</f>
        <v>0</v>
      </c>
      <c r="K204" s="27">
        <f>K205+K206</f>
        <v>0</v>
      </c>
      <c r="L204" s="27">
        <f>L205+L206</f>
        <v>0</v>
      </c>
      <c r="M204" s="27">
        <f>M205+M206</f>
        <v>0</v>
      </c>
      <c r="N204" s="27">
        <f>N205+N206</f>
        <v>0</v>
      </c>
      <c r="O204" s="27">
        <f>O205+O206</f>
        <v>0</v>
      </c>
      <c r="P204" s="26">
        <f t="shared" si="20"/>
        <v>0</v>
      </c>
      <c r="Q204" s="53"/>
      <c r="R204" s="59"/>
      <c r="W204" s="53">
        <f t="shared" si="19"/>
        <v>0</v>
      </c>
    </row>
    <row r="205" spans="1:23" ht="12.75" hidden="1">
      <c r="A205" s="39"/>
      <c r="B205" s="39" t="s">
        <v>288</v>
      </c>
      <c r="C205" s="39"/>
      <c r="D205" s="36" t="s">
        <v>316</v>
      </c>
      <c r="E205" s="38"/>
      <c r="F205" s="38"/>
      <c r="G205" s="38"/>
      <c r="H205" s="38"/>
      <c r="I205" s="38"/>
      <c r="J205" s="38">
        <f>K205+N205</f>
        <v>0</v>
      </c>
      <c r="K205" s="38"/>
      <c r="L205" s="38"/>
      <c r="M205" s="38"/>
      <c r="N205" s="38"/>
      <c r="O205" s="38"/>
      <c r="P205" s="55">
        <f t="shared" si="20"/>
        <v>0</v>
      </c>
      <c r="Q205" s="53"/>
      <c r="R205" s="59"/>
      <c r="W205" s="53">
        <f t="shared" si="19"/>
        <v>0</v>
      </c>
    </row>
    <row r="206" spans="1:23" ht="140.25" hidden="1">
      <c r="A206" s="9"/>
      <c r="B206" s="9" t="s">
        <v>389</v>
      </c>
      <c r="C206" s="9"/>
      <c r="D206" s="6" t="s">
        <v>390</v>
      </c>
      <c r="E206" s="27"/>
      <c r="F206" s="27"/>
      <c r="G206" s="27"/>
      <c r="H206" s="27"/>
      <c r="I206" s="27"/>
      <c r="J206" s="27">
        <f>K206+N206</f>
        <v>0</v>
      </c>
      <c r="K206" s="27"/>
      <c r="L206" s="27"/>
      <c r="M206" s="27"/>
      <c r="N206" s="27"/>
      <c r="O206" s="27"/>
      <c r="P206" s="26">
        <f t="shared" si="20"/>
        <v>0</v>
      </c>
      <c r="Q206" s="53"/>
      <c r="R206" s="59"/>
      <c r="W206" s="53">
        <f t="shared" si="19"/>
        <v>0</v>
      </c>
    </row>
    <row r="207" spans="1:23" ht="135" hidden="1">
      <c r="A207" s="9"/>
      <c r="B207" s="9"/>
      <c r="C207" s="9"/>
      <c r="D207" s="92" t="s">
        <v>121</v>
      </c>
      <c r="E207" s="27"/>
      <c r="F207" s="27"/>
      <c r="G207" s="27"/>
      <c r="H207" s="27"/>
      <c r="I207" s="27"/>
      <c r="J207" s="27">
        <f>K207+N207</f>
        <v>0</v>
      </c>
      <c r="K207" s="27">
        <f>K206</f>
        <v>0</v>
      </c>
      <c r="L207" s="27">
        <f>L206</f>
        <v>0</v>
      </c>
      <c r="M207" s="27">
        <f>M206</f>
        <v>0</v>
      </c>
      <c r="N207" s="27">
        <f>N206</f>
        <v>0</v>
      </c>
      <c r="O207" s="27">
        <f>O206</f>
        <v>0</v>
      </c>
      <c r="P207" s="26">
        <f aca="true" t="shared" si="22" ref="P207:P218">E207+J207</f>
        <v>0</v>
      </c>
      <c r="Q207" s="53"/>
      <c r="R207" s="59"/>
      <c r="W207" s="53">
        <f t="shared" si="19"/>
        <v>0</v>
      </c>
    </row>
    <row r="208" spans="1:23" ht="25.5">
      <c r="A208" s="98"/>
      <c r="B208" s="98" t="s">
        <v>173</v>
      </c>
      <c r="C208" s="98"/>
      <c r="D208" s="99" t="s">
        <v>151</v>
      </c>
      <c r="E208" s="51">
        <f>E209+E211</f>
        <v>4369003</v>
      </c>
      <c r="F208" s="51">
        <f aca="true" t="shared" si="23" ref="F208:O208">F209+F211</f>
        <v>4369003</v>
      </c>
      <c r="G208" s="51">
        <f t="shared" si="23"/>
        <v>3090289</v>
      </c>
      <c r="H208" s="51">
        <f t="shared" si="23"/>
        <v>161088</v>
      </c>
      <c r="I208" s="51">
        <f t="shared" si="23"/>
        <v>0</v>
      </c>
      <c r="J208" s="51">
        <f t="shared" si="23"/>
        <v>168971</v>
      </c>
      <c r="K208" s="51">
        <f t="shared" si="23"/>
        <v>0</v>
      </c>
      <c r="L208" s="51">
        <f t="shared" si="23"/>
        <v>0</v>
      </c>
      <c r="M208" s="51">
        <f t="shared" si="23"/>
        <v>0</v>
      </c>
      <c r="N208" s="51">
        <f t="shared" si="23"/>
        <v>168971</v>
      </c>
      <c r="O208" s="51">
        <f t="shared" si="23"/>
        <v>168971</v>
      </c>
      <c r="P208" s="52">
        <f t="shared" si="22"/>
        <v>4537974</v>
      </c>
      <c r="Q208" s="53"/>
      <c r="R208" s="59"/>
      <c r="W208" s="53">
        <f aca="true" t="shared" si="24" ref="W208:W269">N208-O208</f>
        <v>0</v>
      </c>
    </row>
    <row r="209" spans="1:23" ht="12.75">
      <c r="A209" s="42"/>
      <c r="B209" s="42" t="s">
        <v>362</v>
      </c>
      <c r="C209" s="42"/>
      <c r="D209" s="43" t="s">
        <v>363</v>
      </c>
      <c r="E209" s="38">
        <f>E210</f>
        <v>4369003</v>
      </c>
      <c r="F209" s="38">
        <f>F210</f>
        <v>4369003</v>
      </c>
      <c r="G209" s="38">
        <f>G210</f>
        <v>3090289</v>
      </c>
      <c r="H209" s="38">
        <f>H210</f>
        <v>161088</v>
      </c>
      <c r="I209" s="38"/>
      <c r="J209" s="38">
        <f>K209+N209</f>
        <v>168971</v>
      </c>
      <c r="K209" s="38"/>
      <c r="L209" s="38"/>
      <c r="M209" s="38"/>
      <c r="N209" s="38">
        <f>N210</f>
        <v>168971</v>
      </c>
      <c r="O209" s="38">
        <f>O210</f>
        <v>168971</v>
      </c>
      <c r="P209" s="55">
        <f t="shared" si="22"/>
        <v>4537974</v>
      </c>
      <c r="Q209" s="53"/>
      <c r="R209" s="59"/>
      <c r="W209" s="53">
        <f t="shared" si="24"/>
        <v>0</v>
      </c>
    </row>
    <row r="210" spans="1:23" ht="12.75">
      <c r="A210" s="39"/>
      <c r="B210" s="39" t="s">
        <v>249</v>
      </c>
      <c r="C210" s="74" t="s">
        <v>441</v>
      </c>
      <c r="D210" s="58" t="s">
        <v>250</v>
      </c>
      <c r="E210" s="38">
        <f>F210+I210</f>
        <v>4369003</v>
      </c>
      <c r="F210" s="38">
        <f>3985513-374136+294313+387125+84315-8127</f>
        <v>4369003</v>
      </c>
      <c r="G210" s="38">
        <f>2709858+387125-6694</f>
        <v>3090289</v>
      </c>
      <c r="H210" s="37">
        <v>161088</v>
      </c>
      <c r="I210" s="37"/>
      <c r="J210" s="38">
        <f>K210+N210</f>
        <v>168971</v>
      </c>
      <c r="K210" s="38"/>
      <c r="L210" s="38"/>
      <c r="M210" s="38"/>
      <c r="N210" s="38">
        <f>O210</f>
        <v>168971</v>
      </c>
      <c r="O210" s="38">
        <v>168971</v>
      </c>
      <c r="P210" s="55">
        <f t="shared" si="22"/>
        <v>4537974</v>
      </c>
      <c r="Q210" s="53"/>
      <c r="R210" s="59"/>
      <c r="W210" s="53">
        <f t="shared" si="24"/>
        <v>0</v>
      </c>
    </row>
    <row r="211" spans="1:23" ht="12.75" hidden="1">
      <c r="A211" s="39"/>
      <c r="B211" s="9" t="s">
        <v>251</v>
      </c>
      <c r="C211" s="9"/>
      <c r="D211" s="15" t="s">
        <v>252</v>
      </c>
      <c r="E211" s="38">
        <f>E212</f>
        <v>0</v>
      </c>
      <c r="F211" s="38">
        <f>F212</f>
        <v>0</v>
      </c>
      <c r="G211" s="38"/>
      <c r="H211" s="37"/>
      <c r="I211" s="37"/>
      <c r="J211" s="38"/>
      <c r="K211" s="38"/>
      <c r="L211" s="38"/>
      <c r="M211" s="38"/>
      <c r="N211" s="38"/>
      <c r="O211" s="38"/>
      <c r="P211" s="55">
        <f t="shared" si="22"/>
        <v>0</v>
      </c>
      <c r="Q211" s="53"/>
      <c r="R211" s="59"/>
      <c r="W211" s="53"/>
    </row>
    <row r="212" spans="1:23" ht="25.5" hidden="1">
      <c r="A212" s="39"/>
      <c r="B212" s="9" t="s">
        <v>246</v>
      </c>
      <c r="C212" s="9" t="s">
        <v>445</v>
      </c>
      <c r="D212" s="15" t="s">
        <v>247</v>
      </c>
      <c r="E212" s="38">
        <f>F212+I212</f>
        <v>0</v>
      </c>
      <c r="F212" s="38"/>
      <c r="G212" s="38"/>
      <c r="H212" s="37"/>
      <c r="I212" s="37"/>
      <c r="J212" s="38"/>
      <c r="K212" s="38"/>
      <c r="L212" s="38"/>
      <c r="M212" s="38"/>
      <c r="N212" s="38"/>
      <c r="O212" s="38"/>
      <c r="P212" s="55">
        <f t="shared" si="22"/>
        <v>0</v>
      </c>
      <c r="Q212" s="53"/>
      <c r="R212" s="59"/>
      <c r="W212" s="53"/>
    </row>
    <row r="213" spans="1:23" ht="12.75" hidden="1">
      <c r="A213" s="39"/>
      <c r="B213" s="39" t="s">
        <v>369</v>
      </c>
      <c r="C213" s="39"/>
      <c r="D213" s="36" t="s">
        <v>373</v>
      </c>
      <c r="E213" s="38"/>
      <c r="F213" s="38"/>
      <c r="G213" s="38"/>
      <c r="H213" s="38"/>
      <c r="I213" s="38"/>
      <c r="J213" s="38">
        <f>K213+N213</f>
        <v>0</v>
      </c>
      <c r="K213" s="38">
        <f>K214</f>
        <v>0</v>
      </c>
      <c r="L213" s="38">
        <f>L214</f>
        <v>0</v>
      </c>
      <c r="M213" s="38">
        <f>M214</f>
        <v>0</v>
      </c>
      <c r="N213" s="38">
        <f>N214</f>
        <v>0</v>
      </c>
      <c r="O213" s="38">
        <f>O214</f>
        <v>0</v>
      </c>
      <c r="P213" s="55">
        <f t="shared" si="22"/>
        <v>0</v>
      </c>
      <c r="Q213" s="53"/>
      <c r="R213" s="59"/>
      <c r="W213" s="53">
        <f t="shared" si="24"/>
        <v>0</v>
      </c>
    </row>
    <row r="214" spans="1:23" ht="25.5" hidden="1">
      <c r="A214" s="39"/>
      <c r="B214" s="39" t="s">
        <v>287</v>
      </c>
      <c r="C214" s="39"/>
      <c r="D214" s="36" t="s">
        <v>333</v>
      </c>
      <c r="E214" s="38"/>
      <c r="F214" s="38"/>
      <c r="G214" s="38"/>
      <c r="H214" s="38"/>
      <c r="I214" s="38"/>
      <c r="J214" s="38">
        <f>K214+N214</f>
        <v>0</v>
      </c>
      <c r="K214" s="38"/>
      <c r="L214" s="38"/>
      <c r="M214" s="38"/>
      <c r="N214" s="38"/>
      <c r="O214" s="38"/>
      <c r="P214" s="55">
        <f t="shared" si="22"/>
        <v>0</v>
      </c>
      <c r="Q214" s="53"/>
      <c r="R214" s="59"/>
      <c r="W214" s="53">
        <f t="shared" si="24"/>
        <v>0</v>
      </c>
    </row>
    <row r="215" spans="1:23" s="3" customFormat="1" ht="51">
      <c r="A215" s="18"/>
      <c r="B215" s="18" t="s">
        <v>169</v>
      </c>
      <c r="C215" s="18"/>
      <c r="D215" s="20" t="s">
        <v>131</v>
      </c>
      <c r="E215" s="31">
        <f aca="true" t="shared" si="25" ref="E215:H216">E216</f>
        <v>1213117</v>
      </c>
      <c r="F215" s="31">
        <f t="shared" si="25"/>
        <v>1213117</v>
      </c>
      <c r="G215" s="31">
        <f t="shared" si="25"/>
        <v>845921</v>
      </c>
      <c r="H215" s="31">
        <f t="shared" si="25"/>
        <v>48481</v>
      </c>
      <c r="I215" s="31"/>
      <c r="J215" s="31">
        <f>K215+N215</f>
        <v>0</v>
      </c>
      <c r="K215" s="31">
        <f>K216</f>
        <v>0</v>
      </c>
      <c r="L215" s="31"/>
      <c r="M215" s="31"/>
      <c r="N215" s="31">
        <f>N216</f>
        <v>0</v>
      </c>
      <c r="O215" s="31">
        <f>O216</f>
        <v>0</v>
      </c>
      <c r="P215" s="52">
        <f t="shared" si="22"/>
        <v>1213117</v>
      </c>
      <c r="Q215" s="53"/>
      <c r="W215" s="53">
        <f t="shared" si="24"/>
        <v>0</v>
      </c>
    </row>
    <row r="216" spans="1:23" s="3" customFormat="1" ht="12.75">
      <c r="A216" s="69"/>
      <c r="B216" s="69" t="s">
        <v>362</v>
      </c>
      <c r="C216" s="69"/>
      <c r="D216" s="70" t="s">
        <v>363</v>
      </c>
      <c r="E216" s="27">
        <f t="shared" si="25"/>
        <v>1213117</v>
      </c>
      <c r="F216" s="27">
        <f t="shared" si="25"/>
        <v>1213117</v>
      </c>
      <c r="G216" s="27">
        <f t="shared" si="25"/>
        <v>845921</v>
      </c>
      <c r="H216" s="27">
        <f t="shared" si="25"/>
        <v>48481</v>
      </c>
      <c r="I216" s="27"/>
      <c r="J216" s="27">
        <f>J217</f>
        <v>0</v>
      </c>
      <c r="K216" s="27">
        <f>K217</f>
        <v>0</v>
      </c>
      <c r="L216" s="27"/>
      <c r="M216" s="27"/>
      <c r="N216" s="27">
        <f>N217</f>
        <v>0</v>
      </c>
      <c r="O216" s="27">
        <f>O217</f>
        <v>0</v>
      </c>
      <c r="P216" s="55">
        <f t="shared" si="22"/>
        <v>1213117</v>
      </c>
      <c r="Q216" s="53"/>
      <c r="W216" s="53">
        <f t="shared" si="24"/>
        <v>0</v>
      </c>
    </row>
    <row r="217" spans="1:23" s="3" customFormat="1" ht="12.75">
      <c r="A217" s="7"/>
      <c r="B217" s="7" t="s">
        <v>249</v>
      </c>
      <c r="C217" s="7" t="s">
        <v>441</v>
      </c>
      <c r="D217" s="71" t="s">
        <v>250</v>
      </c>
      <c r="E217" s="27">
        <f>F217+I217</f>
        <v>1213117</v>
      </c>
      <c r="F217" s="27">
        <f>1140828-52884+93747+21248+10178</f>
        <v>1213117</v>
      </c>
      <c r="G217" s="27">
        <f>704591+39240+93747+8343</f>
        <v>845921</v>
      </c>
      <c r="H217" s="27">
        <v>48481</v>
      </c>
      <c r="I217" s="27"/>
      <c r="J217" s="27">
        <f>K217+N217</f>
        <v>0</v>
      </c>
      <c r="K217" s="119"/>
      <c r="L217" s="27"/>
      <c r="M217" s="27"/>
      <c r="N217" s="27">
        <f>O217</f>
        <v>0</v>
      </c>
      <c r="O217" s="27"/>
      <c r="P217" s="55">
        <f t="shared" si="22"/>
        <v>1213117</v>
      </c>
      <c r="Q217" s="53"/>
      <c r="W217" s="53">
        <f t="shared" si="24"/>
        <v>0</v>
      </c>
    </row>
    <row r="218" spans="1:23" ht="25.5">
      <c r="A218" s="98"/>
      <c r="B218" s="98" t="s">
        <v>178</v>
      </c>
      <c r="C218" s="98"/>
      <c r="D218" s="105" t="s">
        <v>135</v>
      </c>
      <c r="E218" s="51">
        <f>E219+E221+E230+E232+E234</f>
        <v>98790754</v>
      </c>
      <c r="F218" s="51">
        <f>F219+F221+F230+F232+F234</f>
        <v>98790754</v>
      </c>
      <c r="G218" s="51">
        <f>G219+G221+G230+G232+G234</f>
        <v>63170742</v>
      </c>
      <c r="H218" s="51">
        <f>H219+H221+H230+H232+H234</f>
        <v>7452239</v>
      </c>
      <c r="I218" s="51"/>
      <c r="J218" s="51">
        <f>K218+N218</f>
        <v>16795663</v>
      </c>
      <c r="K218" s="51">
        <f>K219+K221+K230+K232+K234</f>
        <v>5746189</v>
      </c>
      <c r="L218" s="51">
        <f>L219+L221+L230+L232+L234</f>
        <v>2964454</v>
      </c>
      <c r="M218" s="51">
        <f>M219+M221+M230+M232+M234</f>
        <v>929070</v>
      </c>
      <c r="N218" s="51">
        <f>N219+N221+N230+N232+N234</f>
        <v>11049474</v>
      </c>
      <c r="O218" s="51">
        <f>O219+O221+O230+O232+O234</f>
        <v>10978785</v>
      </c>
      <c r="P218" s="52">
        <f t="shared" si="22"/>
        <v>115586417</v>
      </c>
      <c r="Q218" s="53"/>
      <c r="R218" s="59"/>
      <c r="W218" s="53">
        <f t="shared" si="24"/>
        <v>70689</v>
      </c>
    </row>
    <row r="219" spans="1:23" ht="12.75">
      <c r="A219" s="42"/>
      <c r="B219" s="42" t="s">
        <v>362</v>
      </c>
      <c r="C219" s="42"/>
      <c r="D219" s="64" t="s">
        <v>363</v>
      </c>
      <c r="E219" s="37">
        <f>E220</f>
        <v>1182833</v>
      </c>
      <c r="F219" s="37">
        <f>F220</f>
        <v>1182833</v>
      </c>
      <c r="G219" s="37">
        <f>G220</f>
        <v>880929</v>
      </c>
      <c r="H219" s="37">
        <f>H220</f>
        <v>60743</v>
      </c>
      <c r="I219" s="37"/>
      <c r="J219" s="38">
        <f aca="true" t="shared" si="26" ref="J219:J235">K219+N219</f>
        <v>41908</v>
      </c>
      <c r="K219" s="37"/>
      <c r="L219" s="37"/>
      <c r="M219" s="37"/>
      <c r="N219" s="37">
        <f>N220</f>
        <v>41908</v>
      </c>
      <c r="O219" s="37">
        <f>O220</f>
        <v>41908</v>
      </c>
      <c r="P219" s="55">
        <f aca="true" t="shared" si="27" ref="P219:P236">E219+J219</f>
        <v>1224741</v>
      </c>
      <c r="Q219" s="53"/>
      <c r="R219" s="59"/>
      <c r="W219" s="53">
        <f t="shared" si="24"/>
        <v>0</v>
      </c>
    </row>
    <row r="220" spans="1:23" ht="12.75">
      <c r="A220" s="39"/>
      <c r="B220" s="39" t="s">
        <v>249</v>
      </c>
      <c r="C220" s="74" t="s">
        <v>441</v>
      </c>
      <c r="D220" s="75" t="s">
        <v>250</v>
      </c>
      <c r="E220" s="38">
        <f>F220+I220</f>
        <v>1182833</v>
      </c>
      <c r="F220" s="38">
        <f>1093903-25611+82550+16063+15928</f>
        <v>1182833</v>
      </c>
      <c r="G220" s="38">
        <f>731884+53210+82550+13285</f>
        <v>880929</v>
      </c>
      <c r="H220" s="38">
        <v>60743</v>
      </c>
      <c r="I220" s="38"/>
      <c r="J220" s="38">
        <f t="shared" si="26"/>
        <v>41908</v>
      </c>
      <c r="K220" s="38"/>
      <c r="L220" s="38"/>
      <c r="M220" s="38"/>
      <c r="N220" s="38">
        <f>O220</f>
        <v>41908</v>
      </c>
      <c r="O220" s="38">
        <v>41908</v>
      </c>
      <c r="P220" s="55">
        <f t="shared" si="27"/>
        <v>1224741</v>
      </c>
      <c r="Q220" s="53"/>
      <c r="R220" s="59"/>
      <c r="W220" s="53">
        <f t="shared" si="24"/>
        <v>0</v>
      </c>
    </row>
    <row r="221" spans="1:23" ht="12.75">
      <c r="A221" s="39"/>
      <c r="B221" s="39" t="s">
        <v>275</v>
      </c>
      <c r="C221" s="39"/>
      <c r="D221" s="36" t="s">
        <v>240</v>
      </c>
      <c r="E221" s="38">
        <f>SUM(E222:E229)</f>
        <v>97607921</v>
      </c>
      <c r="F221" s="38">
        <f>SUM(F222:F229)</f>
        <v>97607921</v>
      </c>
      <c r="G221" s="38">
        <f>SUM(G222:G229)</f>
        <v>62289813</v>
      </c>
      <c r="H221" s="38">
        <f>SUM(H222:H229)</f>
        <v>7391496</v>
      </c>
      <c r="I221" s="38"/>
      <c r="J221" s="38">
        <f t="shared" si="26"/>
        <v>14254816</v>
      </c>
      <c r="K221" s="38">
        <f>SUM(K222:K229)</f>
        <v>5746189</v>
      </c>
      <c r="L221" s="38">
        <f>SUM(L222:L229)</f>
        <v>2964454</v>
      </c>
      <c r="M221" s="38">
        <f>SUM(M222:M229)</f>
        <v>929070</v>
      </c>
      <c r="N221" s="38">
        <f>SUM(N222:N229)</f>
        <v>8508627</v>
      </c>
      <c r="O221" s="38">
        <f>SUM(O222:O229)</f>
        <v>8437938</v>
      </c>
      <c r="P221" s="55">
        <f t="shared" si="27"/>
        <v>111862737</v>
      </c>
      <c r="Q221" s="53"/>
      <c r="R221" s="59"/>
      <c r="W221" s="53">
        <f t="shared" si="24"/>
        <v>70689</v>
      </c>
    </row>
    <row r="222" spans="1:23" ht="12.75">
      <c r="A222" s="39"/>
      <c r="B222" s="74" t="s">
        <v>2</v>
      </c>
      <c r="C222" s="74" t="s">
        <v>468</v>
      </c>
      <c r="D222" s="68" t="s">
        <v>276</v>
      </c>
      <c r="E222" s="38">
        <f>F222+I222</f>
        <v>5784406</v>
      </c>
      <c r="F222" s="38">
        <f>5865626-81220</f>
        <v>5784406</v>
      </c>
      <c r="G222" s="38"/>
      <c r="H222" s="38"/>
      <c r="I222" s="38"/>
      <c r="J222" s="38">
        <f t="shared" si="26"/>
        <v>0</v>
      </c>
      <c r="K222" s="38"/>
      <c r="L222" s="38"/>
      <c r="M222" s="38"/>
      <c r="N222" s="38">
        <f>O222</f>
        <v>0</v>
      </c>
      <c r="O222" s="38"/>
      <c r="P222" s="55">
        <f t="shared" si="27"/>
        <v>5784406</v>
      </c>
      <c r="Q222" s="53"/>
      <c r="R222" s="59"/>
      <c r="W222" s="53">
        <f t="shared" si="24"/>
        <v>0</v>
      </c>
    </row>
    <row r="223" spans="1:23" ht="12.75">
      <c r="A223" s="39"/>
      <c r="B223" s="74" t="s">
        <v>3</v>
      </c>
      <c r="C223" s="74" t="s">
        <v>469</v>
      </c>
      <c r="D223" s="68" t="s">
        <v>277</v>
      </c>
      <c r="E223" s="38">
        <f aca="true" t="shared" si="28" ref="E223:E231">F223+I223</f>
        <v>18442297</v>
      </c>
      <c r="F223" s="38">
        <f>18951291-508994</f>
        <v>18442297</v>
      </c>
      <c r="G223" s="38">
        <f>10597707+793988</f>
        <v>11391695</v>
      </c>
      <c r="H223" s="38">
        <v>1849301</v>
      </c>
      <c r="I223" s="38"/>
      <c r="J223" s="38">
        <f>K223+N223</f>
        <v>1122824</v>
      </c>
      <c r="K223" s="38">
        <v>6500</v>
      </c>
      <c r="L223" s="38"/>
      <c r="M223" s="38">
        <v>3487</v>
      </c>
      <c r="N223" s="38">
        <f>O223</f>
        <v>1116324</v>
      </c>
      <c r="O223" s="38">
        <f>827309+(10000)+269015+(10000)</f>
        <v>1116324</v>
      </c>
      <c r="P223" s="55">
        <f t="shared" si="27"/>
        <v>19565121</v>
      </c>
      <c r="Q223" s="53"/>
      <c r="R223" s="59"/>
      <c r="W223" s="53">
        <f t="shared" si="24"/>
        <v>0</v>
      </c>
    </row>
    <row r="224" spans="1:23" ht="25.5">
      <c r="A224" s="39"/>
      <c r="B224" s="74" t="s">
        <v>4</v>
      </c>
      <c r="C224" s="74" t="s">
        <v>470</v>
      </c>
      <c r="D224" s="68" t="s">
        <v>350</v>
      </c>
      <c r="E224" s="38">
        <f t="shared" si="28"/>
        <v>12190294</v>
      </c>
      <c r="F224" s="38">
        <f>13097262-906968</f>
        <v>12190294</v>
      </c>
      <c r="G224" s="38">
        <f>6416026</f>
        <v>6416026</v>
      </c>
      <c r="H224" s="38">
        <v>3274473</v>
      </c>
      <c r="I224" s="38"/>
      <c r="J224" s="38">
        <f t="shared" si="26"/>
        <v>3131376</v>
      </c>
      <c r="K224" s="38">
        <v>1638057</v>
      </c>
      <c r="L224" s="38">
        <v>568683</v>
      </c>
      <c r="M224" s="38">
        <v>328074</v>
      </c>
      <c r="N224" s="38">
        <f>70689+O224</f>
        <v>1493319</v>
      </c>
      <c r="O224" s="38">
        <f>1177500+245130</f>
        <v>1422630</v>
      </c>
      <c r="P224" s="55">
        <f t="shared" si="27"/>
        <v>15321670</v>
      </c>
      <c r="Q224" s="53"/>
      <c r="R224" s="59"/>
      <c r="W224" s="53">
        <f t="shared" si="24"/>
        <v>70689</v>
      </c>
    </row>
    <row r="225" spans="1:23" ht="12.75">
      <c r="A225" s="39"/>
      <c r="B225" s="74" t="s">
        <v>5</v>
      </c>
      <c r="C225" s="74" t="s">
        <v>448</v>
      </c>
      <c r="D225" s="68" t="s">
        <v>278</v>
      </c>
      <c r="E225" s="38">
        <f t="shared" si="28"/>
        <v>54962664</v>
      </c>
      <c r="F225" s="38">
        <f>55151294-188630</f>
        <v>54962664</v>
      </c>
      <c r="G225" s="38">
        <f>38395335+4287127</f>
        <v>42682462</v>
      </c>
      <c r="H225" s="38">
        <v>2160793</v>
      </c>
      <c r="I225" s="38"/>
      <c r="J225" s="38">
        <f t="shared" si="26"/>
        <v>9998984</v>
      </c>
      <c r="K225" s="38">
        <v>4100000</v>
      </c>
      <c r="L225" s="38">
        <v>2395771</v>
      </c>
      <c r="M225" s="38">
        <v>596999</v>
      </c>
      <c r="N225" s="38">
        <f>O225</f>
        <v>5898984</v>
      </c>
      <c r="O225" s="76">
        <v>5898984</v>
      </c>
      <c r="P225" s="55">
        <f t="shared" si="27"/>
        <v>64961648</v>
      </c>
      <c r="Q225" s="53"/>
      <c r="R225" s="59"/>
      <c r="W225" s="53">
        <f t="shared" si="24"/>
        <v>0</v>
      </c>
    </row>
    <row r="226" spans="1:23" ht="102" hidden="1">
      <c r="A226" s="39"/>
      <c r="B226" s="39" t="s">
        <v>85</v>
      </c>
      <c r="C226" s="39"/>
      <c r="D226" s="36" t="s">
        <v>84</v>
      </c>
      <c r="E226" s="38">
        <f t="shared" si="28"/>
        <v>0</v>
      </c>
      <c r="F226" s="38"/>
      <c r="G226" s="38"/>
      <c r="H226" s="38"/>
      <c r="I226" s="38"/>
      <c r="J226" s="38">
        <f t="shared" si="26"/>
        <v>0</v>
      </c>
      <c r="K226" s="38"/>
      <c r="L226" s="38"/>
      <c r="M226" s="38"/>
      <c r="N226" s="38"/>
      <c r="O226" s="38"/>
      <c r="P226" s="55">
        <f t="shared" si="27"/>
        <v>0</v>
      </c>
      <c r="Q226" s="53"/>
      <c r="R226" s="59"/>
      <c r="W226" s="53">
        <f t="shared" si="24"/>
        <v>0</v>
      </c>
    </row>
    <row r="227" spans="1:23" ht="25.5" hidden="1">
      <c r="A227" s="39"/>
      <c r="B227" s="39"/>
      <c r="C227" s="39"/>
      <c r="D227" s="36" t="s">
        <v>381</v>
      </c>
      <c r="E227" s="38">
        <f t="shared" si="28"/>
        <v>0</v>
      </c>
      <c r="F227" s="38"/>
      <c r="G227" s="38"/>
      <c r="H227" s="38"/>
      <c r="I227" s="38"/>
      <c r="J227" s="38"/>
      <c r="K227" s="38"/>
      <c r="L227" s="38"/>
      <c r="M227" s="38"/>
      <c r="N227" s="38"/>
      <c r="O227" s="38"/>
      <c r="P227" s="55">
        <f t="shared" si="27"/>
        <v>0</v>
      </c>
      <c r="Q227" s="53"/>
      <c r="R227" s="59"/>
      <c r="W227" s="53">
        <f t="shared" si="24"/>
        <v>0</v>
      </c>
    </row>
    <row r="228" spans="1:23" ht="12.75">
      <c r="A228" s="39"/>
      <c r="B228" s="39" t="s">
        <v>393</v>
      </c>
      <c r="C228" s="74" t="s">
        <v>471</v>
      </c>
      <c r="D228" s="36" t="s">
        <v>394</v>
      </c>
      <c r="E228" s="38">
        <f t="shared" si="28"/>
        <v>1892351</v>
      </c>
      <c r="F228" s="38">
        <v>1892351</v>
      </c>
      <c r="G228" s="38"/>
      <c r="H228" s="38"/>
      <c r="I228" s="38"/>
      <c r="J228" s="38"/>
      <c r="K228" s="38"/>
      <c r="L228" s="38"/>
      <c r="M228" s="38"/>
      <c r="N228" s="38"/>
      <c r="O228" s="38"/>
      <c r="P228" s="55">
        <f t="shared" si="27"/>
        <v>1892351</v>
      </c>
      <c r="Q228" s="53"/>
      <c r="R228" s="59"/>
      <c r="W228" s="53">
        <f t="shared" si="24"/>
        <v>0</v>
      </c>
    </row>
    <row r="229" spans="1:23" ht="25.5">
      <c r="A229" s="39"/>
      <c r="B229" s="74" t="s">
        <v>6</v>
      </c>
      <c r="C229" s="74" t="s">
        <v>472</v>
      </c>
      <c r="D229" s="36" t="s">
        <v>279</v>
      </c>
      <c r="E229" s="38">
        <f t="shared" si="28"/>
        <v>4335909</v>
      </c>
      <c r="F229" s="38">
        <f>4444637-108728</f>
        <v>4335909</v>
      </c>
      <c r="G229" s="38">
        <f>1696225+103405</f>
        <v>1799630</v>
      </c>
      <c r="H229" s="38">
        <v>106929</v>
      </c>
      <c r="I229" s="38"/>
      <c r="J229" s="38">
        <f t="shared" si="26"/>
        <v>1632</v>
      </c>
      <c r="K229" s="38">
        <v>1632</v>
      </c>
      <c r="L229" s="38"/>
      <c r="M229" s="38">
        <v>510</v>
      </c>
      <c r="N229" s="38">
        <f>O229</f>
        <v>0</v>
      </c>
      <c r="O229" s="38"/>
      <c r="P229" s="55">
        <f t="shared" si="27"/>
        <v>4337541</v>
      </c>
      <c r="Q229" s="53"/>
      <c r="R229" s="59"/>
      <c r="W229" s="53">
        <f t="shared" si="24"/>
        <v>0</v>
      </c>
    </row>
    <row r="230" spans="1:23" ht="12.75">
      <c r="A230" s="39"/>
      <c r="B230" s="39" t="s">
        <v>366</v>
      </c>
      <c r="C230" s="39"/>
      <c r="D230" s="36" t="s">
        <v>283</v>
      </c>
      <c r="E230" s="38">
        <f t="shared" si="28"/>
        <v>0</v>
      </c>
      <c r="F230" s="38"/>
      <c r="G230" s="38"/>
      <c r="H230" s="38"/>
      <c r="I230" s="38"/>
      <c r="J230" s="38">
        <f t="shared" si="26"/>
        <v>2498939</v>
      </c>
      <c r="K230" s="38"/>
      <c r="L230" s="38"/>
      <c r="M230" s="38"/>
      <c r="N230" s="38">
        <f>N231</f>
        <v>2498939</v>
      </c>
      <c r="O230" s="38">
        <f>O231</f>
        <v>2498939</v>
      </c>
      <c r="P230" s="55">
        <f t="shared" si="27"/>
        <v>2498939</v>
      </c>
      <c r="Q230" s="53"/>
      <c r="R230" s="59"/>
      <c r="W230" s="53">
        <f t="shared" si="24"/>
        <v>0</v>
      </c>
    </row>
    <row r="231" spans="1:23" s="54" customFormat="1" ht="12.75">
      <c r="A231" s="39"/>
      <c r="B231" s="39" t="s">
        <v>338</v>
      </c>
      <c r="C231" s="74" t="s">
        <v>443</v>
      </c>
      <c r="D231" s="36" t="s">
        <v>339</v>
      </c>
      <c r="E231" s="38">
        <f t="shared" si="28"/>
        <v>0</v>
      </c>
      <c r="F231" s="38"/>
      <c r="G231" s="38"/>
      <c r="H231" s="38"/>
      <c r="I231" s="38"/>
      <c r="J231" s="38">
        <f t="shared" si="26"/>
        <v>2498939</v>
      </c>
      <c r="K231" s="38"/>
      <c r="L231" s="38"/>
      <c r="M231" s="38"/>
      <c r="N231" s="38">
        <f>O231</f>
        <v>2498939</v>
      </c>
      <c r="O231" s="76">
        <v>2498939</v>
      </c>
      <c r="P231" s="55">
        <f t="shared" si="27"/>
        <v>2498939</v>
      </c>
      <c r="Q231" s="53"/>
      <c r="R231" s="53"/>
      <c r="W231" s="53">
        <f t="shared" si="24"/>
        <v>0</v>
      </c>
    </row>
    <row r="232" spans="1:23" s="57" customFormat="1" ht="12.75" hidden="1">
      <c r="A232" s="39"/>
      <c r="B232" s="39" t="s">
        <v>369</v>
      </c>
      <c r="C232" s="39"/>
      <c r="D232" s="36" t="s">
        <v>373</v>
      </c>
      <c r="E232" s="38">
        <f>E233</f>
        <v>0</v>
      </c>
      <c r="F232" s="38"/>
      <c r="G232" s="38">
        <f>G233</f>
        <v>0</v>
      </c>
      <c r="H232" s="38">
        <f>H233</f>
        <v>0</v>
      </c>
      <c r="I232" s="38"/>
      <c r="J232" s="38">
        <f t="shared" si="26"/>
        <v>0</v>
      </c>
      <c r="K232" s="38">
        <f>K233</f>
        <v>0</v>
      </c>
      <c r="L232" s="38">
        <f>L233</f>
        <v>0</v>
      </c>
      <c r="M232" s="38">
        <f>M233</f>
        <v>0</v>
      </c>
      <c r="N232" s="38">
        <f>N233</f>
        <v>0</v>
      </c>
      <c r="O232" s="38">
        <f>O233</f>
        <v>0</v>
      </c>
      <c r="P232" s="55">
        <f t="shared" si="27"/>
        <v>0</v>
      </c>
      <c r="Q232" s="53"/>
      <c r="R232" s="56"/>
      <c r="W232" s="53">
        <f t="shared" si="24"/>
        <v>0</v>
      </c>
    </row>
    <row r="233" spans="1:23" ht="25.5" hidden="1">
      <c r="A233" s="39"/>
      <c r="B233" s="39" t="s">
        <v>287</v>
      </c>
      <c r="C233" s="74" t="s">
        <v>444</v>
      </c>
      <c r="D233" s="60" t="s">
        <v>333</v>
      </c>
      <c r="E233" s="38"/>
      <c r="F233" s="38"/>
      <c r="G233" s="38"/>
      <c r="H233" s="38"/>
      <c r="I233" s="38"/>
      <c r="J233" s="38">
        <f t="shared" si="26"/>
        <v>0</v>
      </c>
      <c r="K233" s="38"/>
      <c r="L233" s="38"/>
      <c r="M233" s="38"/>
      <c r="N233" s="38"/>
      <c r="O233" s="38"/>
      <c r="P233" s="55">
        <f t="shared" si="27"/>
        <v>0</v>
      </c>
      <c r="Q233" s="53"/>
      <c r="R233" s="59"/>
      <c r="W233" s="53">
        <f t="shared" si="24"/>
        <v>0</v>
      </c>
    </row>
    <row r="234" spans="1:23" ht="18.75" customHeight="1" hidden="1">
      <c r="A234" s="39"/>
      <c r="B234" s="39" t="s">
        <v>371</v>
      </c>
      <c r="C234" s="39"/>
      <c r="D234" s="43" t="s">
        <v>372</v>
      </c>
      <c r="E234" s="38">
        <f>E235</f>
        <v>0</v>
      </c>
      <c r="F234" s="38"/>
      <c r="G234" s="38">
        <f>G235</f>
        <v>0</v>
      </c>
      <c r="H234" s="38">
        <f>H235</f>
        <v>0</v>
      </c>
      <c r="I234" s="38"/>
      <c r="J234" s="38">
        <f t="shared" si="26"/>
        <v>0</v>
      </c>
      <c r="K234" s="38">
        <f>K235</f>
        <v>0</v>
      </c>
      <c r="L234" s="38">
        <f>L235</f>
        <v>0</v>
      </c>
      <c r="M234" s="38">
        <f>M235</f>
        <v>0</v>
      </c>
      <c r="N234" s="38">
        <f>N235</f>
        <v>0</v>
      </c>
      <c r="O234" s="38">
        <f>O235</f>
        <v>0</v>
      </c>
      <c r="P234" s="55">
        <f t="shared" si="27"/>
        <v>0</v>
      </c>
      <c r="Q234" s="53"/>
      <c r="R234" s="59"/>
      <c r="W234" s="53">
        <f t="shared" si="24"/>
        <v>0</v>
      </c>
    </row>
    <row r="235" spans="1:23" ht="12.75" hidden="1">
      <c r="A235" s="39"/>
      <c r="B235" s="39" t="s">
        <v>288</v>
      </c>
      <c r="C235" s="39"/>
      <c r="D235" s="36" t="s">
        <v>316</v>
      </c>
      <c r="E235" s="38"/>
      <c r="F235" s="38"/>
      <c r="G235" s="38"/>
      <c r="H235" s="38"/>
      <c r="I235" s="38"/>
      <c r="J235" s="38">
        <f t="shared" si="26"/>
        <v>0</v>
      </c>
      <c r="K235" s="38"/>
      <c r="L235" s="38"/>
      <c r="M235" s="38"/>
      <c r="N235" s="38"/>
      <c r="O235" s="38"/>
      <c r="P235" s="55">
        <f t="shared" si="27"/>
        <v>0</v>
      </c>
      <c r="Q235" s="53"/>
      <c r="R235" s="59"/>
      <c r="W235" s="53">
        <f t="shared" si="24"/>
        <v>0</v>
      </c>
    </row>
    <row r="236" spans="1:23" ht="12.75" hidden="1">
      <c r="A236" s="39"/>
      <c r="B236" s="39"/>
      <c r="C236" s="39"/>
      <c r="D236" s="60"/>
      <c r="E236" s="38"/>
      <c r="F236" s="38"/>
      <c r="G236" s="38"/>
      <c r="H236" s="38"/>
      <c r="I236" s="38"/>
      <c r="J236" s="38"/>
      <c r="K236" s="38"/>
      <c r="L236" s="38"/>
      <c r="M236" s="38"/>
      <c r="N236" s="38"/>
      <c r="O236" s="38"/>
      <c r="P236" s="55">
        <f t="shared" si="27"/>
        <v>0</v>
      </c>
      <c r="Q236" s="53"/>
      <c r="R236" s="59"/>
      <c r="W236" s="53">
        <f t="shared" si="24"/>
        <v>0</v>
      </c>
    </row>
    <row r="237" spans="1:23" ht="25.5" hidden="1">
      <c r="A237" s="98"/>
      <c r="B237" s="98" t="s">
        <v>230</v>
      </c>
      <c r="C237" s="98"/>
      <c r="D237" s="104" t="s">
        <v>231</v>
      </c>
      <c r="E237" s="51">
        <f>E238</f>
        <v>0</v>
      </c>
      <c r="F237" s="51"/>
      <c r="G237" s="51">
        <f aca="true" t="shared" si="29" ref="G237:O237">G238</f>
        <v>0</v>
      </c>
      <c r="H237" s="51">
        <f t="shared" si="29"/>
        <v>0</v>
      </c>
      <c r="I237" s="51"/>
      <c r="J237" s="51">
        <f t="shared" si="29"/>
        <v>0</v>
      </c>
      <c r="K237" s="51">
        <f t="shared" si="29"/>
        <v>0</v>
      </c>
      <c r="L237" s="51">
        <f t="shared" si="29"/>
        <v>0</v>
      </c>
      <c r="M237" s="51">
        <f t="shared" si="29"/>
        <v>0</v>
      </c>
      <c r="N237" s="51">
        <f t="shared" si="29"/>
        <v>0</v>
      </c>
      <c r="O237" s="51">
        <f t="shared" si="29"/>
        <v>0</v>
      </c>
      <c r="P237" s="52">
        <f aca="true" t="shared" si="30" ref="P237:P244">E237+J237</f>
        <v>0</v>
      </c>
      <c r="Q237" s="53"/>
      <c r="R237" s="59"/>
      <c r="W237" s="53">
        <f t="shared" si="24"/>
        <v>0</v>
      </c>
    </row>
    <row r="238" spans="1:23" ht="12.75" hidden="1">
      <c r="A238" s="42"/>
      <c r="B238" s="42" t="s">
        <v>362</v>
      </c>
      <c r="C238" s="42"/>
      <c r="D238" s="64" t="s">
        <v>363</v>
      </c>
      <c r="E238" s="37">
        <f>E239</f>
        <v>0</v>
      </c>
      <c r="F238" s="37"/>
      <c r="G238" s="37">
        <f>G239</f>
        <v>0</v>
      </c>
      <c r="H238" s="37">
        <f>H239</f>
        <v>0</v>
      </c>
      <c r="I238" s="37"/>
      <c r="J238" s="38">
        <f>K238+N238</f>
        <v>0</v>
      </c>
      <c r="K238" s="38"/>
      <c r="L238" s="38"/>
      <c r="M238" s="38"/>
      <c r="N238" s="38">
        <f>O238</f>
        <v>0</v>
      </c>
      <c r="O238" s="76">
        <f>O239</f>
        <v>0</v>
      </c>
      <c r="P238" s="55">
        <f t="shared" si="30"/>
        <v>0</v>
      </c>
      <c r="Q238" s="53"/>
      <c r="R238" s="59"/>
      <c r="W238" s="53">
        <f t="shared" si="24"/>
        <v>0</v>
      </c>
    </row>
    <row r="239" spans="1:23" ht="12.75" hidden="1">
      <c r="A239" s="39"/>
      <c r="B239" s="39" t="s">
        <v>249</v>
      </c>
      <c r="C239" s="39"/>
      <c r="D239" s="75" t="s">
        <v>250</v>
      </c>
      <c r="E239" s="38">
        <f>75441-75441</f>
        <v>0</v>
      </c>
      <c r="F239" s="38"/>
      <c r="G239" s="38">
        <f>39554-39554</f>
        <v>0</v>
      </c>
      <c r="H239" s="38"/>
      <c r="I239" s="38"/>
      <c r="J239" s="38">
        <f>K239+N239</f>
        <v>0</v>
      </c>
      <c r="K239" s="38"/>
      <c r="L239" s="38"/>
      <c r="M239" s="38"/>
      <c r="N239" s="38">
        <f>O239</f>
        <v>0</v>
      </c>
      <c r="O239" s="38">
        <f>25000-25000</f>
        <v>0</v>
      </c>
      <c r="P239" s="55">
        <f t="shared" si="30"/>
        <v>0</v>
      </c>
      <c r="Q239" s="53"/>
      <c r="R239" s="59"/>
      <c r="W239" s="53">
        <f t="shared" si="24"/>
        <v>0</v>
      </c>
    </row>
    <row r="240" spans="1:23" ht="38.25">
      <c r="A240" s="98"/>
      <c r="B240" s="98" t="s">
        <v>177</v>
      </c>
      <c r="C240" s="98"/>
      <c r="D240" s="104" t="s">
        <v>154</v>
      </c>
      <c r="E240" s="51">
        <f>E241+E245+E250+E248</f>
        <v>8799148</v>
      </c>
      <c r="F240" s="51">
        <f>F241+F245+F250+F248</f>
        <v>8799148</v>
      </c>
      <c r="G240" s="51">
        <f>G241+G245+G250+G248</f>
        <v>4139703</v>
      </c>
      <c r="H240" s="51">
        <f>H241+H245+H250+H248</f>
        <v>196896</v>
      </c>
      <c r="I240" s="51"/>
      <c r="J240" s="51">
        <f>K240+N240</f>
        <v>7194428</v>
      </c>
      <c r="K240" s="51">
        <f>K241+K245+K250+K248</f>
        <v>0</v>
      </c>
      <c r="L240" s="51">
        <f>L241+L245+L250+L248</f>
        <v>0</v>
      </c>
      <c r="M240" s="51">
        <f>M241+M245+M250+M248</f>
        <v>0</v>
      </c>
      <c r="N240" s="51">
        <f>N241+N245+N250+N248+N243</f>
        <v>7194428</v>
      </c>
      <c r="O240" s="51">
        <f>O241+O245+O250+O248+O243</f>
        <v>7194428</v>
      </c>
      <c r="P240" s="52">
        <f t="shared" si="30"/>
        <v>15993576</v>
      </c>
      <c r="Q240" s="53"/>
      <c r="R240" s="59"/>
      <c r="W240" s="53">
        <f t="shared" si="24"/>
        <v>0</v>
      </c>
    </row>
    <row r="241" spans="1:23" ht="12.75">
      <c r="A241" s="42"/>
      <c r="B241" s="42" t="s">
        <v>362</v>
      </c>
      <c r="C241" s="42"/>
      <c r="D241" s="43" t="s">
        <v>363</v>
      </c>
      <c r="E241" s="37">
        <f>E242</f>
        <v>8799148</v>
      </c>
      <c r="F241" s="37">
        <f>F242</f>
        <v>8799148</v>
      </c>
      <c r="G241" s="37">
        <f>G242</f>
        <v>4139703</v>
      </c>
      <c r="H241" s="37">
        <f>H242</f>
        <v>196896</v>
      </c>
      <c r="I241" s="37"/>
      <c r="J241" s="38">
        <f aca="true" t="shared" si="31" ref="J241:J249">K241+N241</f>
        <v>3265882</v>
      </c>
      <c r="K241" s="37"/>
      <c r="L241" s="37"/>
      <c r="M241" s="37"/>
      <c r="N241" s="37">
        <f>N242</f>
        <v>3265882</v>
      </c>
      <c r="O241" s="37">
        <f>O242</f>
        <v>3265882</v>
      </c>
      <c r="P241" s="55">
        <f t="shared" si="30"/>
        <v>12065030</v>
      </c>
      <c r="Q241" s="53"/>
      <c r="R241" s="59"/>
      <c r="W241" s="53">
        <f t="shared" si="24"/>
        <v>0</v>
      </c>
    </row>
    <row r="242" spans="1:23" ht="12.75">
      <c r="A242" s="39"/>
      <c r="B242" s="39" t="s">
        <v>249</v>
      </c>
      <c r="C242" s="74" t="s">
        <v>441</v>
      </c>
      <c r="D242" s="58" t="s">
        <v>250</v>
      </c>
      <c r="E242" s="38">
        <f>F242+I242</f>
        <v>8799148</v>
      </c>
      <c r="F242" s="38">
        <f>5343225-242858+99163+3085987+379169+87662+46800</f>
        <v>8799148</v>
      </c>
      <c r="G242" s="38">
        <f>3519653+202520+379169+38361</f>
        <v>4139703</v>
      </c>
      <c r="H242" s="38">
        <f>97733+99163</f>
        <v>196896</v>
      </c>
      <c r="I242" s="38"/>
      <c r="J242" s="38">
        <f t="shared" si="31"/>
        <v>3265882</v>
      </c>
      <c r="K242" s="38"/>
      <c r="L242" s="38"/>
      <c r="M242" s="38"/>
      <c r="N242" s="38">
        <f>O242</f>
        <v>3265882</v>
      </c>
      <c r="O242" s="38">
        <v>3265882</v>
      </c>
      <c r="P242" s="55">
        <f t="shared" si="30"/>
        <v>12065030</v>
      </c>
      <c r="Q242" s="53"/>
      <c r="R242" s="59"/>
      <c r="W242" s="53">
        <f t="shared" si="24"/>
        <v>0</v>
      </c>
    </row>
    <row r="243" spans="1:23" ht="12.75">
      <c r="A243" s="39"/>
      <c r="B243" s="39" t="s">
        <v>366</v>
      </c>
      <c r="C243" s="39"/>
      <c r="D243" s="36" t="s">
        <v>283</v>
      </c>
      <c r="E243" s="38"/>
      <c r="F243" s="38"/>
      <c r="G243" s="38"/>
      <c r="H243" s="38"/>
      <c r="I243" s="38"/>
      <c r="J243" s="38">
        <f t="shared" si="31"/>
        <v>3928546</v>
      </c>
      <c r="K243" s="38"/>
      <c r="L243" s="38"/>
      <c r="M243" s="38"/>
      <c r="N243" s="38">
        <f>N244</f>
        <v>3928546</v>
      </c>
      <c r="O243" s="38">
        <f>O244</f>
        <v>3928546</v>
      </c>
      <c r="P243" s="55">
        <f t="shared" si="30"/>
        <v>3928546</v>
      </c>
      <c r="Q243" s="53"/>
      <c r="R243" s="59"/>
      <c r="W243" s="53">
        <f t="shared" si="24"/>
        <v>0</v>
      </c>
    </row>
    <row r="244" spans="1:23" ht="12.75">
      <c r="A244" s="39"/>
      <c r="B244" s="39" t="s">
        <v>338</v>
      </c>
      <c r="C244" s="74" t="s">
        <v>443</v>
      </c>
      <c r="D244" s="36" t="s">
        <v>339</v>
      </c>
      <c r="E244" s="38"/>
      <c r="F244" s="38"/>
      <c r="G244" s="38"/>
      <c r="H244" s="38"/>
      <c r="I244" s="38"/>
      <c r="J244" s="38">
        <f t="shared" si="31"/>
        <v>3928546</v>
      </c>
      <c r="K244" s="38"/>
      <c r="L244" s="38"/>
      <c r="M244" s="38"/>
      <c r="N244" s="38">
        <f>O244</f>
        <v>3928546</v>
      </c>
      <c r="O244" s="76">
        <f>10280415-6351869</f>
        <v>3928546</v>
      </c>
      <c r="P244" s="55">
        <f t="shared" si="30"/>
        <v>3928546</v>
      </c>
      <c r="Q244" s="53"/>
      <c r="R244" s="59"/>
      <c r="W244" s="53">
        <f t="shared" si="24"/>
        <v>0</v>
      </c>
    </row>
    <row r="245" spans="1:23" ht="25.5" hidden="1">
      <c r="A245" s="39"/>
      <c r="B245" s="39" t="s">
        <v>376</v>
      </c>
      <c r="C245" s="39"/>
      <c r="D245" s="58" t="s">
        <v>377</v>
      </c>
      <c r="E245" s="95">
        <f>E246</f>
        <v>0</v>
      </c>
      <c r="F245" s="95">
        <f>F246</f>
        <v>0</v>
      </c>
      <c r="G245" s="38">
        <f aca="true" t="shared" si="32" ref="G245:O245">G246</f>
        <v>0</v>
      </c>
      <c r="H245" s="38">
        <f t="shared" si="32"/>
        <v>0</v>
      </c>
      <c r="I245" s="38"/>
      <c r="J245" s="38">
        <f t="shared" si="32"/>
        <v>0</v>
      </c>
      <c r="K245" s="38">
        <f t="shared" si="32"/>
        <v>0</v>
      </c>
      <c r="L245" s="38">
        <f t="shared" si="32"/>
        <v>0</v>
      </c>
      <c r="M245" s="38">
        <f t="shared" si="32"/>
        <v>0</v>
      </c>
      <c r="N245" s="38">
        <f t="shared" si="32"/>
        <v>0</v>
      </c>
      <c r="O245" s="38">
        <f t="shared" si="32"/>
        <v>0</v>
      </c>
      <c r="P245" s="96">
        <f>E245+J246</f>
        <v>0</v>
      </c>
      <c r="Q245" s="53"/>
      <c r="R245" s="59"/>
      <c r="W245" s="53">
        <f t="shared" si="24"/>
        <v>0</v>
      </c>
    </row>
    <row r="246" spans="1:23" ht="25.5" hidden="1">
      <c r="A246" s="39"/>
      <c r="B246" s="39" t="s">
        <v>284</v>
      </c>
      <c r="C246" s="74" t="s">
        <v>452</v>
      </c>
      <c r="D246" s="68" t="s">
        <v>116</v>
      </c>
      <c r="E246" s="38">
        <f>F246+I246</f>
        <v>0</v>
      </c>
      <c r="F246" s="38">
        <f>492000-492000</f>
        <v>0</v>
      </c>
      <c r="G246" s="38"/>
      <c r="H246" s="38"/>
      <c r="I246" s="38"/>
      <c r="J246" s="38">
        <f>K246+N246</f>
        <v>0</v>
      </c>
      <c r="K246" s="38"/>
      <c r="L246" s="38"/>
      <c r="M246" s="38"/>
      <c r="N246" s="38"/>
      <c r="O246" s="38"/>
      <c r="P246" s="55">
        <f>E246+J248</f>
        <v>0</v>
      </c>
      <c r="Q246" s="53"/>
      <c r="R246" s="59"/>
      <c r="W246" s="53">
        <f t="shared" si="24"/>
        <v>0</v>
      </c>
    </row>
    <row r="247" spans="1:23" s="54" customFormat="1" ht="25.5" hidden="1">
      <c r="A247" s="74"/>
      <c r="B247" s="74" t="s">
        <v>303</v>
      </c>
      <c r="C247" s="74"/>
      <c r="D247" s="68" t="s">
        <v>304</v>
      </c>
      <c r="E247" s="38"/>
      <c r="F247" s="38"/>
      <c r="G247" s="38"/>
      <c r="H247" s="38"/>
      <c r="I247" s="38"/>
      <c r="J247" s="38"/>
      <c r="K247" s="38"/>
      <c r="L247" s="38"/>
      <c r="M247" s="38"/>
      <c r="N247" s="38"/>
      <c r="O247" s="38"/>
      <c r="P247" s="55">
        <f>E247+J249</f>
        <v>0</v>
      </c>
      <c r="Q247" s="53"/>
      <c r="R247" s="53"/>
      <c r="W247" s="53">
        <f t="shared" si="24"/>
        <v>0</v>
      </c>
    </row>
    <row r="248" spans="1:23" s="57" customFormat="1" ht="12.75" hidden="1">
      <c r="A248" s="39"/>
      <c r="B248" s="39" t="s">
        <v>369</v>
      </c>
      <c r="C248" s="39"/>
      <c r="D248" s="60" t="s">
        <v>373</v>
      </c>
      <c r="E248" s="38"/>
      <c r="F248" s="38"/>
      <c r="G248" s="38"/>
      <c r="H248" s="38"/>
      <c r="I248" s="38"/>
      <c r="J248" s="38">
        <f t="shared" si="31"/>
        <v>0</v>
      </c>
      <c r="K248" s="38">
        <f>K249</f>
        <v>0</v>
      </c>
      <c r="L248" s="38"/>
      <c r="M248" s="38"/>
      <c r="N248" s="38"/>
      <c r="O248" s="38"/>
      <c r="P248" s="55">
        <f>E248+J249</f>
        <v>0</v>
      </c>
      <c r="Q248" s="53"/>
      <c r="R248" s="56"/>
      <c r="W248" s="53">
        <f t="shared" si="24"/>
        <v>0</v>
      </c>
    </row>
    <row r="249" spans="1:23" ht="25.5" hidden="1">
      <c r="A249" s="39"/>
      <c r="B249" s="39" t="s">
        <v>287</v>
      </c>
      <c r="C249" s="39"/>
      <c r="D249" s="60" t="s">
        <v>333</v>
      </c>
      <c r="E249" s="38"/>
      <c r="F249" s="38"/>
      <c r="G249" s="38"/>
      <c r="H249" s="38"/>
      <c r="I249" s="38"/>
      <c r="J249" s="38">
        <f t="shared" si="31"/>
        <v>0</v>
      </c>
      <c r="K249" s="38"/>
      <c r="L249" s="38"/>
      <c r="M249" s="38"/>
      <c r="N249" s="38"/>
      <c r="O249" s="38"/>
      <c r="P249" s="55">
        <f aca="true" t="shared" si="33" ref="P249:P296">E249+J249</f>
        <v>0</v>
      </c>
      <c r="Q249" s="53"/>
      <c r="R249" s="59"/>
      <c r="W249" s="53">
        <f t="shared" si="24"/>
        <v>0</v>
      </c>
    </row>
    <row r="250" spans="1:23" ht="16.5" customHeight="1" hidden="1">
      <c r="A250" s="39"/>
      <c r="B250" s="39" t="s">
        <v>371</v>
      </c>
      <c r="C250" s="39"/>
      <c r="D250" s="60" t="s">
        <v>372</v>
      </c>
      <c r="E250" s="38">
        <f>E251</f>
        <v>0</v>
      </c>
      <c r="F250" s="38">
        <f>F251</f>
        <v>0</v>
      </c>
      <c r="G250" s="38"/>
      <c r="H250" s="38"/>
      <c r="I250" s="38"/>
      <c r="J250" s="38"/>
      <c r="K250" s="38"/>
      <c r="L250" s="38"/>
      <c r="M250" s="38"/>
      <c r="N250" s="38"/>
      <c r="O250" s="38"/>
      <c r="P250" s="55">
        <f t="shared" si="33"/>
        <v>0</v>
      </c>
      <c r="Q250" s="53"/>
      <c r="R250" s="59"/>
      <c r="W250" s="53">
        <f t="shared" si="24"/>
        <v>0</v>
      </c>
    </row>
    <row r="251" spans="1:23" ht="12.75" hidden="1">
      <c r="A251" s="39"/>
      <c r="B251" s="39" t="s">
        <v>288</v>
      </c>
      <c r="C251" s="74" t="s">
        <v>444</v>
      </c>
      <c r="D251" s="36" t="s">
        <v>316</v>
      </c>
      <c r="E251" s="38">
        <f>F251+I251</f>
        <v>0</v>
      </c>
      <c r="F251" s="38">
        <f>F252</f>
        <v>0</v>
      </c>
      <c r="G251" s="38"/>
      <c r="H251" s="38"/>
      <c r="I251" s="38">
        <f>I252</f>
        <v>0</v>
      </c>
      <c r="J251" s="38"/>
      <c r="K251" s="38"/>
      <c r="L251" s="38"/>
      <c r="M251" s="38"/>
      <c r="N251" s="38"/>
      <c r="O251" s="38"/>
      <c r="P251" s="55">
        <f t="shared" si="33"/>
        <v>0</v>
      </c>
      <c r="Q251" s="53"/>
      <c r="R251" s="59"/>
      <c r="W251" s="53">
        <f t="shared" si="24"/>
        <v>0</v>
      </c>
    </row>
    <row r="252" spans="1:23" s="158" customFormat="1" ht="25.5" hidden="1">
      <c r="A252" s="152"/>
      <c r="B252" s="39"/>
      <c r="C252" s="39"/>
      <c r="D252" s="36" t="s">
        <v>242</v>
      </c>
      <c r="E252" s="38">
        <f>F252+I252</f>
        <v>0</v>
      </c>
      <c r="F252" s="38">
        <f>831939-831939</f>
        <v>0</v>
      </c>
      <c r="G252" s="38"/>
      <c r="H252" s="38"/>
      <c r="I252" s="38"/>
      <c r="J252" s="38"/>
      <c r="K252" s="38"/>
      <c r="L252" s="38"/>
      <c r="M252" s="38"/>
      <c r="N252" s="38"/>
      <c r="O252" s="38"/>
      <c r="P252" s="55">
        <f t="shared" si="33"/>
        <v>0</v>
      </c>
      <c r="Q252" s="156"/>
      <c r="R252" s="157"/>
      <c r="W252" s="156">
        <f t="shared" si="24"/>
        <v>0</v>
      </c>
    </row>
    <row r="253" spans="1:23" ht="25.5">
      <c r="A253" s="98"/>
      <c r="B253" s="98" t="s">
        <v>45</v>
      </c>
      <c r="C253" s="98"/>
      <c r="D253" s="97" t="s">
        <v>49</v>
      </c>
      <c r="E253" s="51">
        <f>E254</f>
        <v>8990227</v>
      </c>
      <c r="F253" s="51">
        <f>F254</f>
        <v>8990227</v>
      </c>
      <c r="G253" s="51">
        <f aca="true" t="shared" si="34" ref="G253:M254">G254</f>
        <v>5594440</v>
      </c>
      <c r="H253" s="51">
        <f t="shared" si="34"/>
        <v>289400</v>
      </c>
      <c r="I253" s="51">
        <f t="shared" si="34"/>
        <v>0</v>
      </c>
      <c r="J253" s="51">
        <f t="shared" si="34"/>
        <v>1752000</v>
      </c>
      <c r="K253" s="51">
        <f t="shared" si="34"/>
        <v>0</v>
      </c>
      <c r="L253" s="51">
        <f t="shared" si="34"/>
        <v>0</v>
      </c>
      <c r="M253" s="51">
        <f t="shared" si="34"/>
        <v>0</v>
      </c>
      <c r="N253" s="51">
        <f>N254</f>
        <v>1752000</v>
      </c>
      <c r="O253" s="51">
        <f>O254</f>
        <v>1752000</v>
      </c>
      <c r="P253" s="52">
        <f>E253+J253</f>
        <v>10742227</v>
      </c>
      <c r="Q253" s="53"/>
      <c r="R253" s="59"/>
      <c r="W253" s="53">
        <f>N253-O253</f>
        <v>0</v>
      </c>
    </row>
    <row r="254" spans="1:23" ht="12.75">
      <c r="A254" s="42"/>
      <c r="B254" s="42" t="s">
        <v>362</v>
      </c>
      <c r="C254" s="42"/>
      <c r="D254" s="64" t="s">
        <v>363</v>
      </c>
      <c r="E254" s="37">
        <f>E255</f>
        <v>8990227</v>
      </c>
      <c r="F254" s="37">
        <f>F255</f>
        <v>8990227</v>
      </c>
      <c r="G254" s="37">
        <f t="shared" si="34"/>
        <v>5594440</v>
      </c>
      <c r="H254" s="37">
        <f t="shared" si="34"/>
        <v>289400</v>
      </c>
      <c r="I254" s="37">
        <f t="shared" si="34"/>
        <v>0</v>
      </c>
      <c r="J254" s="37">
        <f t="shared" si="34"/>
        <v>1752000</v>
      </c>
      <c r="K254" s="37">
        <f t="shared" si="34"/>
        <v>0</v>
      </c>
      <c r="L254" s="37">
        <f t="shared" si="34"/>
        <v>0</v>
      </c>
      <c r="M254" s="37">
        <f t="shared" si="34"/>
        <v>0</v>
      </c>
      <c r="N254" s="37">
        <f>N255</f>
        <v>1752000</v>
      </c>
      <c r="O254" s="37">
        <f>O255</f>
        <v>1752000</v>
      </c>
      <c r="P254" s="55">
        <f>E254+J254</f>
        <v>10742227</v>
      </c>
      <c r="Q254" s="53"/>
      <c r="R254" s="59"/>
      <c r="W254" s="53">
        <f>N254-O254</f>
        <v>0</v>
      </c>
    </row>
    <row r="255" spans="1:23" ht="12.75">
      <c r="A255" s="39"/>
      <c r="B255" s="39" t="s">
        <v>249</v>
      </c>
      <c r="C255" s="74" t="s">
        <v>441</v>
      </c>
      <c r="D255" s="75" t="s">
        <v>250</v>
      </c>
      <c r="E255" s="38">
        <f>F255</f>
        <v>8990227</v>
      </c>
      <c r="F255" s="38">
        <f>7910078+1261690+277572-459113</f>
        <v>8990227</v>
      </c>
      <c r="G255" s="38">
        <f>4709072+1261690-376322</f>
        <v>5594440</v>
      </c>
      <c r="H255" s="38">
        <v>289400</v>
      </c>
      <c r="I255" s="38"/>
      <c r="J255" s="38">
        <f>K255+N255</f>
        <v>1752000</v>
      </c>
      <c r="K255" s="38"/>
      <c r="L255" s="38"/>
      <c r="M255" s="38"/>
      <c r="N255" s="38">
        <f>O255</f>
        <v>1752000</v>
      </c>
      <c r="O255" s="38">
        <v>1752000</v>
      </c>
      <c r="P255" s="55">
        <f>E255+J255</f>
        <v>10742227</v>
      </c>
      <c r="Q255" s="53"/>
      <c r="R255" s="59"/>
      <c r="W255" s="53">
        <f>N255-O255</f>
        <v>0</v>
      </c>
    </row>
    <row r="256" spans="1:23" ht="24">
      <c r="A256" s="126"/>
      <c r="B256" s="126" t="s">
        <v>175</v>
      </c>
      <c r="C256" s="126"/>
      <c r="D256" s="106" t="s">
        <v>199</v>
      </c>
      <c r="E256" s="51">
        <f>E257+E259+E262+E274+E278+E281+E289+E283+E287+E297+E285</f>
        <v>325521831</v>
      </c>
      <c r="F256" s="51">
        <f>F257+F259+F262+F274+F278+F281+F289+F283+F287+F297+F285</f>
        <v>325521831</v>
      </c>
      <c r="G256" s="51">
        <f>G257+G259+G262+G274+G278+G281+G289+G283+G287+G297</f>
        <v>3892448</v>
      </c>
      <c r="H256" s="51">
        <f>H257+H259+H262+H274+H278+H281+H289+H283+H287+H297</f>
        <v>308455</v>
      </c>
      <c r="I256" s="51">
        <f>I257+I259+I262+I274+I278+I281+I289+I283+I287+I297</f>
        <v>0</v>
      </c>
      <c r="J256" s="51">
        <f>K256+N256</f>
        <v>588864918</v>
      </c>
      <c r="K256" s="51">
        <f>K257+K259+K262+K274+K278+K281+K289+K287</f>
        <v>389888</v>
      </c>
      <c r="L256" s="51">
        <f>L257+L259+L262+L274+L278+L281+L289+L287</f>
        <v>0</v>
      </c>
      <c r="M256" s="51">
        <f>M257+M259+M262+M274+M278+M281+M289+M287</f>
        <v>0</v>
      </c>
      <c r="N256" s="51">
        <f>N257+N259+N262+N274+N278+N281+N289+N287+N283</f>
        <v>588475030</v>
      </c>
      <c r="O256" s="51">
        <f>O257+O259+O262+O274+O278+O281+O289+O287+O283</f>
        <v>586567530</v>
      </c>
      <c r="P256" s="52">
        <f>E256+J256</f>
        <v>914386749</v>
      </c>
      <c r="Q256" s="53"/>
      <c r="R256" s="59"/>
      <c r="W256" s="53">
        <f>N256-O256</f>
        <v>1907500</v>
      </c>
    </row>
    <row r="257" spans="1:23" ht="12.75">
      <c r="A257" s="42"/>
      <c r="B257" s="42" t="s">
        <v>362</v>
      </c>
      <c r="C257" s="42"/>
      <c r="D257" s="43" t="s">
        <v>363</v>
      </c>
      <c r="E257" s="37">
        <f>E258</f>
        <v>5714922</v>
      </c>
      <c r="F257" s="37">
        <f>F258</f>
        <v>5714922</v>
      </c>
      <c r="G257" s="37">
        <f>G258</f>
        <v>3892448</v>
      </c>
      <c r="H257" s="37">
        <f>H258</f>
        <v>308455</v>
      </c>
      <c r="I257" s="37"/>
      <c r="J257" s="38">
        <f>K257+N257</f>
        <v>109041</v>
      </c>
      <c r="K257" s="37"/>
      <c r="L257" s="37"/>
      <c r="M257" s="37"/>
      <c r="N257" s="37">
        <f>N258</f>
        <v>109041</v>
      </c>
      <c r="O257" s="37">
        <f>O258</f>
        <v>109041</v>
      </c>
      <c r="P257" s="55">
        <f t="shared" si="33"/>
        <v>5823963</v>
      </c>
      <c r="Q257" s="53"/>
      <c r="R257" s="59"/>
      <c r="W257" s="53">
        <f t="shared" si="24"/>
        <v>0</v>
      </c>
    </row>
    <row r="258" spans="1:23" ht="12.75">
      <c r="A258" s="39"/>
      <c r="B258" s="39" t="s">
        <v>249</v>
      </c>
      <c r="C258" s="74" t="s">
        <v>441</v>
      </c>
      <c r="D258" s="58" t="s">
        <v>250</v>
      </c>
      <c r="E258" s="38">
        <f>F258+I258</f>
        <v>5714922</v>
      </c>
      <c r="F258" s="38">
        <f>5026909-204157+407512+89807+297625+97226</f>
        <v>5714922</v>
      </c>
      <c r="G258" s="38">
        <f>3202618+202165+407512+80153</f>
        <v>3892448</v>
      </c>
      <c r="H258" s="38">
        <v>308455</v>
      </c>
      <c r="I258" s="38"/>
      <c r="J258" s="38">
        <f>K258+N258</f>
        <v>109041</v>
      </c>
      <c r="K258" s="38"/>
      <c r="L258" s="38"/>
      <c r="M258" s="38"/>
      <c r="N258" s="76">
        <f>O258</f>
        <v>109041</v>
      </c>
      <c r="O258" s="76">
        <v>109041</v>
      </c>
      <c r="P258" s="55">
        <f t="shared" si="33"/>
        <v>5823963</v>
      </c>
      <c r="Q258" s="53"/>
      <c r="R258" s="59"/>
      <c r="W258" s="53">
        <f t="shared" si="24"/>
        <v>0</v>
      </c>
    </row>
    <row r="259" spans="1:23" ht="25.5">
      <c r="A259" s="39"/>
      <c r="B259" s="39" t="s">
        <v>271</v>
      </c>
      <c r="C259" s="39"/>
      <c r="D259" s="58" t="s">
        <v>317</v>
      </c>
      <c r="E259" s="38">
        <f>E260+E261</f>
        <v>548900</v>
      </c>
      <c r="F259" s="38">
        <f>F260+F261</f>
        <v>548900</v>
      </c>
      <c r="G259" s="38">
        <f>G260</f>
        <v>0</v>
      </c>
      <c r="H259" s="38">
        <f>H260</f>
        <v>0</v>
      </c>
      <c r="I259" s="38"/>
      <c r="J259" s="38">
        <f aca="true" t="shared" si="35" ref="J259:J297">K259+N259</f>
        <v>0</v>
      </c>
      <c r="K259" s="38"/>
      <c r="L259" s="38"/>
      <c r="M259" s="38"/>
      <c r="N259" s="76"/>
      <c r="O259" s="76"/>
      <c r="P259" s="55">
        <f t="shared" si="33"/>
        <v>548900</v>
      </c>
      <c r="Q259" s="53"/>
      <c r="R259" s="59"/>
      <c r="W259" s="53">
        <f t="shared" si="24"/>
        <v>0</v>
      </c>
    </row>
    <row r="260" spans="1:23" ht="27" customHeight="1">
      <c r="A260" s="39"/>
      <c r="B260" s="39" t="s">
        <v>272</v>
      </c>
      <c r="C260" s="74" t="s">
        <v>465</v>
      </c>
      <c r="D260" s="36" t="s">
        <v>331</v>
      </c>
      <c r="E260" s="38">
        <f>F260+I260</f>
        <v>353900</v>
      </c>
      <c r="F260" s="38">
        <v>353900</v>
      </c>
      <c r="G260" s="38"/>
      <c r="H260" s="38"/>
      <c r="I260" s="38"/>
      <c r="J260" s="38">
        <f t="shared" si="35"/>
        <v>0</v>
      </c>
      <c r="K260" s="38"/>
      <c r="L260" s="38"/>
      <c r="M260" s="38"/>
      <c r="N260" s="76"/>
      <c r="O260" s="76"/>
      <c r="P260" s="55">
        <f t="shared" si="33"/>
        <v>353900</v>
      </c>
      <c r="Q260" s="53"/>
      <c r="R260" s="59"/>
      <c r="W260" s="53">
        <f t="shared" si="24"/>
        <v>0</v>
      </c>
    </row>
    <row r="261" spans="1:23" ht="25.5">
      <c r="A261" s="39"/>
      <c r="B261" s="74" t="s">
        <v>52</v>
      </c>
      <c r="C261" s="74" t="s">
        <v>54</v>
      </c>
      <c r="D261" s="68" t="s">
        <v>53</v>
      </c>
      <c r="E261" s="38">
        <f>F261</f>
        <v>195000</v>
      </c>
      <c r="F261" s="38">
        <v>195000</v>
      </c>
      <c r="G261" s="38"/>
      <c r="H261" s="38"/>
      <c r="I261" s="38"/>
      <c r="J261" s="38"/>
      <c r="K261" s="38"/>
      <c r="L261" s="38"/>
      <c r="M261" s="38"/>
      <c r="N261" s="38"/>
      <c r="O261" s="38"/>
      <c r="P261" s="55">
        <f t="shared" si="33"/>
        <v>195000</v>
      </c>
      <c r="Q261" s="53"/>
      <c r="R261" s="59"/>
      <c r="W261" s="53"/>
    </row>
    <row r="262" spans="1:23" ht="12.75">
      <c r="A262" s="39"/>
      <c r="B262" s="39" t="s">
        <v>374</v>
      </c>
      <c r="C262" s="39"/>
      <c r="D262" s="36" t="s">
        <v>375</v>
      </c>
      <c r="E262" s="38">
        <f>E263+E266+E267+E268+E271+E272</f>
        <v>100522949</v>
      </c>
      <c r="F262" s="38">
        <f>F263+F266+F267+F268+F271+F272</f>
        <v>100522949</v>
      </c>
      <c r="G262" s="38">
        <f>G263+G266+G267+G268+G271+G272</f>
        <v>0</v>
      </c>
      <c r="H262" s="38">
        <f>H263+H266+H267+H268+H271+H272</f>
        <v>0</v>
      </c>
      <c r="I262" s="38">
        <f>I263+I266+I267+I268+I271+I272</f>
        <v>0</v>
      </c>
      <c r="J262" s="38">
        <f>K262+N262</f>
        <v>334291499</v>
      </c>
      <c r="K262" s="38">
        <f>K263+K266+K267+K268+K271+K269+K272</f>
        <v>0</v>
      </c>
      <c r="L262" s="38">
        <f>L263+L266+L267+L268+L271+L269+L272</f>
        <v>0</v>
      </c>
      <c r="M262" s="38">
        <f>M263+M266+M267+M268+M271+M269+M272</f>
        <v>0</v>
      </c>
      <c r="N262" s="38">
        <f>N263+N266+N267+N268+N271+N269+N272</f>
        <v>334291499</v>
      </c>
      <c r="O262" s="38">
        <f>O263+O266+O267+O268+O271+O269+O272</f>
        <v>334291499</v>
      </c>
      <c r="P262" s="55">
        <f>E262+J262</f>
        <v>434814448</v>
      </c>
      <c r="Q262" s="53"/>
      <c r="R262" s="59"/>
      <c r="W262" s="53">
        <f t="shared" si="24"/>
        <v>0</v>
      </c>
    </row>
    <row r="263" spans="1:23" ht="15" customHeight="1">
      <c r="A263" s="74"/>
      <c r="B263" s="74" t="s">
        <v>200</v>
      </c>
      <c r="C263" s="74" t="s">
        <v>473</v>
      </c>
      <c r="D263" s="75" t="s">
        <v>201</v>
      </c>
      <c r="E263" s="38">
        <f>SUM(E264:E265)</f>
        <v>9506036</v>
      </c>
      <c r="F263" s="38">
        <f>SUM(F264:F265)</f>
        <v>9506036</v>
      </c>
      <c r="G263" s="38"/>
      <c r="H263" s="38"/>
      <c r="I263" s="38"/>
      <c r="J263" s="38">
        <f t="shared" si="35"/>
        <v>0</v>
      </c>
      <c r="K263" s="38"/>
      <c r="L263" s="38"/>
      <c r="M263" s="38"/>
      <c r="N263" s="76"/>
      <c r="O263" s="76"/>
      <c r="P263" s="55">
        <f t="shared" si="33"/>
        <v>9506036</v>
      </c>
      <c r="Q263" s="53"/>
      <c r="R263" s="59"/>
      <c r="W263" s="53">
        <f t="shared" si="24"/>
        <v>0</v>
      </c>
    </row>
    <row r="264" spans="1:23" s="158" customFormat="1" ht="12.75" hidden="1">
      <c r="A264" s="152"/>
      <c r="B264" s="39"/>
      <c r="C264" s="39"/>
      <c r="D264" s="75" t="s">
        <v>44</v>
      </c>
      <c r="E264" s="38">
        <f>F264+I264</f>
        <v>9279913</v>
      </c>
      <c r="F264" s="38">
        <f>34949374-25760374+997512+324401-95000-211000-297000-87000-541000</f>
        <v>9279913</v>
      </c>
      <c r="G264" s="38"/>
      <c r="H264" s="38"/>
      <c r="I264" s="38"/>
      <c r="J264" s="38">
        <f t="shared" si="35"/>
        <v>0</v>
      </c>
      <c r="K264" s="38"/>
      <c r="L264" s="38"/>
      <c r="M264" s="38"/>
      <c r="N264" s="38"/>
      <c r="O264" s="38"/>
      <c r="P264" s="55">
        <f>E264+J264</f>
        <v>9279913</v>
      </c>
      <c r="Q264" s="156"/>
      <c r="R264" s="157"/>
      <c r="W264" s="156">
        <f t="shared" si="24"/>
        <v>0</v>
      </c>
    </row>
    <row r="265" spans="1:23" s="158" customFormat="1" ht="12.75" hidden="1">
      <c r="A265" s="152"/>
      <c r="B265" s="39"/>
      <c r="C265" s="39"/>
      <c r="D265" s="68" t="s">
        <v>47</v>
      </c>
      <c r="E265" s="38">
        <f>F265+I265</f>
        <v>226123</v>
      </c>
      <c r="F265" s="38">
        <f>123123+15000+60000+12000+16000</f>
        <v>226123</v>
      </c>
      <c r="G265" s="38"/>
      <c r="H265" s="38"/>
      <c r="I265" s="38"/>
      <c r="J265" s="38"/>
      <c r="K265" s="38"/>
      <c r="L265" s="38"/>
      <c r="M265" s="38"/>
      <c r="N265" s="38"/>
      <c r="O265" s="38"/>
      <c r="P265" s="55">
        <f t="shared" si="33"/>
        <v>226123</v>
      </c>
      <c r="Q265" s="156"/>
      <c r="R265" s="157"/>
      <c r="W265" s="156">
        <f t="shared" si="24"/>
        <v>0</v>
      </c>
    </row>
    <row r="266" spans="1:23" ht="25.5">
      <c r="A266" s="74"/>
      <c r="B266" s="74" t="s">
        <v>387</v>
      </c>
      <c r="C266" s="74" t="s">
        <v>473</v>
      </c>
      <c r="D266" s="68" t="s">
        <v>107</v>
      </c>
      <c r="E266" s="38">
        <f>F266+I266</f>
        <v>0</v>
      </c>
      <c r="F266" s="38"/>
      <c r="G266" s="38"/>
      <c r="H266" s="38"/>
      <c r="I266" s="38"/>
      <c r="J266" s="38">
        <f t="shared" si="35"/>
        <v>288863037</v>
      </c>
      <c r="K266" s="38"/>
      <c r="L266" s="38"/>
      <c r="M266" s="38"/>
      <c r="N266" s="38">
        <f>O266</f>
        <v>288863037</v>
      </c>
      <c r="O266" s="76">
        <f>192105143-17156862+17156862+18875654-3431000+(70377)-550486+(60000)+106274654+24755+3458227+164955+20000-28209242</f>
        <v>288863037</v>
      </c>
      <c r="P266" s="55">
        <f t="shared" si="33"/>
        <v>288863037</v>
      </c>
      <c r="Q266" s="53"/>
      <c r="R266" s="59"/>
      <c r="W266" s="53">
        <f t="shared" si="24"/>
        <v>0</v>
      </c>
    </row>
    <row r="267" spans="1:23" ht="25.5" hidden="1">
      <c r="A267" s="74"/>
      <c r="B267" s="74" t="s">
        <v>71</v>
      </c>
      <c r="C267" s="74"/>
      <c r="D267" s="68" t="s">
        <v>72</v>
      </c>
      <c r="E267" s="38">
        <f>449300-449300</f>
        <v>0</v>
      </c>
      <c r="F267" s="38"/>
      <c r="G267" s="38"/>
      <c r="H267" s="38"/>
      <c r="I267" s="38"/>
      <c r="J267" s="38">
        <f t="shared" si="35"/>
        <v>0</v>
      </c>
      <c r="K267" s="38"/>
      <c r="L267" s="38"/>
      <c r="M267" s="38"/>
      <c r="N267" s="38"/>
      <c r="O267" s="76"/>
      <c r="P267" s="55">
        <f t="shared" si="33"/>
        <v>0</v>
      </c>
      <c r="Q267" s="53"/>
      <c r="R267" s="59"/>
      <c r="W267" s="53">
        <f t="shared" si="24"/>
        <v>0</v>
      </c>
    </row>
    <row r="268" spans="1:23" ht="38.25">
      <c r="A268" s="74"/>
      <c r="B268" s="74" t="s">
        <v>220</v>
      </c>
      <c r="C268" s="74" t="s">
        <v>473</v>
      </c>
      <c r="D268" s="68" t="s">
        <v>221</v>
      </c>
      <c r="E268" s="38">
        <f>F268+I268</f>
        <v>0</v>
      </c>
      <c r="F268" s="38"/>
      <c r="G268" s="38"/>
      <c r="H268" s="38"/>
      <c r="I268" s="38"/>
      <c r="J268" s="38">
        <f t="shared" si="35"/>
        <v>15000000</v>
      </c>
      <c r="K268" s="38"/>
      <c r="L268" s="38"/>
      <c r="M268" s="38"/>
      <c r="N268" s="38">
        <f>O268</f>
        <v>15000000</v>
      </c>
      <c r="O268" s="76">
        <f>15000000+17156862-17156862</f>
        <v>15000000</v>
      </c>
      <c r="P268" s="55">
        <f t="shared" si="33"/>
        <v>15000000</v>
      </c>
      <c r="Q268" s="53"/>
      <c r="R268" s="59"/>
      <c r="W268" s="53">
        <f t="shared" si="24"/>
        <v>0</v>
      </c>
    </row>
    <row r="269" spans="1:23" ht="146.25" hidden="1">
      <c r="A269" s="74"/>
      <c r="B269" s="74" t="s">
        <v>159</v>
      </c>
      <c r="C269" s="74" t="s">
        <v>490</v>
      </c>
      <c r="D269" s="94" t="s">
        <v>196</v>
      </c>
      <c r="E269" s="38">
        <f>F269+I269</f>
        <v>0</v>
      </c>
      <c r="F269" s="38"/>
      <c r="G269" s="38"/>
      <c r="H269" s="38"/>
      <c r="I269" s="38"/>
      <c r="J269" s="38">
        <f t="shared" si="35"/>
        <v>0</v>
      </c>
      <c r="K269" s="38"/>
      <c r="L269" s="38"/>
      <c r="M269" s="38"/>
      <c r="N269" s="38"/>
      <c r="O269" s="38"/>
      <c r="P269" s="55">
        <f t="shared" si="33"/>
        <v>0</v>
      </c>
      <c r="Q269" s="53"/>
      <c r="R269" s="59"/>
      <c r="W269" s="53">
        <f t="shared" si="24"/>
        <v>0</v>
      </c>
    </row>
    <row r="270" spans="1:23" ht="168.75" hidden="1">
      <c r="A270" s="39"/>
      <c r="B270" s="39"/>
      <c r="C270" s="39"/>
      <c r="D270" s="94" t="s">
        <v>195</v>
      </c>
      <c r="E270" s="38">
        <f>E269</f>
        <v>0</v>
      </c>
      <c r="F270" s="38">
        <f>F269</f>
        <v>0</v>
      </c>
      <c r="G270" s="38">
        <f>G269</f>
        <v>0</v>
      </c>
      <c r="H270" s="38">
        <f>H269</f>
        <v>0</v>
      </c>
      <c r="I270" s="38">
        <f>I269</f>
        <v>0</v>
      </c>
      <c r="J270" s="38">
        <f t="shared" si="35"/>
        <v>0</v>
      </c>
      <c r="K270" s="38">
        <f>K269</f>
        <v>0</v>
      </c>
      <c r="L270" s="38">
        <f>L269</f>
        <v>0</v>
      </c>
      <c r="M270" s="38">
        <f>M269</f>
        <v>0</v>
      </c>
      <c r="N270" s="38">
        <f>N269</f>
        <v>0</v>
      </c>
      <c r="O270" s="38">
        <f>O269</f>
        <v>0</v>
      </c>
      <c r="P270" s="55">
        <f t="shared" si="33"/>
        <v>0</v>
      </c>
      <c r="Q270" s="53"/>
      <c r="R270" s="59"/>
      <c r="W270" s="53">
        <f aca="true" t="shared" si="36" ref="W270:W340">N270-O270</f>
        <v>0</v>
      </c>
    </row>
    <row r="271" spans="1:23" ht="12.75">
      <c r="A271" s="74"/>
      <c r="B271" s="74" t="s">
        <v>102</v>
      </c>
      <c r="C271" s="74" t="s">
        <v>474</v>
      </c>
      <c r="D271" s="68" t="s">
        <v>106</v>
      </c>
      <c r="E271" s="76">
        <f>F271+I271</f>
        <v>91016913</v>
      </c>
      <c r="F271" s="76">
        <f>81249311+1777936+7663414+20323594-20323594+221864+855328+161480+(9450)-1016808+857588+94938-857588</f>
        <v>91016913</v>
      </c>
      <c r="G271" s="38"/>
      <c r="H271" s="38"/>
      <c r="I271" s="38"/>
      <c r="J271" s="38">
        <f>K271+N271</f>
        <v>2219220</v>
      </c>
      <c r="K271" s="38"/>
      <c r="L271" s="38"/>
      <c r="M271" s="38"/>
      <c r="N271" s="38">
        <f>O271</f>
        <v>2219220</v>
      </c>
      <c r="O271" s="76">
        <f>1922195+95000+450000-26111-221864</f>
        <v>2219220</v>
      </c>
      <c r="P271" s="55">
        <f>E271+J271</f>
        <v>93236133</v>
      </c>
      <c r="Q271" s="53"/>
      <c r="R271" s="59"/>
      <c r="W271" s="53">
        <f t="shared" si="36"/>
        <v>0</v>
      </c>
    </row>
    <row r="272" spans="1:23" ht="38.25">
      <c r="A272" s="74"/>
      <c r="B272" s="74" t="s">
        <v>60</v>
      </c>
      <c r="C272" s="74" t="s">
        <v>474</v>
      </c>
      <c r="D272" s="68" t="s">
        <v>61</v>
      </c>
      <c r="E272" s="76"/>
      <c r="F272" s="76"/>
      <c r="G272" s="38"/>
      <c r="H272" s="38"/>
      <c r="I272" s="38"/>
      <c r="J272" s="38">
        <f>K272+N272</f>
        <v>28209242</v>
      </c>
      <c r="K272" s="38"/>
      <c r="L272" s="38"/>
      <c r="M272" s="38"/>
      <c r="N272" s="38">
        <f>O272</f>
        <v>28209242</v>
      </c>
      <c r="O272" s="76">
        <v>28209242</v>
      </c>
      <c r="P272" s="55">
        <f>E272+J272</f>
        <v>28209242</v>
      </c>
      <c r="Q272" s="53"/>
      <c r="R272" s="59"/>
      <c r="W272" s="53"/>
    </row>
    <row r="273" spans="1:23" ht="25.5" hidden="1">
      <c r="A273" s="74"/>
      <c r="B273" s="74" t="s">
        <v>223</v>
      </c>
      <c r="C273" s="74"/>
      <c r="D273" s="68" t="s">
        <v>224</v>
      </c>
      <c r="E273" s="124"/>
      <c r="F273" s="124"/>
      <c r="G273" s="38"/>
      <c r="H273" s="38"/>
      <c r="I273" s="38"/>
      <c r="J273" s="38">
        <f>K273+N273</f>
        <v>0</v>
      </c>
      <c r="K273" s="38"/>
      <c r="L273" s="38"/>
      <c r="M273" s="38"/>
      <c r="N273" s="38"/>
      <c r="O273" s="76"/>
      <c r="P273" s="55">
        <f>E273+J273</f>
        <v>0</v>
      </c>
      <c r="Q273" s="53"/>
      <c r="R273" s="59"/>
      <c r="W273" s="53">
        <f t="shared" si="36"/>
        <v>0</v>
      </c>
    </row>
    <row r="274" spans="1:23" ht="12.75">
      <c r="A274" s="39"/>
      <c r="B274" s="39" t="s">
        <v>366</v>
      </c>
      <c r="C274" s="39"/>
      <c r="D274" s="36" t="s">
        <v>283</v>
      </c>
      <c r="E274" s="38">
        <f>E275+E277</f>
        <v>0</v>
      </c>
      <c r="F274" s="38">
        <f>F275+F277</f>
        <v>0</v>
      </c>
      <c r="G274" s="38">
        <f>G275+G277</f>
        <v>0</v>
      </c>
      <c r="H274" s="38">
        <f>H275+H277</f>
        <v>0</v>
      </c>
      <c r="I274" s="38"/>
      <c r="J274" s="38">
        <f>K274+N274</f>
        <v>166034447</v>
      </c>
      <c r="K274" s="38">
        <f>K275+K277</f>
        <v>0</v>
      </c>
      <c r="L274" s="38">
        <f>L275+L277</f>
        <v>0</v>
      </c>
      <c r="M274" s="38">
        <f>M275+M277</f>
        <v>0</v>
      </c>
      <c r="N274" s="38">
        <f>N275+N277+N276</f>
        <v>166034447</v>
      </c>
      <c r="O274" s="38">
        <f>O275+O277+O276</f>
        <v>166034447</v>
      </c>
      <c r="P274" s="55">
        <f t="shared" si="33"/>
        <v>166034447</v>
      </c>
      <c r="Q274" s="53"/>
      <c r="R274" s="59"/>
      <c r="W274" s="53">
        <f t="shared" si="36"/>
        <v>0</v>
      </c>
    </row>
    <row r="275" spans="1:23" ht="12.75">
      <c r="A275" s="39"/>
      <c r="B275" s="39" t="s">
        <v>338</v>
      </c>
      <c r="C275" s="74" t="s">
        <v>443</v>
      </c>
      <c r="D275" s="36" t="s">
        <v>339</v>
      </c>
      <c r="E275" s="38">
        <f>F275+I275</f>
        <v>0</v>
      </c>
      <c r="F275" s="38"/>
      <c r="G275" s="38"/>
      <c r="H275" s="38"/>
      <c r="I275" s="38"/>
      <c r="J275" s="38">
        <f t="shared" si="35"/>
        <v>166034447</v>
      </c>
      <c r="K275" s="38"/>
      <c r="L275" s="38"/>
      <c r="M275" s="38"/>
      <c r="N275" s="38">
        <f>O275</f>
        <v>166034447</v>
      </c>
      <c r="O275" s="76">
        <f>140523956-95000-207260-3900+12989299+698066+76-1-121349-753954+6161356-36288+6007128+830369+41949</f>
        <v>166034447</v>
      </c>
      <c r="P275" s="55">
        <f t="shared" si="33"/>
        <v>166034447</v>
      </c>
      <c r="Q275" s="53"/>
      <c r="R275" s="59"/>
      <c r="W275" s="53">
        <f t="shared" si="36"/>
        <v>0</v>
      </c>
    </row>
    <row r="276" spans="1:23" ht="38.25" hidden="1">
      <c r="A276" s="74"/>
      <c r="B276" s="74" t="s">
        <v>123</v>
      </c>
      <c r="C276" s="74" t="s">
        <v>455</v>
      </c>
      <c r="D276" s="36" t="s">
        <v>124</v>
      </c>
      <c r="E276" s="38">
        <f>F276+I276</f>
        <v>0</v>
      </c>
      <c r="F276" s="38"/>
      <c r="G276" s="38"/>
      <c r="H276" s="38"/>
      <c r="I276" s="38"/>
      <c r="J276" s="38">
        <f t="shared" si="35"/>
        <v>0</v>
      </c>
      <c r="K276" s="38"/>
      <c r="L276" s="38"/>
      <c r="M276" s="38"/>
      <c r="N276" s="38">
        <f>O276</f>
        <v>0</v>
      </c>
      <c r="O276" s="76"/>
      <c r="P276" s="55">
        <f t="shared" si="33"/>
        <v>0</v>
      </c>
      <c r="Q276" s="53"/>
      <c r="R276" s="59"/>
      <c r="W276" s="53">
        <f t="shared" si="36"/>
        <v>0</v>
      </c>
    </row>
    <row r="277" spans="1:23" ht="63.75" hidden="1">
      <c r="A277" s="39"/>
      <c r="B277" s="39" t="s">
        <v>353</v>
      </c>
      <c r="C277" s="39"/>
      <c r="D277" s="58" t="s">
        <v>354</v>
      </c>
      <c r="E277" s="38"/>
      <c r="F277" s="38"/>
      <c r="G277" s="38"/>
      <c r="H277" s="38"/>
      <c r="I277" s="38"/>
      <c r="J277" s="38">
        <f t="shared" si="35"/>
        <v>0</v>
      </c>
      <c r="K277" s="38"/>
      <c r="L277" s="38"/>
      <c r="M277" s="38"/>
      <c r="N277" s="38">
        <f>O277</f>
        <v>0</v>
      </c>
      <c r="O277" s="38"/>
      <c r="P277" s="55">
        <f t="shared" si="33"/>
        <v>0</v>
      </c>
      <c r="Q277" s="53"/>
      <c r="R277" s="59"/>
      <c r="W277" s="53">
        <f t="shared" si="36"/>
        <v>0</v>
      </c>
    </row>
    <row r="278" spans="1:23" ht="24" customHeight="1">
      <c r="A278" s="39"/>
      <c r="B278" s="39" t="s">
        <v>367</v>
      </c>
      <c r="C278" s="39"/>
      <c r="D278" s="58" t="s">
        <v>368</v>
      </c>
      <c r="E278" s="38">
        <f>E279</f>
        <v>115295853</v>
      </c>
      <c r="F278" s="38">
        <f>F279</f>
        <v>115295853</v>
      </c>
      <c r="G278" s="38">
        <f>G279</f>
        <v>0</v>
      </c>
      <c r="H278" s="38">
        <f>H279</f>
        <v>0</v>
      </c>
      <c r="I278" s="38"/>
      <c r="J278" s="38">
        <f t="shared" si="35"/>
        <v>81341298</v>
      </c>
      <c r="K278" s="38">
        <f>K279</f>
        <v>389888</v>
      </c>
      <c r="L278" s="38">
        <f>L279</f>
        <v>0</v>
      </c>
      <c r="M278" s="38">
        <f>M279</f>
        <v>0</v>
      </c>
      <c r="N278" s="38">
        <f>N279</f>
        <v>80951410</v>
      </c>
      <c r="O278" s="38">
        <f>O279</f>
        <v>80951410</v>
      </c>
      <c r="P278" s="55">
        <f t="shared" si="33"/>
        <v>196637151</v>
      </c>
      <c r="Q278" s="53"/>
      <c r="R278" s="59"/>
      <c r="W278" s="53">
        <f t="shared" si="36"/>
        <v>0</v>
      </c>
    </row>
    <row r="279" spans="1:23" ht="51">
      <c r="A279" s="39"/>
      <c r="B279" s="74" t="s">
        <v>7</v>
      </c>
      <c r="C279" s="74" t="s">
        <v>475</v>
      </c>
      <c r="D279" s="36" t="s">
        <v>239</v>
      </c>
      <c r="E279" s="38">
        <f>F279+I279</f>
        <v>115295853</v>
      </c>
      <c r="F279" s="38">
        <f>115685741-389888</f>
        <v>115295853</v>
      </c>
      <c r="G279" s="38"/>
      <c r="H279" s="38"/>
      <c r="I279" s="38"/>
      <c r="J279" s="38">
        <f>K279+N279</f>
        <v>81341298</v>
      </c>
      <c r="K279" s="38">
        <v>389888</v>
      </c>
      <c r="L279" s="38"/>
      <c r="M279" s="38"/>
      <c r="N279" s="38">
        <f>O279</f>
        <v>80951410</v>
      </c>
      <c r="O279" s="38">
        <f>62716011+24370303+207260+3900+2894626+15309526-1-625138-297885-247417-19547488-3858398+26111</f>
        <v>80951410</v>
      </c>
      <c r="P279" s="55">
        <f t="shared" si="33"/>
        <v>196637151</v>
      </c>
      <c r="Q279" s="53"/>
      <c r="R279" s="59"/>
      <c r="W279" s="53">
        <f t="shared" si="36"/>
        <v>0</v>
      </c>
    </row>
    <row r="280" spans="1:23" ht="76.5" hidden="1">
      <c r="A280" s="39"/>
      <c r="B280" s="39"/>
      <c r="C280" s="39"/>
      <c r="D280" s="68" t="s">
        <v>198</v>
      </c>
      <c r="E280" s="38"/>
      <c r="F280" s="38"/>
      <c r="G280" s="38"/>
      <c r="H280" s="38"/>
      <c r="I280" s="38"/>
      <c r="J280" s="38">
        <f t="shared" si="35"/>
        <v>0</v>
      </c>
      <c r="K280" s="38"/>
      <c r="L280" s="38"/>
      <c r="M280" s="38"/>
      <c r="N280" s="38"/>
      <c r="O280" s="38"/>
      <c r="P280" s="55">
        <f t="shared" si="33"/>
        <v>0</v>
      </c>
      <c r="Q280" s="53"/>
      <c r="R280" s="59"/>
      <c r="W280" s="53">
        <f t="shared" si="36"/>
        <v>0</v>
      </c>
    </row>
    <row r="281" spans="1:23" ht="25.5">
      <c r="A281" s="39"/>
      <c r="B281" s="39" t="s">
        <v>376</v>
      </c>
      <c r="C281" s="39"/>
      <c r="D281" s="58" t="s">
        <v>377</v>
      </c>
      <c r="E281" s="38">
        <f>E282</f>
        <v>0</v>
      </c>
      <c r="F281" s="38">
        <f>F282</f>
        <v>0</v>
      </c>
      <c r="G281" s="38">
        <f>G282</f>
        <v>0</v>
      </c>
      <c r="H281" s="38">
        <f>H282</f>
        <v>0</v>
      </c>
      <c r="I281" s="38"/>
      <c r="J281" s="38">
        <f t="shared" si="35"/>
        <v>4839436</v>
      </c>
      <c r="K281" s="38">
        <f>K282</f>
        <v>0</v>
      </c>
      <c r="L281" s="38">
        <f>L282</f>
        <v>0</v>
      </c>
      <c r="M281" s="38">
        <f>M282</f>
        <v>0</v>
      </c>
      <c r="N281" s="38">
        <f>N282</f>
        <v>4839436</v>
      </c>
      <c r="O281" s="38">
        <f>O282</f>
        <v>4839436</v>
      </c>
      <c r="P281" s="55">
        <f t="shared" si="33"/>
        <v>4839436</v>
      </c>
      <c r="Q281" s="53"/>
      <c r="R281" s="59"/>
      <c r="W281" s="53">
        <f t="shared" si="36"/>
        <v>0</v>
      </c>
    </row>
    <row r="282" spans="1:23" ht="51">
      <c r="A282" s="39"/>
      <c r="B282" s="39" t="s">
        <v>355</v>
      </c>
      <c r="C282" s="74" t="s">
        <v>443</v>
      </c>
      <c r="D282" s="68" t="s">
        <v>211</v>
      </c>
      <c r="E282" s="38"/>
      <c r="F282" s="38"/>
      <c r="G282" s="38"/>
      <c r="H282" s="38"/>
      <c r="I282" s="38"/>
      <c r="J282" s="38">
        <f t="shared" si="35"/>
        <v>4839436</v>
      </c>
      <c r="K282" s="38"/>
      <c r="L282" s="38"/>
      <c r="M282" s="38"/>
      <c r="N282" s="38">
        <f>O282</f>
        <v>4839436</v>
      </c>
      <c r="O282" s="76">
        <f>44095430-39515430+259436</f>
        <v>4839436</v>
      </c>
      <c r="P282" s="55">
        <f t="shared" si="33"/>
        <v>4839436</v>
      </c>
      <c r="Q282" s="53"/>
      <c r="R282" s="59"/>
      <c r="W282" s="53">
        <f t="shared" si="36"/>
        <v>0</v>
      </c>
    </row>
    <row r="283" spans="1:23" ht="25.5" hidden="1">
      <c r="A283" s="39"/>
      <c r="B283" s="74" t="s">
        <v>407</v>
      </c>
      <c r="C283" s="39"/>
      <c r="D283" s="131" t="s">
        <v>405</v>
      </c>
      <c r="E283" s="38"/>
      <c r="F283" s="38"/>
      <c r="G283" s="38"/>
      <c r="H283" s="38"/>
      <c r="I283" s="38">
        <f>I284</f>
        <v>0</v>
      </c>
      <c r="J283" s="38">
        <f t="shared" si="35"/>
        <v>0</v>
      </c>
      <c r="K283" s="38"/>
      <c r="L283" s="38"/>
      <c r="M283" s="38"/>
      <c r="N283" s="38">
        <f>O283</f>
        <v>0</v>
      </c>
      <c r="O283" s="76">
        <f>O284</f>
        <v>0</v>
      </c>
      <c r="P283" s="55">
        <f t="shared" si="33"/>
        <v>0</v>
      </c>
      <c r="Q283" s="53"/>
      <c r="R283" s="59"/>
      <c r="W283" s="53">
        <f t="shared" si="36"/>
        <v>0</v>
      </c>
    </row>
    <row r="284" spans="1:23" ht="12.75" hidden="1">
      <c r="A284" s="39"/>
      <c r="B284" s="74" t="s">
        <v>426</v>
      </c>
      <c r="C284" s="74" t="s">
        <v>453</v>
      </c>
      <c r="D284" s="131" t="s">
        <v>427</v>
      </c>
      <c r="E284" s="38"/>
      <c r="F284" s="38"/>
      <c r="G284" s="38"/>
      <c r="H284" s="38"/>
      <c r="I284" s="38"/>
      <c r="J284" s="38">
        <f t="shared" si="35"/>
        <v>0</v>
      </c>
      <c r="K284" s="38"/>
      <c r="L284" s="38"/>
      <c r="M284" s="38"/>
      <c r="N284" s="38">
        <f>O284</f>
        <v>0</v>
      </c>
      <c r="O284" s="76"/>
      <c r="P284" s="55">
        <f t="shared" si="33"/>
        <v>0</v>
      </c>
      <c r="Q284" s="53"/>
      <c r="R284" s="59"/>
      <c r="W284" s="53">
        <f t="shared" si="36"/>
        <v>0</v>
      </c>
    </row>
    <row r="285" spans="1:23" ht="38.25" hidden="1">
      <c r="A285" s="39"/>
      <c r="B285" s="74" t="s">
        <v>194</v>
      </c>
      <c r="C285" s="39"/>
      <c r="D285" s="60" t="s">
        <v>351</v>
      </c>
      <c r="E285" s="38">
        <f>F285</f>
        <v>0</v>
      </c>
      <c r="F285" s="38">
        <f>F286</f>
        <v>0</v>
      </c>
      <c r="G285" s="38"/>
      <c r="H285" s="38"/>
      <c r="I285" s="38"/>
      <c r="J285" s="38"/>
      <c r="K285" s="38"/>
      <c r="L285" s="38"/>
      <c r="M285" s="38"/>
      <c r="N285" s="38"/>
      <c r="O285" s="76"/>
      <c r="P285" s="55">
        <f t="shared" si="33"/>
        <v>0</v>
      </c>
      <c r="Q285" s="53"/>
      <c r="R285" s="59"/>
      <c r="W285" s="53"/>
    </row>
    <row r="286" spans="1:23" ht="38.25" hidden="1">
      <c r="A286" s="39"/>
      <c r="B286" s="39" t="s">
        <v>285</v>
      </c>
      <c r="C286" s="74" t="s">
        <v>479</v>
      </c>
      <c r="D286" s="73" t="s">
        <v>241</v>
      </c>
      <c r="E286" s="38">
        <f>F286</f>
        <v>0</v>
      </c>
      <c r="F286" s="38"/>
      <c r="G286" s="38"/>
      <c r="H286" s="38"/>
      <c r="I286" s="38"/>
      <c r="J286" s="38"/>
      <c r="K286" s="38"/>
      <c r="L286" s="38"/>
      <c r="M286" s="38"/>
      <c r="N286" s="38"/>
      <c r="O286" s="76"/>
      <c r="P286" s="55">
        <f t="shared" si="33"/>
        <v>0</v>
      </c>
      <c r="Q286" s="53"/>
      <c r="R286" s="59"/>
      <c r="W286" s="53"/>
    </row>
    <row r="287" spans="1:23" s="149" customFormat="1" ht="12.75">
      <c r="A287" s="144"/>
      <c r="B287" s="39" t="s">
        <v>369</v>
      </c>
      <c r="C287" s="39"/>
      <c r="D287" s="60" t="s">
        <v>373</v>
      </c>
      <c r="E287" s="38">
        <f>F287+I287</f>
        <v>0</v>
      </c>
      <c r="F287" s="38">
        <f>F288</f>
        <v>0</v>
      </c>
      <c r="G287" s="38"/>
      <c r="H287" s="38"/>
      <c r="I287" s="38">
        <f>I288</f>
        <v>0</v>
      </c>
      <c r="J287" s="38">
        <f t="shared" si="35"/>
        <v>1907500</v>
      </c>
      <c r="K287" s="38">
        <f>K288</f>
        <v>0</v>
      </c>
      <c r="L287" s="38">
        <f>L288</f>
        <v>0</v>
      </c>
      <c r="M287" s="38">
        <f>M288</f>
        <v>0</v>
      </c>
      <c r="N287" s="38">
        <f>N288</f>
        <v>1907500</v>
      </c>
      <c r="O287" s="38">
        <f>O288</f>
        <v>0</v>
      </c>
      <c r="P287" s="55">
        <f t="shared" si="33"/>
        <v>1907500</v>
      </c>
      <c r="Q287" s="145"/>
      <c r="R287" s="148"/>
      <c r="W287" s="145">
        <f t="shared" si="36"/>
        <v>1907500</v>
      </c>
    </row>
    <row r="288" spans="1:23" s="149" customFormat="1" ht="25.5">
      <c r="A288" s="144"/>
      <c r="B288" s="39" t="s">
        <v>337</v>
      </c>
      <c r="C288" s="74" t="s">
        <v>454</v>
      </c>
      <c r="D288" s="60" t="s">
        <v>352</v>
      </c>
      <c r="E288" s="38">
        <f>F288+I288</f>
        <v>0</v>
      </c>
      <c r="F288" s="38"/>
      <c r="G288" s="38"/>
      <c r="H288" s="38"/>
      <c r="I288" s="38"/>
      <c r="J288" s="38">
        <f t="shared" si="35"/>
        <v>1907500</v>
      </c>
      <c r="K288" s="38">
        <f>1700000-1700000</f>
        <v>0</v>
      </c>
      <c r="L288" s="38"/>
      <c r="M288" s="38"/>
      <c r="N288" s="38">
        <f>1907500+1592500-1592500</f>
        <v>1907500</v>
      </c>
      <c r="O288" s="38"/>
      <c r="P288" s="55">
        <f t="shared" si="33"/>
        <v>1907500</v>
      </c>
      <c r="Q288" s="145"/>
      <c r="R288" s="148"/>
      <c r="W288" s="145">
        <f>N288-O288</f>
        <v>1907500</v>
      </c>
    </row>
    <row r="289" spans="1:23" ht="14.25" customHeight="1">
      <c r="A289" s="39"/>
      <c r="B289" s="39" t="s">
        <v>371</v>
      </c>
      <c r="C289" s="39"/>
      <c r="D289" s="43" t="s">
        <v>372</v>
      </c>
      <c r="E289" s="38">
        <f>E290</f>
        <v>103439207</v>
      </c>
      <c r="F289" s="38">
        <f>F290</f>
        <v>103439207</v>
      </c>
      <c r="G289" s="38">
        <f>G290</f>
        <v>0</v>
      </c>
      <c r="H289" s="38">
        <f>H290</f>
        <v>0</v>
      </c>
      <c r="I289" s="38"/>
      <c r="J289" s="38">
        <f t="shared" si="35"/>
        <v>341697</v>
      </c>
      <c r="K289" s="38">
        <f>K290</f>
        <v>0</v>
      </c>
      <c r="L289" s="38">
        <f>L290</f>
        <v>0</v>
      </c>
      <c r="M289" s="38">
        <f>M290</f>
        <v>0</v>
      </c>
      <c r="N289" s="38">
        <f>N290</f>
        <v>341697</v>
      </c>
      <c r="O289" s="38">
        <f>O290</f>
        <v>341697</v>
      </c>
      <c r="P289" s="55">
        <f t="shared" si="33"/>
        <v>103780904</v>
      </c>
      <c r="Q289" s="53"/>
      <c r="R289" s="59"/>
      <c r="W289" s="53">
        <f t="shared" si="36"/>
        <v>0</v>
      </c>
    </row>
    <row r="290" spans="1:23" ht="13.5" customHeight="1">
      <c r="A290" s="39"/>
      <c r="B290" s="39" t="s">
        <v>288</v>
      </c>
      <c r="C290" s="74" t="s">
        <v>444</v>
      </c>
      <c r="D290" s="36" t="s">
        <v>316</v>
      </c>
      <c r="E290" s="38">
        <f>SUM(E291:E296)</f>
        <v>103439207</v>
      </c>
      <c r="F290" s="38">
        <f>SUM(F291:F296)</f>
        <v>103439207</v>
      </c>
      <c r="G290" s="38"/>
      <c r="H290" s="38"/>
      <c r="I290" s="38"/>
      <c r="J290" s="38">
        <f t="shared" si="35"/>
        <v>341697</v>
      </c>
      <c r="K290" s="38"/>
      <c r="L290" s="38"/>
      <c r="M290" s="38"/>
      <c r="N290" s="38">
        <f>O290</f>
        <v>341697</v>
      </c>
      <c r="O290" s="38">
        <f>SUM(O291:O297)</f>
        <v>341697</v>
      </c>
      <c r="P290" s="55">
        <f t="shared" si="33"/>
        <v>103780904</v>
      </c>
      <c r="Q290" s="53"/>
      <c r="R290" s="59"/>
      <c r="W290" s="53">
        <f t="shared" si="36"/>
        <v>0</v>
      </c>
    </row>
    <row r="291" spans="1:23" s="158" customFormat="1" ht="25.5" hidden="1">
      <c r="A291" s="152"/>
      <c r="B291" s="39"/>
      <c r="C291" s="39"/>
      <c r="D291" s="36" t="s">
        <v>482</v>
      </c>
      <c r="E291" s="38">
        <f aca="true" t="shared" si="37" ref="E291:E297">F291+I291</f>
        <v>0</v>
      </c>
      <c r="F291" s="38">
        <f>(20000)-(20000)</f>
        <v>0</v>
      </c>
      <c r="G291" s="38"/>
      <c r="H291" s="38"/>
      <c r="I291" s="38"/>
      <c r="J291" s="38">
        <f t="shared" si="35"/>
        <v>0</v>
      </c>
      <c r="K291" s="38"/>
      <c r="L291" s="38"/>
      <c r="M291" s="38"/>
      <c r="N291" s="38">
        <f>O291</f>
        <v>0</v>
      </c>
      <c r="O291" s="38"/>
      <c r="P291" s="55">
        <f t="shared" si="33"/>
        <v>0</v>
      </c>
      <c r="Q291" s="156"/>
      <c r="R291" s="157"/>
      <c r="W291" s="156">
        <f t="shared" si="36"/>
        <v>0</v>
      </c>
    </row>
    <row r="292" spans="1:23" s="158" customFormat="1" ht="25.5" hidden="1">
      <c r="A292" s="152"/>
      <c r="B292" s="39"/>
      <c r="C292" s="39"/>
      <c r="D292" s="36" t="s">
        <v>204</v>
      </c>
      <c r="E292" s="38">
        <f t="shared" si="37"/>
        <v>100000000</v>
      </c>
      <c r="F292" s="38">
        <f>50000000+50000000</f>
        <v>100000000</v>
      </c>
      <c r="G292" s="38"/>
      <c r="H292" s="38"/>
      <c r="I292" s="38"/>
      <c r="J292" s="38">
        <f t="shared" si="35"/>
        <v>0</v>
      </c>
      <c r="K292" s="38"/>
      <c r="L292" s="38"/>
      <c r="M292" s="38"/>
      <c r="N292" s="38"/>
      <c r="O292" s="38"/>
      <c r="P292" s="55">
        <f t="shared" si="33"/>
        <v>100000000</v>
      </c>
      <c r="Q292" s="156"/>
      <c r="R292" s="157"/>
      <c r="W292" s="156">
        <f t="shared" si="36"/>
        <v>0</v>
      </c>
    </row>
    <row r="293" spans="1:23" s="158" customFormat="1" ht="12.75" hidden="1">
      <c r="A293" s="152"/>
      <c r="B293" s="39"/>
      <c r="C293" s="39"/>
      <c r="D293" s="36" t="s">
        <v>484</v>
      </c>
      <c r="E293" s="38">
        <f>F293</f>
        <v>0</v>
      </c>
      <c r="F293" s="38">
        <f>195000-195000</f>
        <v>0</v>
      </c>
      <c r="G293" s="38"/>
      <c r="H293" s="38"/>
      <c r="I293" s="38"/>
      <c r="J293" s="38"/>
      <c r="K293" s="38"/>
      <c r="L293" s="38"/>
      <c r="M293" s="38"/>
      <c r="N293" s="38"/>
      <c r="O293" s="38"/>
      <c r="P293" s="55">
        <f t="shared" si="33"/>
        <v>0</v>
      </c>
      <c r="Q293" s="156"/>
      <c r="R293" s="157"/>
      <c r="W293" s="156"/>
    </row>
    <row r="294" spans="1:23" s="158" customFormat="1" ht="38.25" hidden="1">
      <c r="A294" s="152"/>
      <c r="B294" s="39"/>
      <c r="C294" s="39"/>
      <c r="D294" s="36" t="s">
        <v>205</v>
      </c>
      <c r="E294" s="38">
        <f t="shared" si="37"/>
        <v>308836</v>
      </c>
      <c r="F294" s="38">
        <v>308836</v>
      </c>
      <c r="G294" s="38"/>
      <c r="H294" s="38"/>
      <c r="I294" s="38"/>
      <c r="J294" s="38">
        <f t="shared" si="35"/>
        <v>0</v>
      </c>
      <c r="K294" s="38"/>
      <c r="L294" s="38"/>
      <c r="M294" s="38"/>
      <c r="N294" s="38"/>
      <c r="O294" s="38"/>
      <c r="P294" s="55">
        <f t="shared" si="33"/>
        <v>308836</v>
      </c>
      <c r="Q294" s="156"/>
      <c r="R294" s="157"/>
      <c r="W294" s="156">
        <f t="shared" si="36"/>
        <v>0</v>
      </c>
    </row>
    <row r="295" spans="1:23" s="158" customFormat="1" ht="25.5" hidden="1">
      <c r="A295" s="152"/>
      <c r="B295" s="39"/>
      <c r="C295" s="39"/>
      <c r="D295" s="36" t="s">
        <v>492</v>
      </c>
      <c r="E295" s="38">
        <f t="shared" si="37"/>
        <v>353947</v>
      </c>
      <c r="F295" s="38">
        <v>353947</v>
      </c>
      <c r="G295" s="38"/>
      <c r="H295" s="38"/>
      <c r="I295" s="38"/>
      <c r="J295" s="38">
        <f t="shared" si="35"/>
        <v>0</v>
      </c>
      <c r="K295" s="38"/>
      <c r="L295" s="38"/>
      <c r="M295" s="38"/>
      <c r="N295" s="38"/>
      <c r="O295" s="38"/>
      <c r="P295" s="55">
        <f t="shared" si="33"/>
        <v>353947</v>
      </c>
      <c r="Q295" s="156"/>
      <c r="R295" s="157"/>
      <c r="W295" s="156">
        <f t="shared" si="36"/>
        <v>0</v>
      </c>
    </row>
    <row r="296" spans="1:23" s="158" customFormat="1" ht="12.75" hidden="1">
      <c r="A296" s="152"/>
      <c r="B296" s="39"/>
      <c r="C296" s="39"/>
      <c r="D296" s="68" t="s">
        <v>36</v>
      </c>
      <c r="E296" s="38">
        <f t="shared" si="37"/>
        <v>2776424</v>
      </c>
      <c r="F296" s="38">
        <v>2776424</v>
      </c>
      <c r="G296" s="38"/>
      <c r="H296" s="38"/>
      <c r="I296" s="38"/>
      <c r="J296" s="38">
        <f>K296+N296</f>
        <v>0</v>
      </c>
      <c r="K296" s="38"/>
      <c r="L296" s="38"/>
      <c r="M296" s="38"/>
      <c r="N296" s="38">
        <f>O296</f>
        <v>0</v>
      </c>
      <c r="O296" s="38"/>
      <c r="P296" s="55">
        <f t="shared" si="33"/>
        <v>2776424</v>
      </c>
      <c r="Q296" s="156"/>
      <c r="R296" s="157"/>
      <c r="W296" s="156">
        <f t="shared" si="36"/>
        <v>0</v>
      </c>
    </row>
    <row r="297" spans="1:23" s="158" customFormat="1" ht="12.75" hidden="1">
      <c r="A297" s="152"/>
      <c r="B297" s="39"/>
      <c r="C297" s="39"/>
      <c r="D297" s="68" t="s">
        <v>46</v>
      </c>
      <c r="E297" s="38">
        <f t="shared" si="37"/>
        <v>0</v>
      </c>
      <c r="F297" s="38"/>
      <c r="G297" s="38"/>
      <c r="H297" s="38"/>
      <c r="I297" s="38"/>
      <c r="J297" s="38">
        <f t="shared" si="35"/>
        <v>341697</v>
      </c>
      <c r="K297" s="38"/>
      <c r="L297" s="38"/>
      <c r="M297" s="38"/>
      <c r="N297" s="38">
        <f>O297</f>
        <v>341697</v>
      </c>
      <c r="O297" s="38">
        <f>363849-22152</f>
        <v>341697</v>
      </c>
      <c r="P297" s="55">
        <f>E297+J297</f>
        <v>341697</v>
      </c>
      <c r="Q297" s="156"/>
      <c r="R297" s="157"/>
      <c r="W297" s="156">
        <f t="shared" si="36"/>
        <v>0</v>
      </c>
    </row>
    <row r="298" spans="1:23" ht="24">
      <c r="A298" s="98"/>
      <c r="B298" s="98" t="s">
        <v>176</v>
      </c>
      <c r="C298" s="98"/>
      <c r="D298" s="106" t="s">
        <v>129</v>
      </c>
      <c r="E298" s="51">
        <f>E300+E305</f>
        <v>4526206</v>
      </c>
      <c r="F298" s="51">
        <f>F300+F305</f>
        <v>4526206</v>
      </c>
      <c r="G298" s="51">
        <f aca="true" t="shared" si="38" ref="G298:O298">G300+G305</f>
        <v>2864025</v>
      </c>
      <c r="H298" s="51">
        <f t="shared" si="38"/>
        <v>190000</v>
      </c>
      <c r="I298" s="51"/>
      <c r="J298" s="51">
        <f aca="true" t="shared" si="39" ref="J298:J306">K298+N298</f>
        <v>28941</v>
      </c>
      <c r="K298" s="51">
        <f t="shared" si="38"/>
        <v>0</v>
      </c>
      <c r="L298" s="51">
        <f t="shared" si="38"/>
        <v>0</v>
      </c>
      <c r="M298" s="51">
        <f t="shared" si="38"/>
        <v>0</v>
      </c>
      <c r="N298" s="51">
        <f t="shared" si="38"/>
        <v>28941</v>
      </c>
      <c r="O298" s="51">
        <f t="shared" si="38"/>
        <v>28941</v>
      </c>
      <c r="P298" s="52">
        <f aca="true" t="shared" si="40" ref="P298:P343">E298+J298</f>
        <v>4555147</v>
      </c>
      <c r="Q298" s="53"/>
      <c r="R298" s="59"/>
      <c r="W298" s="53">
        <f t="shared" si="36"/>
        <v>0</v>
      </c>
    </row>
    <row r="299" spans="1:23" ht="12.75">
      <c r="A299" s="42"/>
      <c r="B299" s="42" t="s">
        <v>362</v>
      </c>
      <c r="C299" s="42"/>
      <c r="D299" s="43" t="s">
        <v>363</v>
      </c>
      <c r="E299" s="37">
        <f>E300</f>
        <v>4526206</v>
      </c>
      <c r="F299" s="37">
        <f>F300</f>
        <v>4526206</v>
      </c>
      <c r="G299" s="37">
        <f>G300</f>
        <v>2864025</v>
      </c>
      <c r="H299" s="37">
        <f>H300</f>
        <v>190000</v>
      </c>
      <c r="I299" s="37"/>
      <c r="J299" s="38">
        <f t="shared" si="39"/>
        <v>28941</v>
      </c>
      <c r="K299" s="37"/>
      <c r="L299" s="37"/>
      <c r="M299" s="37"/>
      <c r="N299" s="37">
        <f>N300</f>
        <v>28941</v>
      </c>
      <c r="O299" s="37">
        <f>O300</f>
        <v>28941</v>
      </c>
      <c r="P299" s="55">
        <f t="shared" si="40"/>
        <v>4555147</v>
      </c>
      <c r="Q299" s="53"/>
      <c r="R299" s="59"/>
      <c r="W299" s="53">
        <f t="shared" si="36"/>
        <v>0</v>
      </c>
    </row>
    <row r="300" spans="1:23" ht="12.75">
      <c r="A300" s="39"/>
      <c r="B300" s="39" t="s">
        <v>249</v>
      </c>
      <c r="C300" s="74" t="s">
        <v>441</v>
      </c>
      <c r="D300" s="58" t="s">
        <v>250</v>
      </c>
      <c r="E300" s="38">
        <f>F300</f>
        <v>4526206</v>
      </c>
      <c r="F300" s="38">
        <f>4417388-338416+6500+349048+75136+16550</f>
        <v>4526206</v>
      </c>
      <c r="G300" s="38">
        <f>2496019+5325+349048+13633</f>
        <v>2864025</v>
      </c>
      <c r="H300" s="38">
        <v>190000</v>
      </c>
      <c r="I300" s="38"/>
      <c r="J300" s="38">
        <f t="shared" si="39"/>
        <v>28941</v>
      </c>
      <c r="K300" s="38"/>
      <c r="L300" s="38"/>
      <c r="M300" s="38"/>
      <c r="N300" s="76">
        <f>O300</f>
        <v>28941</v>
      </c>
      <c r="O300" s="76">
        <v>28941</v>
      </c>
      <c r="P300" s="55">
        <f t="shared" si="40"/>
        <v>4555147</v>
      </c>
      <c r="Q300" s="53"/>
      <c r="R300" s="59"/>
      <c r="W300" s="53">
        <f t="shared" si="36"/>
        <v>0</v>
      </c>
    </row>
    <row r="301" spans="1:23" ht="12.75" hidden="1">
      <c r="A301" s="39"/>
      <c r="B301" s="39" t="s">
        <v>338</v>
      </c>
      <c r="C301" s="39"/>
      <c r="D301" s="58" t="s">
        <v>339</v>
      </c>
      <c r="E301" s="38"/>
      <c r="F301" s="38"/>
      <c r="G301" s="38"/>
      <c r="H301" s="38"/>
      <c r="I301" s="38"/>
      <c r="J301" s="38">
        <f t="shared" si="39"/>
        <v>0</v>
      </c>
      <c r="K301" s="38"/>
      <c r="L301" s="38"/>
      <c r="M301" s="38"/>
      <c r="N301" s="38"/>
      <c r="O301" s="38"/>
      <c r="P301" s="55">
        <f t="shared" si="40"/>
        <v>0</v>
      </c>
      <c r="Q301" s="53"/>
      <c r="R301" s="59"/>
      <c r="W301" s="53">
        <f t="shared" si="36"/>
        <v>0</v>
      </c>
    </row>
    <row r="302" spans="1:23" s="54" customFormat="1" ht="178.5" hidden="1">
      <c r="A302" s="39"/>
      <c r="B302" s="39" t="s">
        <v>82</v>
      </c>
      <c r="C302" s="39"/>
      <c r="D302" s="68" t="s">
        <v>65</v>
      </c>
      <c r="E302" s="38"/>
      <c r="F302" s="38"/>
      <c r="G302" s="38"/>
      <c r="H302" s="38"/>
      <c r="I302" s="38"/>
      <c r="J302" s="38">
        <f t="shared" si="39"/>
        <v>0</v>
      </c>
      <c r="K302" s="38"/>
      <c r="L302" s="38"/>
      <c r="M302" s="38"/>
      <c r="N302" s="38"/>
      <c r="O302" s="38"/>
      <c r="P302" s="55">
        <f t="shared" si="40"/>
        <v>0</v>
      </c>
      <c r="Q302" s="53"/>
      <c r="R302" s="53"/>
      <c r="W302" s="53">
        <f t="shared" si="36"/>
        <v>0</v>
      </c>
    </row>
    <row r="303" spans="1:23" ht="12.75" hidden="1">
      <c r="A303" s="39"/>
      <c r="B303" s="39" t="s">
        <v>369</v>
      </c>
      <c r="C303" s="39"/>
      <c r="D303" s="36" t="s">
        <v>373</v>
      </c>
      <c r="E303" s="38"/>
      <c r="F303" s="38"/>
      <c r="G303" s="38"/>
      <c r="H303" s="38"/>
      <c r="I303" s="38"/>
      <c r="J303" s="38">
        <f t="shared" si="39"/>
        <v>0</v>
      </c>
      <c r="K303" s="38">
        <f>K304</f>
        <v>0</v>
      </c>
      <c r="L303" s="38">
        <f>L304</f>
        <v>0</v>
      </c>
      <c r="M303" s="38">
        <f>M304</f>
        <v>0</v>
      </c>
      <c r="N303" s="38">
        <f>N304</f>
        <v>0</v>
      </c>
      <c r="O303" s="38">
        <f>O304</f>
        <v>0</v>
      </c>
      <c r="P303" s="55">
        <f t="shared" si="40"/>
        <v>0</v>
      </c>
      <c r="Q303" s="53"/>
      <c r="R303" s="59"/>
      <c r="W303" s="53">
        <f t="shared" si="36"/>
        <v>0</v>
      </c>
    </row>
    <row r="304" spans="1:23" ht="25.5" hidden="1">
      <c r="A304" s="39"/>
      <c r="B304" s="39" t="s">
        <v>287</v>
      </c>
      <c r="C304" s="39"/>
      <c r="D304" s="36" t="s">
        <v>333</v>
      </c>
      <c r="E304" s="38"/>
      <c r="F304" s="38"/>
      <c r="G304" s="38"/>
      <c r="H304" s="38"/>
      <c r="I304" s="38"/>
      <c r="J304" s="38">
        <f t="shared" si="39"/>
        <v>0</v>
      </c>
      <c r="K304" s="38"/>
      <c r="L304" s="38"/>
      <c r="M304" s="38"/>
      <c r="N304" s="38"/>
      <c r="O304" s="38"/>
      <c r="P304" s="55">
        <f t="shared" si="40"/>
        <v>0</v>
      </c>
      <c r="Q304" s="53"/>
      <c r="R304" s="59"/>
      <c r="W304" s="53">
        <f t="shared" si="36"/>
        <v>0</v>
      </c>
    </row>
    <row r="305" spans="1:23" ht="25.5" hidden="1">
      <c r="A305" s="39"/>
      <c r="B305" s="39" t="s">
        <v>371</v>
      </c>
      <c r="C305" s="39"/>
      <c r="D305" s="43" t="s">
        <v>372</v>
      </c>
      <c r="E305" s="38">
        <f>E306</f>
        <v>0</v>
      </c>
      <c r="F305" s="38">
        <f>F306</f>
        <v>0</v>
      </c>
      <c r="G305" s="38">
        <f>G306</f>
        <v>0</v>
      </c>
      <c r="H305" s="38">
        <f>H306</f>
        <v>0</v>
      </c>
      <c r="I305" s="38"/>
      <c r="J305" s="38">
        <f t="shared" si="39"/>
        <v>0</v>
      </c>
      <c r="K305" s="38">
        <f>K306</f>
        <v>0</v>
      </c>
      <c r="L305" s="38">
        <f>L306</f>
        <v>0</v>
      </c>
      <c r="M305" s="38">
        <f>M306</f>
        <v>0</v>
      </c>
      <c r="N305" s="38">
        <f>N306</f>
        <v>0</v>
      </c>
      <c r="O305" s="38">
        <f>O306</f>
        <v>0</v>
      </c>
      <c r="P305" s="55">
        <f t="shared" si="40"/>
        <v>0</v>
      </c>
      <c r="Q305" s="53"/>
      <c r="R305" s="59"/>
      <c r="W305" s="53">
        <f t="shared" si="36"/>
        <v>0</v>
      </c>
    </row>
    <row r="306" spans="1:23" ht="12.75" hidden="1">
      <c r="A306" s="39"/>
      <c r="B306" s="39" t="s">
        <v>288</v>
      </c>
      <c r="C306" s="74" t="s">
        <v>444</v>
      </c>
      <c r="D306" s="36" t="s">
        <v>316</v>
      </c>
      <c r="E306" s="38">
        <f>E308+E307</f>
        <v>0</v>
      </c>
      <c r="F306" s="38">
        <f>F308+F307</f>
        <v>0</v>
      </c>
      <c r="G306" s="38"/>
      <c r="H306" s="38"/>
      <c r="I306" s="38">
        <f>I308</f>
        <v>0</v>
      </c>
      <c r="J306" s="38">
        <f t="shared" si="39"/>
        <v>0</v>
      </c>
      <c r="K306" s="38"/>
      <c r="L306" s="38"/>
      <c r="M306" s="38"/>
      <c r="N306" s="38"/>
      <c r="O306" s="38"/>
      <c r="P306" s="55">
        <f t="shared" si="40"/>
        <v>0</v>
      </c>
      <c r="Q306" s="53"/>
      <c r="R306" s="59"/>
      <c r="W306" s="53">
        <f t="shared" si="36"/>
        <v>0</v>
      </c>
    </row>
    <row r="307" spans="1:23" s="158" customFormat="1" ht="25.5" hidden="1">
      <c r="A307" s="152"/>
      <c r="B307" s="39"/>
      <c r="C307" s="39"/>
      <c r="D307" s="36" t="s">
        <v>489</v>
      </c>
      <c r="E307" s="38">
        <f>F307</f>
        <v>0</v>
      </c>
      <c r="F307" s="38"/>
      <c r="G307" s="38"/>
      <c r="H307" s="38"/>
      <c r="I307" s="38"/>
      <c r="J307" s="38"/>
      <c r="K307" s="38"/>
      <c r="L307" s="38"/>
      <c r="M307" s="38"/>
      <c r="N307" s="38"/>
      <c r="O307" s="38"/>
      <c r="P307" s="55">
        <f t="shared" si="40"/>
        <v>0</v>
      </c>
      <c r="Q307" s="156"/>
      <c r="R307" s="157"/>
      <c r="W307" s="156"/>
    </row>
    <row r="308" spans="1:23" s="158" customFormat="1" ht="24" hidden="1">
      <c r="A308" s="152"/>
      <c r="B308" s="39"/>
      <c r="C308" s="39"/>
      <c r="D308" s="169" t="s">
        <v>105</v>
      </c>
      <c r="E308" s="38">
        <f>F308+I308</f>
        <v>0</v>
      </c>
      <c r="F308" s="38"/>
      <c r="G308" s="38"/>
      <c r="H308" s="38"/>
      <c r="I308" s="38"/>
      <c r="J308" s="38"/>
      <c r="K308" s="38"/>
      <c r="L308" s="38"/>
      <c r="M308" s="38"/>
      <c r="N308" s="38"/>
      <c r="O308" s="38"/>
      <c r="P308" s="55">
        <f t="shared" si="40"/>
        <v>0</v>
      </c>
      <c r="Q308" s="156"/>
      <c r="R308" s="157"/>
      <c r="W308" s="156">
        <f t="shared" si="36"/>
        <v>0</v>
      </c>
    </row>
    <row r="309" spans="1:23" ht="28.5" customHeight="1">
      <c r="A309" s="98"/>
      <c r="B309" s="98" t="s">
        <v>180</v>
      </c>
      <c r="C309" s="98"/>
      <c r="D309" s="104" t="s">
        <v>128</v>
      </c>
      <c r="E309" s="51">
        <f>E310+E315</f>
        <v>4790473</v>
      </c>
      <c r="F309" s="51">
        <f>F310+F315</f>
        <v>4790473</v>
      </c>
      <c r="G309" s="51">
        <f>G310+G315</f>
        <v>2882468</v>
      </c>
      <c r="H309" s="51">
        <f>H310+H315</f>
        <v>303658</v>
      </c>
      <c r="I309" s="51"/>
      <c r="J309" s="51">
        <f aca="true" t="shared" si="41" ref="J309:O309">J311+J315+J312</f>
        <v>2462330</v>
      </c>
      <c r="K309" s="51">
        <f t="shared" si="41"/>
        <v>0</v>
      </c>
      <c r="L309" s="51">
        <f t="shared" si="41"/>
        <v>0</v>
      </c>
      <c r="M309" s="51">
        <f t="shared" si="41"/>
        <v>0</v>
      </c>
      <c r="N309" s="51">
        <f t="shared" si="41"/>
        <v>2462330</v>
      </c>
      <c r="O309" s="51">
        <f t="shared" si="41"/>
        <v>2462330</v>
      </c>
      <c r="P309" s="52">
        <f t="shared" si="40"/>
        <v>7252803</v>
      </c>
      <c r="Q309" s="53"/>
      <c r="R309" s="59"/>
      <c r="W309" s="53">
        <f t="shared" si="36"/>
        <v>0</v>
      </c>
    </row>
    <row r="310" spans="1:23" ht="12.75">
      <c r="A310" s="42"/>
      <c r="B310" s="42" t="s">
        <v>362</v>
      </c>
      <c r="C310" s="42"/>
      <c r="D310" s="43" t="s">
        <v>363</v>
      </c>
      <c r="E310" s="37">
        <f>E311</f>
        <v>4398962</v>
      </c>
      <c r="F310" s="37">
        <f>F311</f>
        <v>4398962</v>
      </c>
      <c r="G310" s="37">
        <f>G311</f>
        <v>2882468</v>
      </c>
      <c r="H310" s="37">
        <f>H311</f>
        <v>303658</v>
      </c>
      <c r="I310" s="37"/>
      <c r="J310" s="38">
        <f aca="true" t="shared" si="42" ref="J310:J319">K310+N310</f>
        <v>104770</v>
      </c>
      <c r="K310" s="37"/>
      <c r="L310" s="37"/>
      <c r="M310" s="37"/>
      <c r="N310" s="37">
        <f>O310</f>
        <v>104770</v>
      </c>
      <c r="O310" s="37">
        <f>O311</f>
        <v>104770</v>
      </c>
      <c r="P310" s="55">
        <f t="shared" si="40"/>
        <v>4503732</v>
      </c>
      <c r="Q310" s="53"/>
      <c r="R310" s="59"/>
      <c r="W310" s="53">
        <f t="shared" si="36"/>
        <v>0</v>
      </c>
    </row>
    <row r="311" spans="1:23" ht="12.75">
      <c r="A311" s="39"/>
      <c r="B311" s="39" t="s">
        <v>249</v>
      </c>
      <c r="C311" s="74" t="s">
        <v>441</v>
      </c>
      <c r="D311" s="58" t="s">
        <v>250</v>
      </c>
      <c r="E311" s="38">
        <f>F311</f>
        <v>4398962</v>
      </c>
      <c r="F311" s="38">
        <f>4158138-195721+365991+82550-11996</f>
        <v>4398962</v>
      </c>
      <c r="G311" s="38">
        <f>2413715+112595+365991-9833</f>
        <v>2882468</v>
      </c>
      <c r="H311" s="37">
        <v>303658</v>
      </c>
      <c r="I311" s="37"/>
      <c r="J311" s="38">
        <f t="shared" si="42"/>
        <v>104770</v>
      </c>
      <c r="K311" s="38"/>
      <c r="L311" s="38"/>
      <c r="M311" s="38"/>
      <c r="N311" s="38">
        <f>O311</f>
        <v>104770</v>
      </c>
      <c r="O311" s="38">
        <v>104770</v>
      </c>
      <c r="P311" s="55">
        <f t="shared" si="40"/>
        <v>4503732</v>
      </c>
      <c r="Q311" s="53"/>
      <c r="R311" s="59"/>
      <c r="W311" s="53">
        <f t="shared" si="36"/>
        <v>0</v>
      </c>
    </row>
    <row r="312" spans="1:23" s="54" customFormat="1" ht="12.75">
      <c r="A312" s="74"/>
      <c r="B312" s="74" t="s">
        <v>366</v>
      </c>
      <c r="C312" s="74"/>
      <c r="D312" s="75" t="s">
        <v>283</v>
      </c>
      <c r="E312" s="38"/>
      <c r="F312" s="38"/>
      <c r="G312" s="38"/>
      <c r="H312" s="38"/>
      <c r="I312" s="38"/>
      <c r="J312" s="38">
        <f t="shared" si="42"/>
        <v>2357560</v>
      </c>
      <c r="K312" s="38">
        <f>K313</f>
        <v>0</v>
      </c>
      <c r="L312" s="38"/>
      <c r="M312" s="38"/>
      <c r="N312" s="38">
        <f>N313</f>
        <v>2357560</v>
      </c>
      <c r="O312" s="38">
        <f>O313</f>
        <v>2357560</v>
      </c>
      <c r="P312" s="55">
        <f t="shared" si="40"/>
        <v>2357560</v>
      </c>
      <c r="Q312" s="53"/>
      <c r="R312" s="53"/>
      <c r="W312" s="53">
        <f t="shared" si="36"/>
        <v>0</v>
      </c>
    </row>
    <row r="313" spans="1:23" s="57" customFormat="1" ht="25.5">
      <c r="A313" s="74"/>
      <c r="B313" s="74" t="s">
        <v>93</v>
      </c>
      <c r="C313" s="74" t="s">
        <v>476</v>
      </c>
      <c r="D313" s="73" t="s">
        <v>94</v>
      </c>
      <c r="E313" s="38"/>
      <c r="F313" s="38"/>
      <c r="G313" s="38"/>
      <c r="H313" s="38"/>
      <c r="I313" s="38"/>
      <c r="J313" s="38">
        <f t="shared" si="42"/>
        <v>2357560</v>
      </c>
      <c r="K313" s="38"/>
      <c r="L313" s="38"/>
      <c r="M313" s="38"/>
      <c r="N313" s="38">
        <f>O313</f>
        <v>2357560</v>
      </c>
      <c r="O313" s="38">
        <v>2357560</v>
      </c>
      <c r="P313" s="55">
        <f t="shared" si="40"/>
        <v>2357560</v>
      </c>
      <c r="Q313" s="53"/>
      <c r="R313" s="56"/>
      <c r="W313" s="53">
        <f t="shared" si="36"/>
        <v>0</v>
      </c>
    </row>
    <row r="314" spans="1:23" ht="16.5" customHeight="1">
      <c r="A314" s="39"/>
      <c r="B314" s="39" t="s">
        <v>371</v>
      </c>
      <c r="C314" s="39"/>
      <c r="D314" s="60" t="s">
        <v>372</v>
      </c>
      <c r="E314" s="38">
        <f>E315</f>
        <v>391511</v>
      </c>
      <c r="F314" s="38">
        <f>F315</f>
        <v>391511</v>
      </c>
      <c r="G314" s="38"/>
      <c r="H314" s="38"/>
      <c r="I314" s="38"/>
      <c r="J314" s="38">
        <f t="shared" si="42"/>
        <v>0</v>
      </c>
      <c r="K314" s="38"/>
      <c r="L314" s="38"/>
      <c r="M314" s="38"/>
      <c r="N314" s="38">
        <f>N315</f>
        <v>0</v>
      </c>
      <c r="O314" s="38">
        <f>O315</f>
        <v>0</v>
      </c>
      <c r="P314" s="55">
        <f t="shared" si="40"/>
        <v>391511</v>
      </c>
      <c r="Q314" s="53"/>
      <c r="R314" s="59"/>
      <c r="W314" s="53">
        <f t="shared" si="36"/>
        <v>0</v>
      </c>
    </row>
    <row r="315" spans="1:23" ht="12.75">
      <c r="A315" s="39"/>
      <c r="B315" s="39" t="s">
        <v>288</v>
      </c>
      <c r="C315" s="74" t="s">
        <v>444</v>
      </c>
      <c r="D315" s="36" t="s">
        <v>316</v>
      </c>
      <c r="E315" s="38">
        <f>E319+E317+E318+E316</f>
        <v>391511</v>
      </c>
      <c r="F315" s="38">
        <f>F319+F317+F318+F316</f>
        <v>391511</v>
      </c>
      <c r="G315" s="38">
        <f>G319+G317</f>
        <v>0</v>
      </c>
      <c r="H315" s="38">
        <f>H319+H317</f>
        <v>0</v>
      </c>
      <c r="I315" s="38"/>
      <c r="J315" s="38">
        <f t="shared" si="42"/>
        <v>0</v>
      </c>
      <c r="K315" s="38">
        <f>K319+K317+K318</f>
        <v>0</v>
      </c>
      <c r="L315" s="38">
        <f>L319+L317+L318</f>
        <v>0</v>
      </c>
      <c r="M315" s="38">
        <f>M319+M317+M318</f>
        <v>0</v>
      </c>
      <c r="N315" s="38">
        <f>N319+N317+N318</f>
        <v>0</v>
      </c>
      <c r="O315" s="38">
        <f>O319+O317+O318</f>
        <v>0</v>
      </c>
      <c r="P315" s="55">
        <f t="shared" si="40"/>
        <v>391511</v>
      </c>
      <c r="Q315" s="53"/>
      <c r="R315" s="59"/>
      <c r="W315" s="53">
        <f t="shared" si="36"/>
        <v>0</v>
      </c>
    </row>
    <row r="316" spans="1:23" s="158" customFormat="1" ht="25.5" hidden="1">
      <c r="A316" s="152"/>
      <c r="B316" s="39"/>
      <c r="C316" s="39"/>
      <c r="D316" s="36" t="s">
        <v>197</v>
      </c>
      <c r="E316" s="38">
        <f>F316+I316</f>
        <v>0</v>
      </c>
      <c r="F316" s="38"/>
      <c r="G316" s="38"/>
      <c r="H316" s="38"/>
      <c r="I316" s="38"/>
      <c r="J316" s="38"/>
      <c r="K316" s="38"/>
      <c r="L316" s="38"/>
      <c r="M316" s="38"/>
      <c r="N316" s="38"/>
      <c r="O316" s="38"/>
      <c r="P316" s="55">
        <f t="shared" si="40"/>
        <v>0</v>
      </c>
      <c r="Q316" s="156"/>
      <c r="R316" s="157"/>
      <c r="W316" s="156">
        <f t="shared" si="36"/>
        <v>0</v>
      </c>
    </row>
    <row r="317" spans="1:23" s="158" customFormat="1" ht="38.25" hidden="1">
      <c r="A317" s="152"/>
      <c r="B317" s="39"/>
      <c r="C317" s="39"/>
      <c r="D317" s="60" t="s">
        <v>386</v>
      </c>
      <c r="E317" s="38">
        <f>F317+I317</f>
        <v>0</v>
      </c>
      <c r="F317" s="38"/>
      <c r="G317" s="38"/>
      <c r="H317" s="38"/>
      <c r="I317" s="38"/>
      <c r="J317" s="38">
        <f t="shared" si="42"/>
        <v>0</v>
      </c>
      <c r="K317" s="38"/>
      <c r="L317" s="38"/>
      <c r="M317" s="38"/>
      <c r="N317" s="38">
        <f>O317</f>
        <v>0</v>
      </c>
      <c r="O317" s="38"/>
      <c r="P317" s="55">
        <f t="shared" si="40"/>
        <v>0</v>
      </c>
      <c r="Q317" s="156"/>
      <c r="R317" s="157"/>
      <c r="W317" s="156">
        <f t="shared" si="36"/>
        <v>0</v>
      </c>
    </row>
    <row r="318" spans="1:23" s="158" customFormat="1" ht="25.5" hidden="1">
      <c r="A318" s="152"/>
      <c r="B318" s="39"/>
      <c r="C318" s="39"/>
      <c r="D318" s="36" t="s">
        <v>95</v>
      </c>
      <c r="E318" s="38">
        <f>F318+I318</f>
        <v>0</v>
      </c>
      <c r="F318" s="38"/>
      <c r="G318" s="38"/>
      <c r="H318" s="38"/>
      <c r="I318" s="38"/>
      <c r="J318" s="38">
        <f t="shared" si="42"/>
        <v>0</v>
      </c>
      <c r="K318" s="38"/>
      <c r="L318" s="38"/>
      <c r="M318" s="38"/>
      <c r="N318" s="38">
        <f>O318</f>
        <v>0</v>
      </c>
      <c r="O318" s="38"/>
      <c r="P318" s="55">
        <f t="shared" si="40"/>
        <v>0</v>
      </c>
      <c r="Q318" s="156"/>
      <c r="R318" s="157"/>
      <c r="W318" s="156">
        <f t="shared" si="36"/>
        <v>0</v>
      </c>
    </row>
    <row r="319" spans="1:23" s="158" customFormat="1" ht="51" hidden="1">
      <c r="A319" s="152"/>
      <c r="B319" s="39"/>
      <c r="C319" s="39"/>
      <c r="D319" s="36" t="s">
        <v>73</v>
      </c>
      <c r="E319" s="38">
        <f>F319+I319</f>
        <v>391511</v>
      </c>
      <c r="F319" s="38">
        <v>391511</v>
      </c>
      <c r="G319" s="38"/>
      <c r="H319" s="38"/>
      <c r="I319" s="38"/>
      <c r="J319" s="38">
        <f t="shared" si="42"/>
        <v>0</v>
      </c>
      <c r="K319" s="38"/>
      <c r="L319" s="38"/>
      <c r="M319" s="38"/>
      <c r="N319" s="38"/>
      <c r="O319" s="38"/>
      <c r="P319" s="55">
        <f t="shared" si="40"/>
        <v>391511</v>
      </c>
      <c r="Q319" s="156"/>
      <c r="R319" s="157"/>
      <c r="W319" s="156">
        <f t="shared" si="36"/>
        <v>0</v>
      </c>
    </row>
    <row r="320" spans="1:23" s="57" customFormat="1" ht="25.5">
      <c r="A320" s="98"/>
      <c r="B320" s="98" t="s">
        <v>182</v>
      </c>
      <c r="C320" s="98"/>
      <c r="D320" s="97" t="s">
        <v>145</v>
      </c>
      <c r="E320" s="51">
        <f aca="true" t="shared" si="43" ref="E320:H321">E321</f>
        <v>1185051</v>
      </c>
      <c r="F320" s="51">
        <f t="shared" si="43"/>
        <v>1185051</v>
      </c>
      <c r="G320" s="51">
        <f t="shared" si="43"/>
        <v>818196</v>
      </c>
      <c r="H320" s="51">
        <f t="shared" si="43"/>
        <v>26223</v>
      </c>
      <c r="I320" s="51"/>
      <c r="J320" s="51">
        <f aca="true" t="shared" si="44" ref="J320:J327">K320+N320</f>
        <v>0</v>
      </c>
      <c r="K320" s="51"/>
      <c r="L320" s="51"/>
      <c r="M320" s="51"/>
      <c r="N320" s="51">
        <f>N321</f>
        <v>0</v>
      </c>
      <c r="O320" s="51">
        <f>O321</f>
        <v>0</v>
      </c>
      <c r="P320" s="52">
        <f t="shared" si="40"/>
        <v>1185051</v>
      </c>
      <c r="Q320" s="53"/>
      <c r="W320" s="53">
        <f t="shared" si="36"/>
        <v>0</v>
      </c>
    </row>
    <row r="321" spans="1:23" s="57" customFormat="1" ht="12.75">
      <c r="A321" s="42"/>
      <c r="B321" s="42" t="s">
        <v>362</v>
      </c>
      <c r="C321" s="42"/>
      <c r="D321" s="43" t="s">
        <v>363</v>
      </c>
      <c r="E321" s="38">
        <f t="shared" si="43"/>
        <v>1185051</v>
      </c>
      <c r="F321" s="38">
        <f>F322</f>
        <v>1185051</v>
      </c>
      <c r="G321" s="38">
        <f t="shared" si="43"/>
        <v>818196</v>
      </c>
      <c r="H321" s="38">
        <f t="shared" si="43"/>
        <v>26223</v>
      </c>
      <c r="I321" s="38"/>
      <c r="J321" s="38">
        <f t="shared" si="44"/>
        <v>0</v>
      </c>
      <c r="K321" s="38"/>
      <c r="L321" s="38"/>
      <c r="M321" s="38"/>
      <c r="N321" s="38">
        <f>N322</f>
        <v>0</v>
      </c>
      <c r="O321" s="38">
        <f>O322</f>
        <v>0</v>
      </c>
      <c r="P321" s="55">
        <f t="shared" si="40"/>
        <v>1185051</v>
      </c>
      <c r="Q321" s="53"/>
      <c r="W321" s="53">
        <f t="shared" si="36"/>
        <v>0</v>
      </c>
    </row>
    <row r="322" spans="1:23" s="57" customFormat="1" ht="12.75">
      <c r="A322" s="39"/>
      <c r="B322" s="39" t="s">
        <v>249</v>
      </c>
      <c r="C322" s="74" t="s">
        <v>441</v>
      </c>
      <c r="D322" s="58" t="s">
        <v>250</v>
      </c>
      <c r="E322" s="38">
        <f>F322+I322</f>
        <v>1185051</v>
      </c>
      <c r="F322" s="38">
        <f>1145659-82390+98658+24017-893</f>
        <v>1185051</v>
      </c>
      <c r="G322" s="38">
        <f>705150+15120+98658-732</f>
        <v>818196</v>
      </c>
      <c r="H322" s="37">
        <v>26223</v>
      </c>
      <c r="I322" s="37"/>
      <c r="J322" s="38">
        <f t="shared" si="44"/>
        <v>0</v>
      </c>
      <c r="K322" s="38"/>
      <c r="L322" s="38"/>
      <c r="M322" s="38"/>
      <c r="N322" s="38">
        <f>O322</f>
        <v>0</v>
      </c>
      <c r="O322" s="38"/>
      <c r="P322" s="55">
        <f t="shared" si="40"/>
        <v>1185051</v>
      </c>
      <c r="Q322" s="53"/>
      <c r="W322" s="53">
        <f t="shared" si="36"/>
        <v>0</v>
      </c>
    </row>
    <row r="323" spans="1:23" ht="25.5">
      <c r="A323" s="98"/>
      <c r="B323" s="98" t="s">
        <v>186</v>
      </c>
      <c r="C323" s="98"/>
      <c r="D323" s="107" t="s">
        <v>146</v>
      </c>
      <c r="E323" s="51">
        <f>E325+E326</f>
        <v>2184910</v>
      </c>
      <c r="F323" s="51">
        <f>F325+F326</f>
        <v>2184910</v>
      </c>
      <c r="G323" s="51">
        <f aca="true" t="shared" si="45" ref="G323:O323">G325+G326</f>
        <v>1533910</v>
      </c>
      <c r="H323" s="51">
        <f t="shared" si="45"/>
        <v>116971</v>
      </c>
      <c r="I323" s="51"/>
      <c r="J323" s="51">
        <f t="shared" si="44"/>
        <v>15861</v>
      </c>
      <c r="K323" s="51">
        <f t="shared" si="45"/>
        <v>0</v>
      </c>
      <c r="L323" s="51">
        <f t="shared" si="45"/>
        <v>0</v>
      </c>
      <c r="M323" s="51">
        <f t="shared" si="45"/>
        <v>0</v>
      </c>
      <c r="N323" s="51">
        <f t="shared" si="45"/>
        <v>15861</v>
      </c>
      <c r="O323" s="51">
        <f t="shared" si="45"/>
        <v>15861</v>
      </c>
      <c r="P323" s="51">
        <f t="shared" si="40"/>
        <v>2200771</v>
      </c>
      <c r="Q323" s="53"/>
      <c r="R323" s="59"/>
      <c r="W323" s="53">
        <f t="shared" si="36"/>
        <v>0</v>
      </c>
    </row>
    <row r="324" spans="1:23" ht="12.75">
      <c r="A324" s="39"/>
      <c r="B324" s="39" t="s">
        <v>362</v>
      </c>
      <c r="C324" s="39"/>
      <c r="D324" s="43" t="s">
        <v>363</v>
      </c>
      <c r="E324" s="38">
        <f>E325</f>
        <v>2184910</v>
      </c>
      <c r="F324" s="38">
        <f>F325</f>
        <v>2184910</v>
      </c>
      <c r="G324" s="38">
        <f>G325</f>
        <v>1533910</v>
      </c>
      <c r="H324" s="38">
        <f>H325</f>
        <v>116971</v>
      </c>
      <c r="I324" s="38"/>
      <c r="J324" s="38">
        <f t="shared" si="44"/>
        <v>15861</v>
      </c>
      <c r="K324" s="38">
        <f>K325</f>
        <v>0</v>
      </c>
      <c r="L324" s="38">
        <f>L325</f>
        <v>0</v>
      </c>
      <c r="M324" s="38">
        <f>M325</f>
        <v>0</v>
      </c>
      <c r="N324" s="38">
        <f>N325</f>
        <v>15861</v>
      </c>
      <c r="O324" s="38">
        <f>O325</f>
        <v>15861</v>
      </c>
      <c r="P324" s="55">
        <f t="shared" si="40"/>
        <v>2200771</v>
      </c>
      <c r="Q324" s="53"/>
      <c r="R324" s="59"/>
      <c r="W324" s="53">
        <f t="shared" si="36"/>
        <v>0</v>
      </c>
    </row>
    <row r="325" spans="1:23" ht="12.75">
      <c r="A325" s="39"/>
      <c r="B325" s="39" t="s">
        <v>249</v>
      </c>
      <c r="C325" s="74" t="s">
        <v>441</v>
      </c>
      <c r="D325" s="58" t="s">
        <v>250</v>
      </c>
      <c r="E325" s="38">
        <f>F325+I325</f>
        <v>2184910</v>
      </c>
      <c r="F325" s="38">
        <f>2092485-156117+3900+191683+44457+8502</f>
        <v>2184910</v>
      </c>
      <c r="G325" s="38">
        <f>1309708+25550+191683+6969</f>
        <v>1533910</v>
      </c>
      <c r="H325" s="37">
        <v>116971</v>
      </c>
      <c r="I325" s="37"/>
      <c r="J325" s="38">
        <f t="shared" si="44"/>
        <v>15861</v>
      </c>
      <c r="K325" s="38"/>
      <c r="L325" s="38"/>
      <c r="M325" s="38"/>
      <c r="N325" s="38">
        <f>O325</f>
        <v>15861</v>
      </c>
      <c r="O325" s="38">
        <v>15861</v>
      </c>
      <c r="P325" s="55">
        <f t="shared" si="40"/>
        <v>2200771</v>
      </c>
      <c r="Q325" s="53"/>
      <c r="R325" s="59"/>
      <c r="W325" s="53">
        <f t="shared" si="36"/>
        <v>0</v>
      </c>
    </row>
    <row r="326" spans="1:23" s="54" customFormat="1" ht="25.5" hidden="1">
      <c r="A326" s="74"/>
      <c r="B326" s="74" t="s">
        <v>147</v>
      </c>
      <c r="C326" s="74"/>
      <c r="D326" s="73" t="s">
        <v>148</v>
      </c>
      <c r="E326" s="38"/>
      <c r="F326" s="38"/>
      <c r="G326" s="38"/>
      <c r="H326" s="38"/>
      <c r="I326" s="38"/>
      <c r="J326" s="38">
        <f t="shared" si="44"/>
        <v>0</v>
      </c>
      <c r="K326" s="38">
        <f>K327</f>
        <v>0</v>
      </c>
      <c r="L326" s="38">
        <f>L327</f>
        <v>0</v>
      </c>
      <c r="M326" s="38">
        <f>M327</f>
        <v>0</v>
      </c>
      <c r="N326" s="38">
        <f>N327</f>
        <v>0</v>
      </c>
      <c r="O326" s="38">
        <f>O327</f>
        <v>0</v>
      </c>
      <c r="P326" s="55">
        <f t="shared" si="40"/>
        <v>0</v>
      </c>
      <c r="Q326" s="53"/>
      <c r="R326" s="53"/>
      <c r="W326" s="53">
        <f t="shared" si="36"/>
        <v>0</v>
      </c>
    </row>
    <row r="327" spans="1:23" ht="12.75" hidden="1">
      <c r="A327" s="74"/>
      <c r="B327" s="74" t="s">
        <v>149</v>
      </c>
      <c r="C327" s="74"/>
      <c r="D327" s="73" t="s">
        <v>150</v>
      </c>
      <c r="E327" s="38"/>
      <c r="F327" s="38"/>
      <c r="G327" s="38"/>
      <c r="H327" s="38"/>
      <c r="I327" s="38"/>
      <c r="J327" s="38">
        <f t="shared" si="44"/>
        <v>0</v>
      </c>
      <c r="K327" s="38"/>
      <c r="L327" s="38"/>
      <c r="M327" s="38"/>
      <c r="N327" s="38"/>
      <c r="O327" s="38"/>
      <c r="P327" s="55">
        <f t="shared" si="40"/>
        <v>0</v>
      </c>
      <c r="Q327" s="53"/>
      <c r="W327" s="53">
        <f t="shared" si="36"/>
        <v>0</v>
      </c>
    </row>
    <row r="328" spans="1:23" ht="25.5">
      <c r="A328" s="98"/>
      <c r="B328" s="98" t="s">
        <v>181</v>
      </c>
      <c r="C328" s="98"/>
      <c r="D328" s="104" t="s">
        <v>132</v>
      </c>
      <c r="E328" s="51">
        <f>E330+E341+E335</f>
        <v>1466981</v>
      </c>
      <c r="F328" s="51">
        <f>F330+F341+F335</f>
        <v>1466981</v>
      </c>
      <c r="G328" s="51">
        <f>G330+G341+G335</f>
        <v>1033468</v>
      </c>
      <c r="H328" s="51">
        <f>H330+H341+H335</f>
        <v>62500</v>
      </c>
      <c r="I328" s="51">
        <f>I330+I341+I335</f>
        <v>0</v>
      </c>
      <c r="J328" s="51">
        <f>K328+N328</f>
        <v>20961500</v>
      </c>
      <c r="K328" s="51">
        <f>K330+K337+K341+K340+K334+K331+K338</f>
        <v>292000</v>
      </c>
      <c r="L328" s="51">
        <f>L330+L337+L341+L340</f>
        <v>0</v>
      </c>
      <c r="M328" s="51">
        <f>M330+M337+M341+M340</f>
        <v>0</v>
      </c>
      <c r="N328" s="51">
        <f>N330+N337+N341+N340+N334+N331+N338</f>
        <v>20669500</v>
      </c>
      <c r="O328" s="51">
        <f>O330+O337+O341+O340+O334+O331+O338</f>
        <v>39000</v>
      </c>
      <c r="P328" s="52">
        <f t="shared" si="40"/>
        <v>22428481</v>
      </c>
      <c r="Q328" s="53"/>
      <c r="R328" s="59"/>
      <c r="W328" s="53">
        <f>N328-O328</f>
        <v>20630500</v>
      </c>
    </row>
    <row r="329" spans="1:23" ht="12.75">
      <c r="A329" s="42"/>
      <c r="B329" s="42" t="s">
        <v>362</v>
      </c>
      <c r="C329" s="42"/>
      <c r="D329" s="43" t="s">
        <v>363</v>
      </c>
      <c r="E329" s="37">
        <f>E330</f>
        <v>1466981</v>
      </c>
      <c r="F329" s="37">
        <f>F330</f>
        <v>1466981</v>
      </c>
      <c r="G329" s="37">
        <f>G330</f>
        <v>1033468</v>
      </c>
      <c r="H329" s="37">
        <f>H330</f>
        <v>62500</v>
      </c>
      <c r="I329" s="37"/>
      <c r="J329" s="38">
        <f aca="true" t="shared" si="46" ref="J329:J343">K329+N329</f>
        <v>39000</v>
      </c>
      <c r="K329" s="37"/>
      <c r="L329" s="37"/>
      <c r="M329" s="37"/>
      <c r="N329" s="37">
        <f aca="true" t="shared" si="47" ref="N329:N334">O329</f>
        <v>39000</v>
      </c>
      <c r="O329" s="37">
        <f>O330</f>
        <v>39000</v>
      </c>
      <c r="P329" s="55">
        <f t="shared" si="40"/>
        <v>1505981</v>
      </c>
      <c r="Q329" s="53"/>
      <c r="R329" s="59"/>
      <c r="W329" s="53">
        <f t="shared" si="36"/>
        <v>0</v>
      </c>
    </row>
    <row r="330" spans="1:23" ht="12.75">
      <c r="A330" s="39"/>
      <c r="B330" s="39" t="s">
        <v>249</v>
      </c>
      <c r="C330" s="74" t="s">
        <v>441</v>
      </c>
      <c r="D330" s="58" t="s">
        <v>250</v>
      </c>
      <c r="E330" s="38">
        <f>F330+I330</f>
        <v>1466981</v>
      </c>
      <c r="F330" s="38">
        <f>1376372-115329+36799+126370+27945+14824</f>
        <v>1466981</v>
      </c>
      <c r="G330" s="38">
        <f>885667+9280+126370+12151</f>
        <v>1033468</v>
      </c>
      <c r="H330" s="38">
        <v>62500</v>
      </c>
      <c r="I330" s="38"/>
      <c r="J330" s="38">
        <f t="shared" si="46"/>
        <v>39000</v>
      </c>
      <c r="K330" s="38"/>
      <c r="L330" s="38"/>
      <c r="M330" s="38"/>
      <c r="N330" s="38">
        <f t="shared" si="47"/>
        <v>39000</v>
      </c>
      <c r="O330" s="38">
        <v>39000</v>
      </c>
      <c r="P330" s="55">
        <f t="shared" si="40"/>
        <v>1505981</v>
      </c>
      <c r="Q330" s="53"/>
      <c r="R330" s="59"/>
      <c r="W330" s="53">
        <f t="shared" si="36"/>
        <v>0</v>
      </c>
    </row>
    <row r="331" spans="1:23" ht="12.75" hidden="1">
      <c r="A331" s="39"/>
      <c r="B331" s="39" t="s">
        <v>366</v>
      </c>
      <c r="C331" s="39"/>
      <c r="D331" s="36" t="s">
        <v>283</v>
      </c>
      <c r="E331" s="38"/>
      <c r="F331" s="38"/>
      <c r="G331" s="38"/>
      <c r="H331" s="38"/>
      <c r="I331" s="38"/>
      <c r="J331" s="38">
        <f t="shared" si="46"/>
        <v>0</v>
      </c>
      <c r="K331" s="38"/>
      <c r="L331" s="38"/>
      <c r="M331" s="38"/>
      <c r="N331" s="38">
        <f t="shared" si="47"/>
        <v>0</v>
      </c>
      <c r="O331" s="38">
        <f>O332</f>
        <v>0</v>
      </c>
      <c r="P331" s="55">
        <f t="shared" si="40"/>
        <v>0</v>
      </c>
      <c r="Q331" s="53"/>
      <c r="R331" s="59"/>
      <c r="W331" s="53">
        <f t="shared" si="36"/>
        <v>0</v>
      </c>
    </row>
    <row r="332" spans="1:23" ht="12.75" hidden="1">
      <c r="A332" s="39"/>
      <c r="B332" s="39" t="s">
        <v>338</v>
      </c>
      <c r="C332" s="39"/>
      <c r="D332" s="36" t="s">
        <v>339</v>
      </c>
      <c r="E332" s="38"/>
      <c r="F332" s="38"/>
      <c r="G332" s="38"/>
      <c r="H332" s="38"/>
      <c r="I332" s="38"/>
      <c r="J332" s="38">
        <f t="shared" si="46"/>
        <v>0</v>
      </c>
      <c r="K332" s="38"/>
      <c r="L332" s="38"/>
      <c r="M332" s="38"/>
      <c r="N332" s="38">
        <f t="shared" si="47"/>
        <v>0</v>
      </c>
      <c r="O332" s="38">
        <f>2000000-2000000</f>
        <v>0</v>
      </c>
      <c r="P332" s="55">
        <f t="shared" si="40"/>
        <v>0</v>
      </c>
      <c r="Q332" s="53"/>
      <c r="R332" s="59"/>
      <c r="W332" s="53">
        <f t="shared" si="36"/>
        <v>0</v>
      </c>
    </row>
    <row r="333" spans="1:23" ht="25.5" hidden="1">
      <c r="A333" s="39"/>
      <c r="B333" s="39" t="s">
        <v>376</v>
      </c>
      <c r="C333" s="39"/>
      <c r="D333" s="58" t="s">
        <v>377</v>
      </c>
      <c r="E333" s="38"/>
      <c r="F333" s="38"/>
      <c r="G333" s="38"/>
      <c r="H333" s="38"/>
      <c r="I333" s="38"/>
      <c r="J333" s="38">
        <f t="shared" si="46"/>
        <v>0</v>
      </c>
      <c r="K333" s="38"/>
      <c r="L333" s="38"/>
      <c r="M333" s="38"/>
      <c r="N333" s="38">
        <f t="shared" si="47"/>
        <v>0</v>
      </c>
      <c r="O333" s="38">
        <f>O334</f>
        <v>0</v>
      </c>
      <c r="P333" s="55">
        <f t="shared" si="40"/>
        <v>0</v>
      </c>
      <c r="Q333" s="53"/>
      <c r="R333" s="59"/>
      <c r="W333" s="53">
        <f t="shared" si="36"/>
        <v>0</v>
      </c>
    </row>
    <row r="334" spans="1:23" ht="51" hidden="1">
      <c r="A334" s="39"/>
      <c r="B334" s="39" t="s">
        <v>355</v>
      </c>
      <c r="C334" s="39"/>
      <c r="D334" s="68" t="s">
        <v>211</v>
      </c>
      <c r="E334" s="38"/>
      <c r="F334" s="38"/>
      <c r="G334" s="38"/>
      <c r="H334" s="38"/>
      <c r="I334" s="38"/>
      <c r="J334" s="38">
        <f t="shared" si="46"/>
        <v>0</v>
      </c>
      <c r="K334" s="38"/>
      <c r="L334" s="38"/>
      <c r="M334" s="38"/>
      <c r="N334" s="38">
        <f t="shared" si="47"/>
        <v>0</v>
      </c>
      <c r="O334" s="38">
        <f>4800000-4800000</f>
        <v>0</v>
      </c>
      <c r="P334" s="55">
        <f t="shared" si="40"/>
        <v>0</v>
      </c>
      <c r="Q334" s="53"/>
      <c r="R334" s="59"/>
      <c r="W334" s="53">
        <f t="shared" si="36"/>
        <v>0</v>
      </c>
    </row>
    <row r="335" spans="1:23" ht="25.5" hidden="1">
      <c r="A335" s="74"/>
      <c r="B335" s="74" t="s">
        <v>407</v>
      </c>
      <c r="C335" s="139"/>
      <c r="D335" s="134" t="s">
        <v>405</v>
      </c>
      <c r="E335" s="38">
        <f>E336+E337</f>
        <v>0</v>
      </c>
      <c r="F335" s="38">
        <f>F336+F337</f>
        <v>0</v>
      </c>
      <c r="G335" s="38"/>
      <c r="H335" s="38"/>
      <c r="I335" s="38">
        <f>I336+I337</f>
        <v>0</v>
      </c>
      <c r="J335" s="38">
        <f t="shared" si="46"/>
        <v>0</v>
      </c>
      <c r="K335" s="38"/>
      <c r="L335" s="38"/>
      <c r="M335" s="38"/>
      <c r="N335" s="38">
        <f>O335</f>
        <v>0</v>
      </c>
      <c r="O335" s="38">
        <f>O336+O337</f>
        <v>0</v>
      </c>
      <c r="P335" s="55">
        <f t="shared" si="40"/>
        <v>0</v>
      </c>
      <c r="Q335" s="53"/>
      <c r="R335" s="59"/>
      <c r="W335" s="53">
        <f t="shared" si="36"/>
        <v>0</v>
      </c>
    </row>
    <row r="336" spans="1:23" ht="25.5" hidden="1">
      <c r="A336" s="74"/>
      <c r="B336" s="74" t="s">
        <v>404</v>
      </c>
      <c r="C336" s="139" t="s">
        <v>454</v>
      </c>
      <c r="D336" s="134" t="s">
        <v>406</v>
      </c>
      <c r="E336" s="38">
        <f>F336+I336</f>
        <v>0</v>
      </c>
      <c r="F336" s="38"/>
      <c r="G336" s="38"/>
      <c r="H336" s="38"/>
      <c r="I336" s="38"/>
      <c r="J336" s="38"/>
      <c r="K336" s="38"/>
      <c r="L336" s="38"/>
      <c r="M336" s="38"/>
      <c r="N336" s="38"/>
      <c r="O336" s="38"/>
      <c r="P336" s="55">
        <f t="shared" si="40"/>
        <v>0</v>
      </c>
      <c r="Q336" s="53"/>
      <c r="R336" s="59"/>
      <c r="W336" s="53">
        <f t="shared" si="36"/>
        <v>0</v>
      </c>
    </row>
    <row r="337" spans="1:23" ht="12.75" hidden="1">
      <c r="A337" s="39"/>
      <c r="B337" s="74" t="s">
        <v>426</v>
      </c>
      <c r="C337" s="74" t="s">
        <v>453</v>
      </c>
      <c r="D337" s="58" t="s">
        <v>427</v>
      </c>
      <c r="E337" s="38">
        <f>F337+I337</f>
        <v>0</v>
      </c>
      <c r="F337" s="38"/>
      <c r="G337" s="38"/>
      <c r="H337" s="38"/>
      <c r="I337" s="38"/>
      <c r="J337" s="38">
        <f>K337+N337</f>
        <v>0</v>
      </c>
      <c r="K337" s="38"/>
      <c r="L337" s="38"/>
      <c r="M337" s="38"/>
      <c r="N337" s="38">
        <f>O337</f>
        <v>0</v>
      </c>
      <c r="O337" s="38">
        <f>16632500+297500-16930000</f>
        <v>0</v>
      </c>
      <c r="P337" s="55">
        <f t="shared" si="40"/>
        <v>0</v>
      </c>
      <c r="Q337" s="53"/>
      <c r="R337" s="59"/>
      <c r="W337" s="53">
        <f t="shared" si="36"/>
        <v>0</v>
      </c>
    </row>
    <row r="338" spans="1:23" ht="12.75">
      <c r="A338" s="39"/>
      <c r="B338" s="39" t="s">
        <v>369</v>
      </c>
      <c r="C338" s="39"/>
      <c r="D338" s="60" t="s">
        <v>373</v>
      </c>
      <c r="E338" s="38"/>
      <c r="F338" s="38"/>
      <c r="G338" s="38"/>
      <c r="H338" s="38"/>
      <c r="I338" s="38"/>
      <c r="J338" s="38">
        <f t="shared" si="46"/>
        <v>20922500</v>
      </c>
      <c r="K338" s="38">
        <f>K339</f>
        <v>292000</v>
      </c>
      <c r="L338" s="38"/>
      <c r="M338" s="38"/>
      <c r="N338" s="38">
        <f>N339</f>
        <v>20630500</v>
      </c>
      <c r="O338" s="38">
        <f>O339</f>
        <v>0</v>
      </c>
      <c r="P338" s="55">
        <f t="shared" si="40"/>
        <v>20922500</v>
      </c>
      <c r="Q338" s="53"/>
      <c r="R338" s="59"/>
      <c r="W338" s="53"/>
    </row>
    <row r="339" spans="1:23" s="149" customFormat="1" ht="25.5">
      <c r="A339" s="144"/>
      <c r="B339" s="39" t="s">
        <v>337</v>
      </c>
      <c r="C339" s="74" t="s">
        <v>454</v>
      </c>
      <c r="D339" s="60" t="s">
        <v>352</v>
      </c>
      <c r="E339" s="38">
        <f>F339</f>
        <v>0</v>
      </c>
      <c r="F339" s="38"/>
      <c r="G339" s="38"/>
      <c r="H339" s="38"/>
      <c r="I339" s="38"/>
      <c r="J339" s="38">
        <f t="shared" si="46"/>
        <v>20922500</v>
      </c>
      <c r="K339" s="38">
        <f>292500+97000-22500-75000</f>
        <v>292000</v>
      </c>
      <c r="L339" s="38"/>
      <c r="M339" s="38"/>
      <c r="N339" s="38">
        <f>20590000+40000+20458153-97000+22500-20383653+500</f>
        <v>20630500</v>
      </c>
      <c r="O339" s="38"/>
      <c r="P339" s="55">
        <f>E339+J339</f>
        <v>20922500</v>
      </c>
      <c r="Q339" s="145"/>
      <c r="R339" s="148"/>
      <c r="W339" s="145"/>
    </row>
    <row r="340" spans="1:23" ht="25.5" hidden="1">
      <c r="A340" s="39"/>
      <c r="B340" s="39" t="s">
        <v>287</v>
      </c>
      <c r="C340" s="39"/>
      <c r="D340" s="60" t="s">
        <v>333</v>
      </c>
      <c r="E340" s="38"/>
      <c r="F340" s="38"/>
      <c r="G340" s="38"/>
      <c r="H340" s="38"/>
      <c r="I340" s="38"/>
      <c r="J340" s="38">
        <f t="shared" si="46"/>
        <v>0</v>
      </c>
      <c r="K340" s="38"/>
      <c r="L340" s="38"/>
      <c r="M340" s="38"/>
      <c r="N340" s="38"/>
      <c r="O340" s="38"/>
      <c r="P340" s="55">
        <f t="shared" si="40"/>
        <v>0</v>
      </c>
      <c r="Q340" s="53"/>
      <c r="R340" s="59"/>
      <c r="W340" s="53">
        <f t="shared" si="36"/>
        <v>0</v>
      </c>
    </row>
    <row r="341" spans="1:23" s="54" customFormat="1" ht="25.5" hidden="1">
      <c r="A341" s="74"/>
      <c r="B341" s="74" t="s">
        <v>371</v>
      </c>
      <c r="C341" s="74"/>
      <c r="D341" s="73" t="s">
        <v>372</v>
      </c>
      <c r="E341" s="38">
        <f>F341+I341</f>
        <v>0</v>
      </c>
      <c r="F341" s="38">
        <f>F342</f>
        <v>0</v>
      </c>
      <c r="G341" s="38"/>
      <c r="H341" s="38"/>
      <c r="I341" s="38"/>
      <c r="J341" s="38">
        <f t="shared" si="46"/>
        <v>0</v>
      </c>
      <c r="K341" s="38"/>
      <c r="L341" s="38"/>
      <c r="M341" s="38"/>
      <c r="N341" s="38"/>
      <c r="O341" s="38"/>
      <c r="P341" s="55">
        <f t="shared" si="40"/>
        <v>0</v>
      </c>
      <c r="Q341" s="53"/>
      <c r="R341" s="53"/>
      <c r="W341" s="53">
        <f aca="true" t="shared" si="48" ref="W341:W408">N341-O341</f>
        <v>0</v>
      </c>
    </row>
    <row r="342" spans="1:23" s="57" customFormat="1" ht="12.75" hidden="1">
      <c r="A342" s="74"/>
      <c r="B342" s="74" t="s">
        <v>288</v>
      </c>
      <c r="C342" s="74" t="s">
        <v>444</v>
      </c>
      <c r="D342" s="68" t="s">
        <v>316</v>
      </c>
      <c r="E342" s="38">
        <f>F342+I342</f>
        <v>0</v>
      </c>
      <c r="F342" s="38">
        <f>F343</f>
        <v>0</v>
      </c>
      <c r="G342" s="38"/>
      <c r="H342" s="38"/>
      <c r="I342" s="38"/>
      <c r="J342" s="38">
        <f t="shared" si="46"/>
        <v>0</v>
      </c>
      <c r="K342" s="38"/>
      <c r="L342" s="38"/>
      <c r="M342" s="38"/>
      <c r="N342" s="38"/>
      <c r="O342" s="38"/>
      <c r="P342" s="55">
        <f t="shared" si="40"/>
        <v>0</v>
      </c>
      <c r="Q342" s="53"/>
      <c r="R342" s="56"/>
      <c r="W342" s="53">
        <f t="shared" si="48"/>
        <v>0</v>
      </c>
    </row>
    <row r="343" spans="1:23" s="158" customFormat="1" ht="12.75" hidden="1">
      <c r="A343" s="152"/>
      <c r="B343" s="152"/>
      <c r="C343" s="152"/>
      <c r="D343" s="153" t="s">
        <v>496</v>
      </c>
      <c r="E343" s="154">
        <f>F343+I343</f>
        <v>0</v>
      </c>
      <c r="F343" s="154"/>
      <c r="G343" s="154"/>
      <c r="H343" s="154"/>
      <c r="I343" s="154"/>
      <c r="J343" s="154">
        <f t="shared" si="46"/>
        <v>0</v>
      </c>
      <c r="K343" s="154"/>
      <c r="L343" s="154"/>
      <c r="M343" s="154"/>
      <c r="N343" s="154"/>
      <c r="O343" s="154"/>
      <c r="P343" s="155">
        <f t="shared" si="40"/>
        <v>0</v>
      </c>
      <c r="Q343" s="156"/>
      <c r="R343" s="157"/>
      <c r="W343" s="156">
        <f t="shared" si="48"/>
        <v>0</v>
      </c>
    </row>
    <row r="344" spans="1:23" ht="38.25">
      <c r="A344" s="98"/>
      <c r="B344" s="98" t="s">
        <v>179</v>
      </c>
      <c r="C344" s="98"/>
      <c r="D344" s="104" t="s">
        <v>136</v>
      </c>
      <c r="E344" s="51">
        <f>E345+E349+E359+E353+E347+E356</f>
        <v>50560961</v>
      </c>
      <c r="F344" s="51">
        <f>F345+F349+F359+F353+F347+F356</f>
        <v>50560961</v>
      </c>
      <c r="G344" s="51">
        <f>G345+G349+G359+G353+G347+G356</f>
        <v>1110048</v>
      </c>
      <c r="H344" s="51">
        <f>H345+H349+H359+H353+H347+H356</f>
        <v>21915</v>
      </c>
      <c r="I344" s="51"/>
      <c r="J344" s="51">
        <f>K344+N344</f>
        <v>58551653</v>
      </c>
      <c r="K344" s="51">
        <f>K345+K349+K359+K353+K351+K356</f>
        <v>0</v>
      </c>
      <c r="L344" s="51">
        <f>L345+L349+L359+L353+L351+L356</f>
        <v>0</v>
      </c>
      <c r="M344" s="51">
        <f>M345+M349+M359+M353+M351+M356</f>
        <v>0</v>
      </c>
      <c r="N344" s="51">
        <f>N345+N349+N359+N353+N356+N351</f>
        <v>58551653</v>
      </c>
      <c r="O344" s="51">
        <f>O345+O349+O359+O353+O356+O351</f>
        <v>58551653</v>
      </c>
      <c r="P344" s="51">
        <f>P345+P349+P356+P359+P353+P351+P347</f>
        <v>109112614</v>
      </c>
      <c r="Q344" s="53"/>
      <c r="R344" s="59"/>
      <c r="W344" s="53">
        <f t="shared" si="48"/>
        <v>0</v>
      </c>
    </row>
    <row r="345" spans="1:23" ht="12.75">
      <c r="A345" s="39"/>
      <c r="B345" s="39" t="s">
        <v>362</v>
      </c>
      <c r="C345" s="39"/>
      <c r="D345" s="58" t="s">
        <v>363</v>
      </c>
      <c r="E345" s="38">
        <f aca="true" t="shared" si="49" ref="E345:P345">E346</f>
        <v>1474471</v>
      </c>
      <c r="F345" s="38">
        <f>F346</f>
        <v>1474471</v>
      </c>
      <c r="G345" s="38">
        <f t="shared" si="49"/>
        <v>1110048</v>
      </c>
      <c r="H345" s="38">
        <f t="shared" si="49"/>
        <v>21915</v>
      </c>
      <c r="I345" s="38"/>
      <c r="J345" s="38">
        <f t="shared" si="49"/>
        <v>13000</v>
      </c>
      <c r="K345" s="38">
        <f t="shared" si="49"/>
        <v>0</v>
      </c>
      <c r="L345" s="38">
        <f t="shared" si="49"/>
        <v>0</v>
      </c>
      <c r="M345" s="38">
        <f t="shared" si="49"/>
        <v>0</v>
      </c>
      <c r="N345" s="38">
        <f t="shared" si="49"/>
        <v>13000</v>
      </c>
      <c r="O345" s="38">
        <f t="shared" si="49"/>
        <v>13000</v>
      </c>
      <c r="P345" s="38">
        <f t="shared" si="49"/>
        <v>1487471</v>
      </c>
      <c r="Q345" s="53"/>
      <c r="R345" s="59"/>
      <c r="W345" s="53">
        <f t="shared" si="48"/>
        <v>0</v>
      </c>
    </row>
    <row r="346" spans="1:23" ht="12.75">
      <c r="A346" s="39"/>
      <c r="B346" s="39" t="s">
        <v>249</v>
      </c>
      <c r="C346" s="74" t="s">
        <v>441</v>
      </c>
      <c r="D346" s="58" t="s">
        <v>250</v>
      </c>
      <c r="E346" s="38">
        <f>F346</f>
        <v>1474471</v>
      </c>
      <c r="F346" s="38">
        <f>1427728-131618+10700+139919+32314-4572</f>
        <v>1474471</v>
      </c>
      <c r="G346" s="38">
        <f>968266+5610+139919-3747</f>
        <v>1110048</v>
      </c>
      <c r="H346" s="38">
        <v>21915</v>
      </c>
      <c r="I346" s="38"/>
      <c r="J346" s="38">
        <f aca="true" t="shared" si="50" ref="J346:J362">K346+N346</f>
        <v>13000</v>
      </c>
      <c r="K346" s="38"/>
      <c r="L346" s="38"/>
      <c r="M346" s="38"/>
      <c r="N346" s="38">
        <f>O346</f>
        <v>13000</v>
      </c>
      <c r="O346" s="38">
        <v>13000</v>
      </c>
      <c r="P346" s="55">
        <f aca="true" t="shared" si="51" ref="P346:P406">E346+J346</f>
        <v>1487471</v>
      </c>
      <c r="Q346" s="53"/>
      <c r="R346" s="59"/>
      <c r="W346" s="53">
        <f t="shared" si="48"/>
        <v>0</v>
      </c>
    </row>
    <row r="347" spans="1:23" ht="12.75" hidden="1">
      <c r="A347" s="74"/>
      <c r="B347" s="74" t="s">
        <v>374</v>
      </c>
      <c r="C347" s="74"/>
      <c r="D347" s="36" t="s">
        <v>375</v>
      </c>
      <c r="E347" s="38">
        <f>E348</f>
        <v>0</v>
      </c>
      <c r="F347" s="38">
        <f>F348</f>
        <v>0</v>
      </c>
      <c r="G347" s="38"/>
      <c r="H347" s="38"/>
      <c r="I347" s="38"/>
      <c r="J347" s="38"/>
      <c r="K347" s="38"/>
      <c r="L347" s="38"/>
      <c r="M347" s="38"/>
      <c r="N347" s="38"/>
      <c r="O347" s="38"/>
      <c r="P347" s="55">
        <f t="shared" si="51"/>
        <v>0</v>
      </c>
      <c r="Q347" s="53"/>
      <c r="R347" s="59"/>
      <c r="W347" s="53">
        <f t="shared" si="48"/>
        <v>0</v>
      </c>
    </row>
    <row r="348" spans="1:23" ht="12.75" hidden="1">
      <c r="A348" s="74"/>
      <c r="B348" s="74" t="s">
        <v>102</v>
      </c>
      <c r="C348" s="74"/>
      <c r="D348" s="68" t="s">
        <v>106</v>
      </c>
      <c r="E348" s="38">
        <f>F348+I348</f>
        <v>0</v>
      </c>
      <c r="F348" s="38"/>
      <c r="G348" s="38"/>
      <c r="H348" s="38"/>
      <c r="I348" s="38"/>
      <c r="J348" s="38"/>
      <c r="K348" s="38"/>
      <c r="L348" s="38"/>
      <c r="M348" s="38"/>
      <c r="N348" s="38"/>
      <c r="O348" s="38"/>
      <c r="P348" s="55">
        <f t="shared" si="51"/>
        <v>0</v>
      </c>
      <c r="Q348" s="53"/>
      <c r="R348" s="59"/>
      <c r="W348" s="53">
        <f t="shared" si="48"/>
        <v>0</v>
      </c>
    </row>
    <row r="349" spans="1:23" ht="12.75">
      <c r="A349" s="74"/>
      <c r="B349" s="74" t="s">
        <v>364</v>
      </c>
      <c r="C349" s="74"/>
      <c r="D349" s="36" t="s">
        <v>365</v>
      </c>
      <c r="E349" s="38">
        <f>E350</f>
        <v>2782559</v>
      </c>
      <c r="F349" s="38">
        <f>F350</f>
        <v>2782559</v>
      </c>
      <c r="G349" s="38">
        <f aca="true" t="shared" si="52" ref="G349:O349">G350</f>
        <v>0</v>
      </c>
      <c r="H349" s="38">
        <f t="shared" si="52"/>
        <v>0</v>
      </c>
      <c r="I349" s="38"/>
      <c r="J349" s="38">
        <f t="shared" si="50"/>
        <v>1039450</v>
      </c>
      <c r="K349" s="38">
        <f t="shared" si="52"/>
        <v>0</v>
      </c>
      <c r="L349" s="38">
        <f t="shared" si="52"/>
        <v>0</v>
      </c>
      <c r="M349" s="38">
        <f t="shared" si="52"/>
        <v>0</v>
      </c>
      <c r="N349" s="38">
        <f t="shared" si="52"/>
        <v>1039450</v>
      </c>
      <c r="O349" s="38">
        <f t="shared" si="52"/>
        <v>1039450</v>
      </c>
      <c r="P349" s="55">
        <f t="shared" si="51"/>
        <v>3822009</v>
      </c>
      <c r="Q349" s="53"/>
      <c r="R349" s="59"/>
      <c r="W349" s="53">
        <f t="shared" si="48"/>
        <v>0</v>
      </c>
    </row>
    <row r="350" spans="1:23" ht="12.75">
      <c r="A350" s="74"/>
      <c r="B350" s="74" t="s">
        <v>391</v>
      </c>
      <c r="C350" s="74" t="s">
        <v>442</v>
      </c>
      <c r="D350" s="75" t="s">
        <v>392</v>
      </c>
      <c r="E350" s="38">
        <f>F350+I350</f>
        <v>2782559</v>
      </c>
      <c r="F350" s="38">
        <f>300000+300000+2182559</f>
        <v>2782559</v>
      </c>
      <c r="G350" s="38"/>
      <c r="H350" s="38"/>
      <c r="I350" s="38"/>
      <c r="J350" s="38">
        <f t="shared" si="50"/>
        <v>1039450</v>
      </c>
      <c r="K350" s="38"/>
      <c r="L350" s="38"/>
      <c r="M350" s="38"/>
      <c r="N350" s="38">
        <f>O350</f>
        <v>1039450</v>
      </c>
      <c r="O350" s="38">
        <v>1039450</v>
      </c>
      <c r="P350" s="55">
        <f t="shared" si="51"/>
        <v>3822009</v>
      </c>
      <c r="Q350" s="53"/>
      <c r="R350" s="59"/>
      <c r="W350" s="53">
        <f t="shared" si="48"/>
        <v>0</v>
      </c>
    </row>
    <row r="351" spans="1:23" ht="12.75">
      <c r="A351" s="39"/>
      <c r="B351" s="39" t="s">
        <v>366</v>
      </c>
      <c r="C351" s="39"/>
      <c r="D351" s="36" t="s">
        <v>283</v>
      </c>
      <c r="E351" s="76"/>
      <c r="F351" s="76"/>
      <c r="G351" s="38"/>
      <c r="H351" s="38"/>
      <c r="I351" s="38"/>
      <c r="J351" s="38">
        <f t="shared" si="50"/>
        <v>20425566</v>
      </c>
      <c r="K351" s="38"/>
      <c r="L351" s="38"/>
      <c r="M351" s="38"/>
      <c r="N351" s="38">
        <f>N352</f>
        <v>20425566</v>
      </c>
      <c r="O351" s="38">
        <f>O352</f>
        <v>20425566</v>
      </c>
      <c r="P351" s="55">
        <f t="shared" si="51"/>
        <v>20425566</v>
      </c>
      <c r="Q351" s="53"/>
      <c r="R351" s="59"/>
      <c r="W351" s="53">
        <f t="shared" si="48"/>
        <v>0</v>
      </c>
    </row>
    <row r="352" spans="1:23" ht="12.75">
      <c r="A352" s="39"/>
      <c r="B352" s="39" t="s">
        <v>338</v>
      </c>
      <c r="C352" s="74" t="s">
        <v>443</v>
      </c>
      <c r="D352" s="36" t="s">
        <v>339</v>
      </c>
      <c r="E352" s="38"/>
      <c r="F352" s="38"/>
      <c r="G352" s="38"/>
      <c r="H352" s="38"/>
      <c r="I352" s="38"/>
      <c r="J352" s="38">
        <f t="shared" si="50"/>
        <v>20425566</v>
      </c>
      <c r="K352" s="38"/>
      <c r="L352" s="38"/>
      <c r="M352" s="38"/>
      <c r="N352" s="38">
        <f>O352</f>
        <v>20425566</v>
      </c>
      <c r="O352" s="76">
        <f>4308029+17596454-1478917</f>
        <v>20425566</v>
      </c>
      <c r="P352" s="55">
        <f t="shared" si="51"/>
        <v>20425566</v>
      </c>
      <c r="Q352" s="53"/>
      <c r="R352" s="59"/>
      <c r="W352" s="53">
        <f t="shared" si="48"/>
        <v>0</v>
      </c>
    </row>
    <row r="353" spans="1:23" ht="28.5" customHeight="1">
      <c r="A353" s="74"/>
      <c r="B353" s="74" t="s">
        <v>367</v>
      </c>
      <c r="C353" s="74"/>
      <c r="D353" s="68" t="s">
        <v>368</v>
      </c>
      <c r="E353" s="38">
        <f>E354+E355</f>
        <v>46303931</v>
      </c>
      <c r="F353" s="38">
        <f>F354+F355</f>
        <v>46303931</v>
      </c>
      <c r="G353" s="38"/>
      <c r="H353" s="38"/>
      <c r="I353" s="38"/>
      <c r="J353" s="38">
        <f t="shared" si="50"/>
        <v>10522935</v>
      </c>
      <c r="K353" s="38">
        <f>K354</f>
        <v>0</v>
      </c>
      <c r="L353" s="38">
        <f>L354</f>
        <v>0</v>
      </c>
      <c r="M353" s="38">
        <f>M354</f>
        <v>0</v>
      </c>
      <c r="N353" s="38">
        <f>N354+N355</f>
        <v>10522935</v>
      </c>
      <c r="O353" s="76">
        <f>O354+O355</f>
        <v>10522935</v>
      </c>
      <c r="P353" s="55">
        <f t="shared" si="51"/>
        <v>56826866</v>
      </c>
      <c r="Q353" s="53"/>
      <c r="R353" s="59"/>
      <c r="W353" s="53">
        <f t="shared" si="48"/>
        <v>0</v>
      </c>
    </row>
    <row r="354" spans="1:23" ht="25.5">
      <c r="A354" s="74"/>
      <c r="B354" s="74" t="s">
        <v>209</v>
      </c>
      <c r="C354" s="74" t="s">
        <v>477</v>
      </c>
      <c r="D354" s="68" t="s">
        <v>210</v>
      </c>
      <c r="E354" s="76">
        <f>F354+I354</f>
        <v>503931</v>
      </c>
      <c r="F354" s="76">
        <v>503931</v>
      </c>
      <c r="G354" s="38"/>
      <c r="H354" s="38"/>
      <c r="I354" s="38"/>
      <c r="J354" s="38">
        <f t="shared" si="50"/>
        <v>10522935</v>
      </c>
      <c r="K354" s="38"/>
      <c r="L354" s="38"/>
      <c r="M354" s="38"/>
      <c r="N354" s="38">
        <f>O354</f>
        <v>10522935</v>
      </c>
      <c r="O354" s="76">
        <v>10522935</v>
      </c>
      <c r="P354" s="55">
        <f t="shared" si="51"/>
        <v>11026866</v>
      </c>
      <c r="Q354" s="53"/>
      <c r="R354" s="59"/>
      <c r="W354" s="53">
        <f t="shared" si="48"/>
        <v>0</v>
      </c>
    </row>
    <row r="355" spans="1:23" ht="15" customHeight="1">
      <c r="A355" s="39"/>
      <c r="B355" s="39" t="s">
        <v>86</v>
      </c>
      <c r="C355" s="74" t="s">
        <v>478</v>
      </c>
      <c r="D355" s="36" t="s">
        <v>99</v>
      </c>
      <c r="E355" s="76">
        <f>F355+I355</f>
        <v>45800000</v>
      </c>
      <c r="F355" s="76">
        <v>45800000</v>
      </c>
      <c r="G355" s="38"/>
      <c r="H355" s="38"/>
      <c r="I355" s="38"/>
      <c r="J355" s="38">
        <f t="shared" si="50"/>
        <v>0</v>
      </c>
      <c r="K355" s="38"/>
      <c r="L355" s="38"/>
      <c r="M355" s="38"/>
      <c r="N355" s="38">
        <f>O355</f>
        <v>0</v>
      </c>
      <c r="O355" s="76"/>
      <c r="P355" s="55">
        <f t="shared" si="51"/>
        <v>45800000</v>
      </c>
      <c r="Q355" s="53"/>
      <c r="R355" s="59"/>
      <c r="W355" s="53">
        <f t="shared" si="48"/>
        <v>0</v>
      </c>
    </row>
    <row r="356" spans="1:23" ht="25.5">
      <c r="A356" s="39"/>
      <c r="B356" s="39" t="s">
        <v>376</v>
      </c>
      <c r="C356" s="39"/>
      <c r="D356" s="58" t="s">
        <v>377</v>
      </c>
      <c r="E356" s="38">
        <f>E357+E363</f>
        <v>0</v>
      </c>
      <c r="F356" s="38">
        <f>F357+F363</f>
        <v>0</v>
      </c>
      <c r="G356" s="38">
        <f>G357</f>
        <v>0</v>
      </c>
      <c r="H356" s="38">
        <f>H357</f>
        <v>0</v>
      </c>
      <c r="I356" s="38"/>
      <c r="J356" s="38">
        <f t="shared" si="50"/>
        <v>26550702</v>
      </c>
      <c r="K356" s="38">
        <f>K357</f>
        <v>0</v>
      </c>
      <c r="L356" s="38">
        <f>L357</f>
        <v>0</v>
      </c>
      <c r="M356" s="38">
        <f>M357</f>
        <v>0</v>
      </c>
      <c r="N356" s="38">
        <f>N357</f>
        <v>26550702</v>
      </c>
      <c r="O356" s="38">
        <f>O357</f>
        <v>26550702</v>
      </c>
      <c r="P356" s="55">
        <f t="shared" si="51"/>
        <v>26550702</v>
      </c>
      <c r="Q356" s="53"/>
      <c r="R356" s="59"/>
      <c r="W356" s="53">
        <f t="shared" si="48"/>
        <v>0</v>
      </c>
    </row>
    <row r="357" spans="1:23" ht="51">
      <c r="A357" s="39"/>
      <c r="B357" s="39" t="s">
        <v>355</v>
      </c>
      <c r="C357" s="74" t="s">
        <v>443</v>
      </c>
      <c r="D357" s="68" t="s">
        <v>211</v>
      </c>
      <c r="E357" s="38">
        <f>F357+I357</f>
        <v>0</v>
      </c>
      <c r="F357" s="38"/>
      <c r="G357" s="38"/>
      <c r="H357" s="38"/>
      <c r="I357" s="38"/>
      <c r="J357" s="38">
        <f t="shared" si="50"/>
        <v>26550702</v>
      </c>
      <c r="K357" s="38"/>
      <c r="L357" s="38"/>
      <c r="M357" s="38"/>
      <c r="N357" s="76">
        <f>O357</f>
        <v>26550702</v>
      </c>
      <c r="O357" s="76">
        <f>383883+55161819-28995000</f>
        <v>26550702</v>
      </c>
      <c r="P357" s="55">
        <f t="shared" si="51"/>
        <v>26550702</v>
      </c>
      <c r="Q357" s="53"/>
      <c r="R357" s="59"/>
      <c r="W357" s="53">
        <f t="shared" si="48"/>
        <v>0</v>
      </c>
    </row>
    <row r="358" spans="1:23" ht="17.25" customHeight="1" hidden="1">
      <c r="A358" s="39"/>
      <c r="B358" s="39" t="s">
        <v>371</v>
      </c>
      <c r="C358" s="39"/>
      <c r="D358" s="60" t="s">
        <v>372</v>
      </c>
      <c r="E358" s="38">
        <f>E359</f>
        <v>0</v>
      </c>
      <c r="F358" s="38">
        <f>F359</f>
        <v>0</v>
      </c>
      <c r="G358" s="38">
        <f aca="true" t="shared" si="53" ref="G358:O358">G359</f>
        <v>0</v>
      </c>
      <c r="H358" s="38">
        <f t="shared" si="53"/>
        <v>0</v>
      </c>
      <c r="I358" s="38"/>
      <c r="J358" s="38">
        <f t="shared" si="50"/>
        <v>0</v>
      </c>
      <c r="K358" s="38">
        <f t="shared" si="53"/>
        <v>0</v>
      </c>
      <c r="L358" s="38">
        <f t="shared" si="53"/>
        <v>0</v>
      </c>
      <c r="M358" s="38">
        <f t="shared" si="53"/>
        <v>0</v>
      </c>
      <c r="N358" s="38">
        <f t="shared" si="53"/>
        <v>0</v>
      </c>
      <c r="O358" s="38">
        <f t="shared" si="53"/>
        <v>0</v>
      </c>
      <c r="P358" s="55">
        <f t="shared" si="51"/>
        <v>0</v>
      </c>
      <c r="Q358" s="53"/>
      <c r="R358" s="59"/>
      <c r="W358" s="53">
        <f t="shared" si="48"/>
        <v>0</v>
      </c>
    </row>
    <row r="359" spans="1:23" ht="12.75" hidden="1">
      <c r="A359" s="74"/>
      <c r="B359" s="74" t="s">
        <v>288</v>
      </c>
      <c r="C359" s="74" t="s">
        <v>444</v>
      </c>
      <c r="D359" s="68" t="s">
        <v>316</v>
      </c>
      <c r="E359" s="38">
        <f>SUM(E360:E362)</f>
        <v>0</v>
      </c>
      <c r="F359" s="38">
        <f>SUM(F360:F362)</f>
        <v>0</v>
      </c>
      <c r="G359" s="38">
        <f>SUM(G360:G362)</f>
        <v>0</v>
      </c>
      <c r="H359" s="38">
        <f>SUM(H360:H362)</f>
        <v>0</v>
      </c>
      <c r="I359" s="38"/>
      <c r="J359" s="38">
        <f t="shared" si="50"/>
        <v>0</v>
      </c>
      <c r="K359" s="38">
        <f>SUM(K360:K362)</f>
        <v>0</v>
      </c>
      <c r="L359" s="38">
        <f>SUM(L360:L362)</f>
        <v>0</v>
      </c>
      <c r="M359" s="38">
        <f>SUM(M360:M362)</f>
        <v>0</v>
      </c>
      <c r="N359" s="38">
        <f>SUM(N360:N362)</f>
        <v>0</v>
      </c>
      <c r="O359" s="38">
        <f>SUM(O360:O362)</f>
        <v>0</v>
      </c>
      <c r="P359" s="55">
        <f t="shared" si="51"/>
        <v>0</v>
      </c>
      <c r="Q359" s="53"/>
      <c r="R359" s="59"/>
      <c r="W359" s="53">
        <f t="shared" si="48"/>
        <v>0</v>
      </c>
    </row>
    <row r="360" spans="1:23" ht="51" hidden="1">
      <c r="A360" s="74"/>
      <c r="B360" s="74"/>
      <c r="C360" s="74"/>
      <c r="D360" s="73" t="s">
        <v>217</v>
      </c>
      <c r="F360" s="38"/>
      <c r="G360" s="38"/>
      <c r="H360" s="38"/>
      <c r="I360" s="38"/>
      <c r="J360" s="38">
        <f t="shared" si="50"/>
        <v>0</v>
      </c>
      <c r="K360" s="38"/>
      <c r="L360" s="38"/>
      <c r="M360" s="38"/>
      <c r="N360" s="38"/>
      <c r="O360" s="38"/>
      <c r="P360" s="55">
        <f t="shared" si="51"/>
        <v>0</v>
      </c>
      <c r="Q360" s="53"/>
      <c r="R360" s="59"/>
      <c r="W360" s="53">
        <f t="shared" si="48"/>
        <v>0</v>
      </c>
    </row>
    <row r="361" spans="1:23" ht="25.5" hidden="1">
      <c r="A361" s="74"/>
      <c r="B361" s="74"/>
      <c r="C361" s="74"/>
      <c r="D361" s="68" t="s">
        <v>229</v>
      </c>
      <c r="E361" s="38"/>
      <c r="F361" s="38"/>
      <c r="G361" s="38"/>
      <c r="H361" s="38"/>
      <c r="I361" s="38"/>
      <c r="J361" s="38">
        <f t="shared" si="50"/>
        <v>0</v>
      </c>
      <c r="K361" s="38"/>
      <c r="L361" s="38"/>
      <c r="M361" s="38"/>
      <c r="N361" s="38"/>
      <c r="O361" s="38"/>
      <c r="P361" s="55">
        <f t="shared" si="51"/>
        <v>0</v>
      </c>
      <c r="Q361" s="53"/>
      <c r="R361" s="59"/>
      <c r="W361" s="53">
        <f t="shared" si="48"/>
        <v>0</v>
      </c>
    </row>
    <row r="362" spans="1:23" ht="12.75" hidden="1">
      <c r="A362" s="74"/>
      <c r="B362" s="74"/>
      <c r="C362" s="74"/>
      <c r="D362" s="176" t="s">
        <v>55</v>
      </c>
      <c r="E362" s="38">
        <f>F362</f>
        <v>0</v>
      </c>
      <c r="F362" s="38">
        <f>1441000-1441000</f>
        <v>0</v>
      </c>
      <c r="G362" s="38"/>
      <c r="H362" s="38"/>
      <c r="I362" s="38"/>
      <c r="J362" s="38">
        <f t="shared" si="50"/>
        <v>0</v>
      </c>
      <c r="K362" s="38"/>
      <c r="L362" s="38"/>
      <c r="M362" s="38"/>
      <c r="N362" s="38">
        <f>O362</f>
        <v>0</v>
      </c>
      <c r="O362" s="38"/>
      <c r="P362" s="55">
        <f t="shared" si="51"/>
        <v>0</v>
      </c>
      <c r="Q362" s="53"/>
      <c r="R362" s="59"/>
      <c r="W362" s="53">
        <f t="shared" si="48"/>
        <v>0</v>
      </c>
    </row>
    <row r="363" spans="1:23" ht="25.5" hidden="1">
      <c r="A363" s="74"/>
      <c r="B363" s="74" t="s">
        <v>303</v>
      </c>
      <c r="C363" s="74" t="s">
        <v>452</v>
      </c>
      <c r="D363" s="132" t="s">
        <v>304</v>
      </c>
      <c r="E363" s="38">
        <f>F363</f>
        <v>0</v>
      </c>
      <c r="F363" s="38">
        <f>2754000-2754000</f>
        <v>0</v>
      </c>
      <c r="G363" s="38"/>
      <c r="H363" s="38"/>
      <c r="I363" s="38"/>
      <c r="J363" s="38"/>
      <c r="K363" s="38"/>
      <c r="L363" s="38"/>
      <c r="M363" s="38"/>
      <c r="N363" s="38"/>
      <c r="O363" s="76"/>
      <c r="P363" s="55">
        <f>E363+J363</f>
        <v>0</v>
      </c>
      <c r="Q363" s="53"/>
      <c r="R363" s="59"/>
      <c r="W363" s="53">
        <f>N363-O363</f>
        <v>0</v>
      </c>
    </row>
    <row r="364" spans="1:23" ht="51">
      <c r="A364" s="98"/>
      <c r="B364" s="98" t="s">
        <v>174</v>
      </c>
      <c r="C364" s="98"/>
      <c r="D364" s="97" t="s">
        <v>133</v>
      </c>
      <c r="E364" s="51">
        <f>E365+E367</f>
        <v>10624998</v>
      </c>
      <c r="F364" s="51">
        <f>F365+F367</f>
        <v>10624998</v>
      </c>
      <c r="G364" s="51">
        <f>G365+G367</f>
        <v>7147241</v>
      </c>
      <c r="H364" s="51">
        <f>H365+H367</f>
        <v>208117</v>
      </c>
      <c r="I364" s="51"/>
      <c r="J364" s="51">
        <f>J366+J367+J213</f>
        <v>231138</v>
      </c>
      <c r="K364" s="51">
        <f>K365+K367</f>
        <v>150628</v>
      </c>
      <c r="L364" s="51">
        <f>L365+L367</f>
        <v>54369</v>
      </c>
      <c r="M364" s="51">
        <f>M365+M367</f>
        <v>45</v>
      </c>
      <c r="N364" s="51">
        <f>N365+N367</f>
        <v>80510</v>
      </c>
      <c r="O364" s="51">
        <f>O365+O367</f>
        <v>32600</v>
      </c>
      <c r="P364" s="52">
        <f>E364+J364</f>
        <v>10856136</v>
      </c>
      <c r="Q364" s="53"/>
      <c r="R364" s="59"/>
      <c r="W364" s="53">
        <f t="shared" si="48"/>
        <v>47910</v>
      </c>
    </row>
    <row r="365" spans="1:23" ht="12.75">
      <c r="A365" s="42"/>
      <c r="B365" s="42" t="s">
        <v>362</v>
      </c>
      <c r="C365" s="42"/>
      <c r="D365" s="43" t="s">
        <v>363</v>
      </c>
      <c r="E365" s="37">
        <f>E366</f>
        <v>2555663</v>
      </c>
      <c r="F365" s="37">
        <f>F366</f>
        <v>2555663</v>
      </c>
      <c r="G365" s="37">
        <f>G366</f>
        <v>1939098</v>
      </c>
      <c r="H365" s="37">
        <f>H366</f>
        <v>85465</v>
      </c>
      <c r="I365" s="37"/>
      <c r="J365" s="38">
        <f aca="true" t="shared" si="54" ref="J365:J394">K365+N365</f>
        <v>32600</v>
      </c>
      <c r="K365" s="37"/>
      <c r="L365" s="37"/>
      <c r="M365" s="37"/>
      <c r="N365" s="37">
        <f>N366</f>
        <v>32600</v>
      </c>
      <c r="O365" s="37">
        <f>O366</f>
        <v>32600</v>
      </c>
      <c r="P365" s="55">
        <f t="shared" si="51"/>
        <v>2588263</v>
      </c>
      <c r="Q365" s="53"/>
      <c r="R365" s="59"/>
      <c r="W365" s="53">
        <f t="shared" si="48"/>
        <v>0</v>
      </c>
    </row>
    <row r="366" spans="1:23" ht="12.75">
      <c r="A366" s="39"/>
      <c r="B366" s="39" t="s">
        <v>249</v>
      </c>
      <c r="C366" s="74" t="s">
        <v>441</v>
      </c>
      <c r="D366" s="58" t="s">
        <v>250</v>
      </c>
      <c r="E366" s="38">
        <f>F366+I366</f>
        <v>2555663</v>
      </c>
      <c r="F366" s="38">
        <f>2359474-142251+52655+215830+45337+24618</f>
        <v>2555663</v>
      </c>
      <c r="G366" s="38">
        <f>1644557+58230+215830+20481</f>
        <v>1939098</v>
      </c>
      <c r="H366" s="38">
        <v>85465</v>
      </c>
      <c r="I366" s="38"/>
      <c r="J366" s="38">
        <f t="shared" si="54"/>
        <v>32600</v>
      </c>
      <c r="K366" s="38"/>
      <c r="L366" s="38"/>
      <c r="M366" s="38"/>
      <c r="N366" s="38">
        <f>O366</f>
        <v>32600</v>
      </c>
      <c r="O366" s="38">
        <v>32600</v>
      </c>
      <c r="P366" s="55">
        <f t="shared" si="51"/>
        <v>2588263</v>
      </c>
      <c r="Q366" s="53"/>
      <c r="R366" s="59"/>
      <c r="W366" s="53">
        <f t="shared" si="48"/>
        <v>0</v>
      </c>
    </row>
    <row r="367" spans="1:23" ht="30" customHeight="1">
      <c r="A367" s="39"/>
      <c r="B367" s="74" t="s">
        <v>194</v>
      </c>
      <c r="C367" s="39"/>
      <c r="D367" s="60" t="s">
        <v>351</v>
      </c>
      <c r="E367" s="38">
        <f>E368+E371</f>
        <v>8069335</v>
      </c>
      <c r="F367" s="38">
        <f>F368+F371</f>
        <v>8069335</v>
      </c>
      <c r="G367" s="38">
        <f>G368+G371</f>
        <v>5208143</v>
      </c>
      <c r="H367" s="38">
        <f>H368+H371</f>
        <v>122652</v>
      </c>
      <c r="I367" s="38"/>
      <c r="J367" s="38">
        <f t="shared" si="54"/>
        <v>198538</v>
      </c>
      <c r="K367" s="38">
        <f>K368+K371</f>
        <v>150628</v>
      </c>
      <c r="L367" s="38">
        <f>L368+L371</f>
        <v>54369</v>
      </c>
      <c r="M367" s="38">
        <f>M368+M371</f>
        <v>45</v>
      </c>
      <c r="N367" s="38">
        <f>N368+N371</f>
        <v>47910</v>
      </c>
      <c r="O367" s="38">
        <f>O368+O371</f>
        <v>0</v>
      </c>
      <c r="P367" s="55">
        <f t="shared" si="51"/>
        <v>8267873</v>
      </c>
      <c r="Q367" s="53"/>
      <c r="R367" s="59"/>
      <c r="W367" s="53">
        <f t="shared" si="48"/>
        <v>47910</v>
      </c>
    </row>
    <row r="368" spans="1:23" s="54" customFormat="1" ht="38.25">
      <c r="A368" s="39"/>
      <c r="B368" s="39" t="s">
        <v>285</v>
      </c>
      <c r="C368" s="74" t="s">
        <v>479</v>
      </c>
      <c r="D368" s="73" t="s">
        <v>241</v>
      </c>
      <c r="E368" s="38">
        <f>E369+E370</f>
        <v>4172749</v>
      </c>
      <c r="F368" s="38">
        <f>F369+F370</f>
        <v>4172749</v>
      </c>
      <c r="G368" s="38">
        <f>G369+G370</f>
        <v>2634337</v>
      </c>
      <c r="H368" s="38">
        <f>H369+H370</f>
        <v>19841</v>
      </c>
      <c r="I368" s="38"/>
      <c r="J368" s="38">
        <f t="shared" si="54"/>
        <v>83956</v>
      </c>
      <c r="K368" s="38">
        <f>K369+K370</f>
        <v>83956</v>
      </c>
      <c r="L368" s="38">
        <f>L369+L370</f>
        <v>33403</v>
      </c>
      <c r="M368" s="38">
        <f>M369+M370</f>
        <v>0</v>
      </c>
      <c r="N368" s="38">
        <f>N369+N370</f>
        <v>0</v>
      </c>
      <c r="O368" s="38">
        <f>O369+O370</f>
        <v>0</v>
      </c>
      <c r="P368" s="55">
        <f t="shared" si="51"/>
        <v>4256705</v>
      </c>
      <c r="Q368" s="53"/>
      <c r="R368" s="53"/>
      <c r="W368" s="53">
        <f t="shared" si="48"/>
        <v>0</v>
      </c>
    </row>
    <row r="369" spans="1:23" s="163" customFormat="1" ht="63.75" hidden="1">
      <c r="A369" s="152"/>
      <c r="B369" s="152"/>
      <c r="C369" s="152"/>
      <c r="D369" s="73" t="s">
        <v>206</v>
      </c>
      <c r="E369" s="38">
        <f>F369+I369</f>
        <v>497908</v>
      </c>
      <c r="F369" s="38">
        <v>497908</v>
      </c>
      <c r="G369" s="38"/>
      <c r="H369" s="38"/>
      <c r="I369" s="38"/>
      <c r="J369" s="38">
        <f t="shared" si="54"/>
        <v>0</v>
      </c>
      <c r="K369" s="38"/>
      <c r="L369" s="38"/>
      <c r="M369" s="38"/>
      <c r="N369" s="38">
        <f>O369</f>
        <v>0</v>
      </c>
      <c r="O369" s="38"/>
      <c r="P369" s="55">
        <f t="shared" si="51"/>
        <v>497908</v>
      </c>
      <c r="Q369" s="156" t="s">
        <v>126</v>
      </c>
      <c r="R369" s="162"/>
      <c r="W369" s="156">
        <f t="shared" si="48"/>
        <v>0</v>
      </c>
    </row>
    <row r="370" spans="1:23" s="158" customFormat="1" ht="63.75" hidden="1">
      <c r="A370" s="152"/>
      <c r="B370" s="152"/>
      <c r="C370" s="152"/>
      <c r="D370" s="60" t="s">
        <v>66</v>
      </c>
      <c r="E370" s="38">
        <f>F370+I370</f>
        <v>3674841</v>
      </c>
      <c r="F370" s="38">
        <f>3740417-65576</f>
        <v>3674841</v>
      </c>
      <c r="G370" s="38">
        <f>2393844+240493</f>
        <v>2634337</v>
      </c>
      <c r="H370" s="38">
        <v>19841</v>
      </c>
      <c r="I370" s="38"/>
      <c r="J370" s="38">
        <f t="shared" si="54"/>
        <v>83956</v>
      </c>
      <c r="K370" s="38">
        <v>83956</v>
      </c>
      <c r="L370" s="38">
        <v>33403</v>
      </c>
      <c r="M370" s="38"/>
      <c r="N370" s="38">
        <f>O370</f>
        <v>0</v>
      </c>
      <c r="O370" s="38"/>
      <c r="P370" s="55">
        <f t="shared" si="51"/>
        <v>3758797</v>
      </c>
      <c r="Q370" s="156"/>
      <c r="R370" s="157"/>
      <c r="W370" s="156">
        <f t="shared" si="48"/>
        <v>0</v>
      </c>
    </row>
    <row r="371" spans="1:23" ht="25.5">
      <c r="A371" s="39"/>
      <c r="B371" s="74" t="s">
        <v>11</v>
      </c>
      <c r="C371" s="74" t="s">
        <v>479</v>
      </c>
      <c r="D371" s="60" t="s">
        <v>286</v>
      </c>
      <c r="E371" s="38">
        <f>F371+I371</f>
        <v>3896586</v>
      </c>
      <c r="F371" s="38">
        <f>4264640-368054</f>
        <v>3896586</v>
      </c>
      <c r="G371" s="38">
        <v>2573806</v>
      </c>
      <c r="H371" s="38">
        <v>102811</v>
      </c>
      <c r="I371" s="38"/>
      <c r="J371" s="38">
        <f>K371+N371</f>
        <v>114582</v>
      </c>
      <c r="K371" s="38">
        <v>66672</v>
      </c>
      <c r="L371" s="38">
        <v>20966</v>
      </c>
      <c r="M371" s="38">
        <v>45</v>
      </c>
      <c r="N371" s="38">
        <f>O371+47910</f>
        <v>47910</v>
      </c>
      <c r="O371" s="38"/>
      <c r="P371" s="55">
        <f t="shared" si="51"/>
        <v>4011168</v>
      </c>
      <c r="Q371" s="53"/>
      <c r="R371" s="59"/>
      <c r="W371" s="53">
        <f t="shared" si="48"/>
        <v>47910</v>
      </c>
    </row>
    <row r="372" spans="1:23" ht="25.5">
      <c r="A372" s="98"/>
      <c r="B372" s="98" t="s">
        <v>185</v>
      </c>
      <c r="C372" s="98"/>
      <c r="D372" s="104" t="s">
        <v>153</v>
      </c>
      <c r="E372" s="51">
        <f>E373+E375+E378+E392</f>
        <v>3666891</v>
      </c>
      <c r="F372" s="51">
        <f>F373+F375+F378+F392</f>
        <v>3666891</v>
      </c>
      <c r="G372" s="51">
        <f>G373+G375+G378+G392</f>
        <v>2602794</v>
      </c>
      <c r="H372" s="51">
        <f>H373+H375+H378+H392</f>
        <v>118056</v>
      </c>
      <c r="I372" s="51"/>
      <c r="J372" s="51">
        <f>K372+N372</f>
        <v>4953067</v>
      </c>
      <c r="K372" s="51">
        <f>K373+K375+K378+K392+K389</f>
        <v>0</v>
      </c>
      <c r="L372" s="51">
        <f>L373+L375+L378+L392</f>
        <v>0</v>
      </c>
      <c r="M372" s="51">
        <f>M373+M375+M378+M392</f>
        <v>0</v>
      </c>
      <c r="N372" s="51">
        <f>N373+N375+N378+N392+N387+N385+N389</f>
        <v>4953067</v>
      </c>
      <c r="O372" s="51">
        <f>O373+O375+O378+O392+O387+O385+O389</f>
        <v>4953067</v>
      </c>
      <c r="P372" s="52">
        <f t="shared" si="51"/>
        <v>8619958</v>
      </c>
      <c r="Q372" s="53"/>
      <c r="R372" s="59"/>
      <c r="W372" s="53">
        <f t="shared" si="48"/>
        <v>0</v>
      </c>
    </row>
    <row r="373" spans="1:23" ht="12.75">
      <c r="A373" s="42"/>
      <c r="B373" s="42" t="s">
        <v>362</v>
      </c>
      <c r="C373" s="42"/>
      <c r="D373" s="43" t="s">
        <v>363</v>
      </c>
      <c r="E373" s="37">
        <f>E374</f>
        <v>3530694</v>
      </c>
      <c r="F373" s="37">
        <f>F374</f>
        <v>3530694</v>
      </c>
      <c r="G373" s="37">
        <f>G374</f>
        <v>2602794</v>
      </c>
      <c r="H373" s="37">
        <f>H374</f>
        <v>118056</v>
      </c>
      <c r="I373" s="37"/>
      <c r="J373" s="38">
        <f t="shared" si="54"/>
        <v>10944</v>
      </c>
      <c r="K373" s="37">
        <f>K374</f>
        <v>0</v>
      </c>
      <c r="L373" s="37">
        <f>L374</f>
        <v>0</v>
      </c>
      <c r="M373" s="37">
        <f>M374</f>
        <v>0</v>
      </c>
      <c r="N373" s="37">
        <f>N374</f>
        <v>10944</v>
      </c>
      <c r="O373" s="37">
        <f>O374</f>
        <v>10944</v>
      </c>
      <c r="P373" s="55">
        <f t="shared" si="51"/>
        <v>3541638</v>
      </c>
      <c r="Q373" s="53"/>
      <c r="R373" s="59"/>
      <c r="W373" s="53">
        <f t="shared" si="48"/>
        <v>0</v>
      </c>
    </row>
    <row r="374" spans="1:23" ht="12.75">
      <c r="A374" s="39"/>
      <c r="B374" s="39" t="s">
        <v>249</v>
      </c>
      <c r="C374" s="74" t="s">
        <v>441</v>
      </c>
      <c r="D374" s="58" t="s">
        <v>250</v>
      </c>
      <c r="E374" s="38">
        <f>F374+I374</f>
        <v>3530694</v>
      </c>
      <c r="F374" s="38">
        <f>3422911-241073+257230+59161+3425+29040</f>
        <v>3530694</v>
      </c>
      <c r="G374" s="38">
        <f>2255041+66720+257230+23803</f>
        <v>2602794</v>
      </c>
      <c r="H374" s="37">
        <v>118056</v>
      </c>
      <c r="I374" s="37"/>
      <c r="J374" s="38">
        <f t="shared" si="54"/>
        <v>10944</v>
      </c>
      <c r="K374" s="38"/>
      <c r="L374" s="38"/>
      <c r="M374" s="38"/>
      <c r="N374" s="38">
        <f>O374</f>
        <v>10944</v>
      </c>
      <c r="O374" s="38">
        <v>10944</v>
      </c>
      <c r="P374" s="55">
        <f t="shared" si="51"/>
        <v>3541638</v>
      </c>
      <c r="Q374" s="53"/>
      <c r="R374" s="59"/>
      <c r="W374" s="53">
        <f t="shared" si="48"/>
        <v>0</v>
      </c>
    </row>
    <row r="375" spans="1:23" ht="12.75" hidden="1">
      <c r="A375" s="74"/>
      <c r="B375" s="74" t="s">
        <v>374</v>
      </c>
      <c r="C375" s="74"/>
      <c r="D375" s="36" t="s">
        <v>375</v>
      </c>
      <c r="E375" s="38">
        <f>E376</f>
        <v>0</v>
      </c>
      <c r="F375" s="38"/>
      <c r="G375" s="38">
        <f>G376</f>
        <v>0</v>
      </c>
      <c r="H375" s="38">
        <f>H376</f>
        <v>0</v>
      </c>
      <c r="I375" s="38"/>
      <c r="J375" s="38">
        <f t="shared" si="54"/>
        <v>0</v>
      </c>
      <c r="K375" s="38">
        <f>K376</f>
        <v>0</v>
      </c>
      <c r="L375" s="38">
        <f>L376</f>
        <v>0</v>
      </c>
      <c r="M375" s="38">
        <f>M376</f>
        <v>0</v>
      </c>
      <c r="N375" s="38">
        <f>N376</f>
        <v>0</v>
      </c>
      <c r="O375" s="38">
        <f>O376</f>
        <v>0</v>
      </c>
      <c r="P375" s="55">
        <f t="shared" si="51"/>
        <v>0</v>
      </c>
      <c r="Q375" s="53"/>
      <c r="R375" s="59"/>
      <c r="W375" s="53">
        <f t="shared" si="48"/>
        <v>0</v>
      </c>
    </row>
    <row r="376" spans="1:23" ht="178.5" hidden="1">
      <c r="A376" s="74"/>
      <c r="B376" s="74" t="s">
        <v>159</v>
      </c>
      <c r="C376" s="74"/>
      <c r="D376" s="75" t="s">
        <v>192</v>
      </c>
      <c r="E376" s="38"/>
      <c r="F376" s="38"/>
      <c r="G376" s="38"/>
      <c r="H376" s="38"/>
      <c r="I376" s="38"/>
      <c r="J376" s="38">
        <f t="shared" si="54"/>
        <v>0</v>
      </c>
      <c r="K376" s="38"/>
      <c r="L376" s="38"/>
      <c r="M376" s="38"/>
      <c r="N376" s="38"/>
      <c r="O376" s="38"/>
      <c r="P376" s="55">
        <f t="shared" si="51"/>
        <v>0</v>
      </c>
      <c r="Q376" s="53"/>
      <c r="R376" s="59"/>
      <c r="W376" s="53">
        <f t="shared" si="48"/>
        <v>0</v>
      </c>
    </row>
    <row r="377" spans="1:23" ht="216.75" hidden="1">
      <c r="A377" s="39"/>
      <c r="B377" s="39"/>
      <c r="C377" s="39"/>
      <c r="D377" s="75" t="s">
        <v>193</v>
      </c>
      <c r="E377" s="38">
        <f>E376</f>
        <v>0</v>
      </c>
      <c r="F377" s="38"/>
      <c r="G377" s="38">
        <f>G376</f>
        <v>0</v>
      </c>
      <c r="H377" s="38">
        <f>H376</f>
        <v>0</v>
      </c>
      <c r="I377" s="38"/>
      <c r="J377" s="38">
        <f t="shared" si="54"/>
        <v>0</v>
      </c>
      <c r="K377" s="38">
        <f>K376</f>
        <v>0</v>
      </c>
      <c r="L377" s="38">
        <f>L376</f>
        <v>0</v>
      </c>
      <c r="M377" s="38">
        <f>M376</f>
        <v>0</v>
      </c>
      <c r="N377" s="38">
        <f>N376</f>
        <v>0</v>
      </c>
      <c r="O377" s="38">
        <f>O376</f>
        <v>0</v>
      </c>
      <c r="P377" s="55">
        <f t="shared" si="51"/>
        <v>0</v>
      </c>
      <c r="Q377" s="53"/>
      <c r="R377" s="59"/>
      <c r="W377" s="53">
        <f t="shared" si="48"/>
        <v>0</v>
      </c>
    </row>
    <row r="378" spans="1:23" ht="12.75">
      <c r="A378" s="39"/>
      <c r="B378" s="39" t="s">
        <v>366</v>
      </c>
      <c r="C378" s="39"/>
      <c r="D378" s="58" t="s">
        <v>283</v>
      </c>
      <c r="E378" s="38">
        <f>E379+E384</f>
        <v>0</v>
      </c>
      <c r="F378" s="38"/>
      <c r="G378" s="38">
        <f>G379+G384</f>
        <v>0</v>
      </c>
      <c r="H378" s="38">
        <f>H379+H384</f>
        <v>0</v>
      </c>
      <c r="I378" s="38"/>
      <c r="J378" s="38">
        <f t="shared" si="54"/>
        <v>4942123</v>
      </c>
      <c r="K378" s="38">
        <f>K379+K384</f>
        <v>0</v>
      </c>
      <c r="L378" s="38">
        <f>L379+L384</f>
        <v>0</v>
      </c>
      <c r="M378" s="38">
        <f>M379+M384</f>
        <v>0</v>
      </c>
      <c r="N378" s="38">
        <f>N379+N384</f>
        <v>4942123</v>
      </c>
      <c r="O378" s="38">
        <f>O379+O384</f>
        <v>4942123</v>
      </c>
      <c r="P378" s="55">
        <f t="shared" si="51"/>
        <v>4942123</v>
      </c>
      <c r="Q378" s="53"/>
      <c r="R378" s="59"/>
      <c r="W378" s="53">
        <f t="shared" si="48"/>
        <v>0</v>
      </c>
    </row>
    <row r="379" spans="1:23" ht="12.75">
      <c r="A379" s="39"/>
      <c r="B379" s="39" t="s">
        <v>338</v>
      </c>
      <c r="C379" s="74" t="s">
        <v>443</v>
      </c>
      <c r="D379" s="36" t="s">
        <v>339</v>
      </c>
      <c r="E379" s="38"/>
      <c r="F379" s="38"/>
      <c r="G379" s="38"/>
      <c r="H379" s="38"/>
      <c r="I379" s="38"/>
      <c r="J379" s="38">
        <f t="shared" si="54"/>
        <v>4924761</v>
      </c>
      <c r="K379" s="38"/>
      <c r="L379" s="38"/>
      <c r="M379" s="38"/>
      <c r="N379" s="38">
        <f>O379</f>
        <v>4924761</v>
      </c>
      <c r="O379" s="38">
        <v>4924761</v>
      </c>
      <c r="P379" s="55">
        <f t="shared" si="51"/>
        <v>4924761</v>
      </c>
      <c r="Q379" s="53"/>
      <c r="R379" s="59"/>
      <c r="W379" s="53">
        <f t="shared" si="48"/>
        <v>0</v>
      </c>
    </row>
    <row r="380" spans="1:23" ht="56.25" hidden="1">
      <c r="A380" s="39"/>
      <c r="B380" s="39"/>
      <c r="C380" s="39"/>
      <c r="D380" s="93" t="s">
        <v>122</v>
      </c>
      <c r="E380" s="38"/>
      <c r="F380" s="38"/>
      <c r="G380" s="38"/>
      <c r="H380" s="38"/>
      <c r="I380" s="38"/>
      <c r="J380" s="38">
        <f t="shared" si="54"/>
        <v>0</v>
      </c>
      <c r="K380" s="38"/>
      <c r="L380" s="38"/>
      <c r="M380" s="38"/>
      <c r="N380" s="38"/>
      <c r="O380" s="76">
        <f>N380</f>
        <v>0</v>
      </c>
      <c r="P380" s="55">
        <f t="shared" si="51"/>
        <v>0</v>
      </c>
      <c r="Q380" s="53"/>
      <c r="R380" s="59"/>
      <c r="W380" s="53">
        <f t="shared" si="48"/>
        <v>0</v>
      </c>
    </row>
    <row r="381" spans="1:23" ht="204" hidden="1">
      <c r="A381" s="39"/>
      <c r="B381" s="39" t="s">
        <v>82</v>
      </c>
      <c r="C381" s="39"/>
      <c r="D381" s="68" t="s">
        <v>67</v>
      </c>
      <c r="E381" s="38"/>
      <c r="F381" s="38"/>
      <c r="G381" s="38"/>
      <c r="H381" s="38"/>
      <c r="I381" s="38"/>
      <c r="J381" s="38">
        <f t="shared" si="54"/>
        <v>0</v>
      </c>
      <c r="K381" s="38"/>
      <c r="L381" s="38"/>
      <c r="M381" s="38"/>
      <c r="N381" s="38"/>
      <c r="O381" s="76"/>
      <c r="P381" s="55">
        <f t="shared" si="51"/>
        <v>0</v>
      </c>
      <c r="Q381" s="53"/>
      <c r="R381" s="59"/>
      <c r="W381" s="53">
        <f t="shared" si="48"/>
        <v>0</v>
      </c>
    </row>
    <row r="382" spans="1:23" ht="22.5" hidden="1">
      <c r="A382" s="39"/>
      <c r="B382" s="39"/>
      <c r="C382" s="39"/>
      <c r="D382" s="93" t="s">
        <v>381</v>
      </c>
      <c r="E382" s="38"/>
      <c r="F382" s="38"/>
      <c r="G382" s="38"/>
      <c r="H382" s="38"/>
      <c r="I382" s="38"/>
      <c r="J382" s="38">
        <f t="shared" si="54"/>
        <v>0</v>
      </c>
      <c r="K382" s="38"/>
      <c r="L382" s="38"/>
      <c r="M382" s="38"/>
      <c r="N382" s="38"/>
      <c r="O382" s="76">
        <f>N382</f>
        <v>0</v>
      </c>
      <c r="P382" s="55">
        <f t="shared" si="51"/>
        <v>0</v>
      </c>
      <c r="Q382" s="53"/>
      <c r="R382" s="59"/>
      <c r="W382" s="53">
        <f t="shared" si="48"/>
        <v>0</v>
      </c>
    </row>
    <row r="383" spans="1:23" ht="33.75" hidden="1">
      <c r="A383" s="39"/>
      <c r="B383" s="39"/>
      <c r="C383" s="39"/>
      <c r="D383" s="94" t="s">
        <v>158</v>
      </c>
      <c r="E383" s="38"/>
      <c r="F383" s="38"/>
      <c r="G383" s="38"/>
      <c r="H383" s="38"/>
      <c r="I383" s="38"/>
      <c r="J383" s="38">
        <f t="shared" si="54"/>
        <v>0</v>
      </c>
      <c r="K383" s="38"/>
      <c r="L383" s="38"/>
      <c r="M383" s="38"/>
      <c r="N383" s="38"/>
      <c r="O383" s="76">
        <f>N383</f>
        <v>0</v>
      </c>
      <c r="P383" s="55">
        <f t="shared" si="51"/>
        <v>0</v>
      </c>
      <c r="Q383" s="53"/>
      <c r="R383" s="59"/>
      <c r="W383" s="53">
        <f t="shared" si="48"/>
        <v>0</v>
      </c>
    </row>
    <row r="384" spans="1:23" ht="63.75">
      <c r="A384" s="39"/>
      <c r="B384" s="39" t="s">
        <v>353</v>
      </c>
      <c r="C384" s="74" t="s">
        <v>474</v>
      </c>
      <c r="D384" s="58" t="s">
        <v>354</v>
      </c>
      <c r="E384" s="38"/>
      <c r="F384" s="38"/>
      <c r="G384" s="38"/>
      <c r="H384" s="38"/>
      <c r="I384" s="38"/>
      <c r="J384" s="38">
        <f t="shared" si="54"/>
        <v>17362</v>
      </c>
      <c r="K384" s="38"/>
      <c r="L384" s="38"/>
      <c r="M384" s="38"/>
      <c r="N384" s="38">
        <f>O384</f>
        <v>17362</v>
      </c>
      <c r="O384" s="76">
        <v>17362</v>
      </c>
      <c r="P384" s="55">
        <f t="shared" si="51"/>
        <v>17362</v>
      </c>
      <c r="Q384" s="53"/>
      <c r="R384" s="59"/>
      <c r="W384" s="53">
        <f t="shared" si="48"/>
        <v>0</v>
      </c>
    </row>
    <row r="385" spans="1:23" ht="25.5" hidden="1">
      <c r="A385" s="39"/>
      <c r="B385" s="39" t="s">
        <v>376</v>
      </c>
      <c r="C385" s="39"/>
      <c r="D385" s="58" t="s">
        <v>377</v>
      </c>
      <c r="E385" s="38"/>
      <c r="F385" s="38"/>
      <c r="G385" s="38"/>
      <c r="H385" s="38"/>
      <c r="I385" s="38"/>
      <c r="J385" s="38">
        <f t="shared" si="54"/>
        <v>0</v>
      </c>
      <c r="K385" s="38"/>
      <c r="L385" s="38"/>
      <c r="M385" s="38"/>
      <c r="N385" s="38">
        <f>N386</f>
        <v>0</v>
      </c>
      <c r="O385" s="76">
        <f>O386</f>
        <v>0</v>
      </c>
      <c r="P385" s="55">
        <f t="shared" si="51"/>
        <v>0</v>
      </c>
      <c r="Q385" s="53"/>
      <c r="R385" s="59"/>
      <c r="W385" s="53"/>
    </row>
    <row r="386" spans="1:23" ht="51" hidden="1">
      <c r="A386" s="39"/>
      <c r="B386" s="39" t="s">
        <v>355</v>
      </c>
      <c r="C386" s="74" t="s">
        <v>443</v>
      </c>
      <c r="D386" s="68" t="s">
        <v>211</v>
      </c>
      <c r="E386" s="38"/>
      <c r="F386" s="38"/>
      <c r="G386" s="38"/>
      <c r="H386" s="38"/>
      <c r="I386" s="38"/>
      <c r="J386" s="38">
        <f t="shared" si="54"/>
        <v>0</v>
      </c>
      <c r="K386" s="38"/>
      <c r="L386" s="38"/>
      <c r="M386" s="38"/>
      <c r="N386" s="38">
        <f>O386</f>
        <v>0</v>
      </c>
      <c r="O386" s="76"/>
      <c r="P386" s="55">
        <f t="shared" si="51"/>
        <v>0</v>
      </c>
      <c r="Q386" s="53"/>
      <c r="R386" s="59"/>
      <c r="W386" s="53"/>
    </row>
    <row r="387" spans="1:23" ht="38.25" hidden="1">
      <c r="A387" s="39"/>
      <c r="B387" s="39"/>
      <c r="C387" s="39"/>
      <c r="D387" s="60" t="s">
        <v>351</v>
      </c>
      <c r="E387" s="38"/>
      <c r="F387" s="38"/>
      <c r="G387" s="38"/>
      <c r="H387" s="38"/>
      <c r="I387" s="38"/>
      <c r="J387" s="38">
        <f t="shared" si="54"/>
        <v>0</v>
      </c>
      <c r="K387" s="38"/>
      <c r="L387" s="38"/>
      <c r="M387" s="38"/>
      <c r="N387" s="38">
        <f>N388</f>
        <v>0</v>
      </c>
      <c r="O387" s="38">
        <f>O388</f>
        <v>0</v>
      </c>
      <c r="P387" s="55">
        <f t="shared" si="51"/>
        <v>0</v>
      </c>
      <c r="Q387" s="53"/>
      <c r="R387" s="59"/>
      <c r="W387" s="53">
        <f t="shared" si="48"/>
        <v>0</v>
      </c>
    </row>
    <row r="388" spans="1:23" ht="38.25" hidden="1">
      <c r="A388" s="39"/>
      <c r="B388" s="39" t="s">
        <v>285</v>
      </c>
      <c r="C388" s="39"/>
      <c r="D388" s="73" t="s">
        <v>241</v>
      </c>
      <c r="E388" s="38"/>
      <c r="F388" s="38"/>
      <c r="G388" s="38"/>
      <c r="H388" s="38"/>
      <c r="I388" s="38"/>
      <c r="J388" s="38">
        <f t="shared" si="54"/>
        <v>0</v>
      </c>
      <c r="K388" s="38"/>
      <c r="L388" s="38"/>
      <c r="M388" s="38"/>
      <c r="N388" s="124">
        <f>20000000-13278839-34410+13313249-20000000</f>
        <v>0</v>
      </c>
      <c r="O388" s="38">
        <f>N388</f>
        <v>0</v>
      </c>
      <c r="P388" s="55">
        <f t="shared" si="51"/>
        <v>0</v>
      </c>
      <c r="Q388" s="53"/>
      <c r="R388" s="59"/>
      <c r="W388" s="53">
        <f t="shared" si="48"/>
        <v>0</v>
      </c>
    </row>
    <row r="389" spans="1:23" ht="12.75" hidden="1">
      <c r="A389" s="39"/>
      <c r="B389" s="9" t="s">
        <v>369</v>
      </c>
      <c r="C389" s="9"/>
      <c r="D389" s="4" t="s">
        <v>373</v>
      </c>
      <c r="E389" s="38"/>
      <c r="F389" s="38"/>
      <c r="G389" s="38"/>
      <c r="H389" s="38"/>
      <c r="I389" s="38"/>
      <c r="J389" s="38">
        <f t="shared" si="54"/>
        <v>0</v>
      </c>
      <c r="K389" s="38">
        <f>K390</f>
        <v>0</v>
      </c>
      <c r="L389" s="38"/>
      <c r="M389" s="38"/>
      <c r="N389" s="124">
        <f>N390</f>
        <v>0</v>
      </c>
      <c r="O389" s="38">
        <f>O390</f>
        <v>0</v>
      </c>
      <c r="P389" s="55">
        <f t="shared" si="51"/>
        <v>0</v>
      </c>
      <c r="Q389" s="53"/>
      <c r="R389" s="59"/>
      <c r="W389" s="53"/>
    </row>
    <row r="390" spans="1:23" ht="63.75" hidden="1">
      <c r="A390" s="39"/>
      <c r="B390" s="9" t="s">
        <v>287</v>
      </c>
      <c r="C390" s="9" t="s">
        <v>444</v>
      </c>
      <c r="D390" s="73" t="s">
        <v>109</v>
      </c>
      <c r="E390" s="38"/>
      <c r="F390" s="38"/>
      <c r="G390" s="38"/>
      <c r="H390" s="38"/>
      <c r="I390" s="38"/>
      <c r="J390" s="38">
        <f t="shared" si="54"/>
        <v>0</v>
      </c>
      <c r="K390" s="38"/>
      <c r="L390" s="38"/>
      <c r="M390" s="38"/>
      <c r="N390" s="124"/>
      <c r="O390" s="38"/>
      <c r="P390" s="55">
        <f t="shared" si="51"/>
        <v>0</v>
      </c>
      <c r="Q390" s="53"/>
      <c r="R390" s="59"/>
      <c r="W390" s="53"/>
    </row>
    <row r="391" spans="1:23" ht="18" customHeight="1">
      <c r="A391" s="39"/>
      <c r="B391" s="39" t="s">
        <v>371</v>
      </c>
      <c r="C391" s="39"/>
      <c r="D391" s="60" t="s">
        <v>372</v>
      </c>
      <c r="E391" s="38">
        <f>E392</f>
        <v>136197</v>
      </c>
      <c r="F391" s="38">
        <f>F392</f>
        <v>136197</v>
      </c>
      <c r="G391" s="38"/>
      <c r="H391" s="38"/>
      <c r="I391" s="38"/>
      <c r="J391" s="38">
        <f t="shared" si="54"/>
        <v>0</v>
      </c>
      <c r="K391" s="38"/>
      <c r="L391" s="38"/>
      <c r="M391" s="38"/>
      <c r="N391" s="38"/>
      <c r="O391" s="38"/>
      <c r="P391" s="38">
        <f>P392</f>
        <v>136197</v>
      </c>
      <c r="Q391" s="53"/>
      <c r="R391" s="59"/>
      <c r="W391" s="53">
        <f t="shared" si="48"/>
        <v>0</v>
      </c>
    </row>
    <row r="392" spans="1:23" ht="12.75">
      <c r="A392" s="74"/>
      <c r="B392" s="74" t="s">
        <v>288</v>
      </c>
      <c r="C392" s="74" t="s">
        <v>444</v>
      </c>
      <c r="D392" s="68" t="s">
        <v>316</v>
      </c>
      <c r="E392" s="76">
        <f>E394+E393</f>
        <v>136197</v>
      </c>
      <c r="F392" s="76">
        <f>F394+F393</f>
        <v>136197</v>
      </c>
      <c r="G392" s="38">
        <f>G394</f>
        <v>0</v>
      </c>
      <c r="H392" s="38">
        <f>H394</f>
        <v>0</v>
      </c>
      <c r="I392" s="38">
        <f>I394</f>
        <v>0</v>
      </c>
      <c r="J392" s="38">
        <f t="shared" si="54"/>
        <v>0</v>
      </c>
      <c r="K392" s="38">
        <f>K394</f>
        <v>0</v>
      </c>
      <c r="L392" s="38">
        <f>L394</f>
        <v>0</v>
      </c>
      <c r="M392" s="38">
        <f>M394</f>
        <v>0</v>
      </c>
      <c r="N392" s="38">
        <f>N394</f>
        <v>0</v>
      </c>
      <c r="O392" s="38">
        <f>O394</f>
        <v>0</v>
      </c>
      <c r="P392" s="38">
        <f>P394+P393</f>
        <v>136197</v>
      </c>
      <c r="Q392" s="53"/>
      <c r="R392" s="59"/>
      <c r="W392" s="53">
        <f t="shared" si="48"/>
        <v>0</v>
      </c>
    </row>
    <row r="393" spans="1:23" ht="25.5" hidden="1">
      <c r="A393" s="74"/>
      <c r="B393" s="74"/>
      <c r="C393" s="74"/>
      <c r="D393" s="68" t="s">
        <v>495</v>
      </c>
      <c r="E393" s="76">
        <f>F393</f>
        <v>136197</v>
      </c>
      <c r="F393" s="76">
        <v>136197</v>
      </c>
      <c r="G393" s="38"/>
      <c r="H393" s="38"/>
      <c r="I393" s="38"/>
      <c r="J393" s="38"/>
      <c r="K393" s="38"/>
      <c r="L393" s="38"/>
      <c r="M393" s="38"/>
      <c r="N393" s="38"/>
      <c r="O393" s="38"/>
      <c r="P393" s="38">
        <f>E393+J393</f>
        <v>136197</v>
      </c>
      <c r="Q393" s="53"/>
      <c r="R393" s="59"/>
      <c r="W393" s="53"/>
    </row>
    <row r="394" spans="1:23" ht="12.75" hidden="1">
      <c r="A394" s="39"/>
      <c r="B394" s="39"/>
      <c r="C394" s="39"/>
      <c r="D394" s="75"/>
      <c r="E394" s="38">
        <f>F394+I394</f>
        <v>0</v>
      </c>
      <c r="F394" s="38"/>
      <c r="G394" s="38"/>
      <c r="H394" s="38"/>
      <c r="I394" s="38"/>
      <c r="J394" s="38">
        <f t="shared" si="54"/>
        <v>0</v>
      </c>
      <c r="K394" s="38"/>
      <c r="L394" s="38"/>
      <c r="M394" s="38"/>
      <c r="N394" s="38">
        <f>O394</f>
        <v>0</v>
      </c>
      <c r="O394" s="38"/>
      <c r="P394" s="55">
        <f>E394+J394</f>
        <v>0</v>
      </c>
      <c r="Q394" s="53"/>
      <c r="R394" s="59"/>
      <c r="W394" s="53">
        <f t="shared" si="48"/>
        <v>0</v>
      </c>
    </row>
    <row r="395" spans="1:23" s="57" customFormat="1" ht="27" customHeight="1">
      <c r="A395" s="98"/>
      <c r="B395" s="98" t="s">
        <v>183</v>
      </c>
      <c r="C395" s="98"/>
      <c r="D395" s="100" t="s">
        <v>130</v>
      </c>
      <c r="E395" s="51">
        <f>E396+E406+E402+E404+E400</f>
        <v>7084534</v>
      </c>
      <c r="F395" s="51">
        <f aca="true" t="shared" si="55" ref="F395:O395">F396+F406+F402+F404+F400</f>
        <v>7084534</v>
      </c>
      <c r="G395" s="51">
        <f t="shared" si="55"/>
        <v>5023128</v>
      </c>
      <c r="H395" s="51">
        <f t="shared" si="55"/>
        <v>386661</v>
      </c>
      <c r="I395" s="51">
        <f t="shared" si="55"/>
        <v>0</v>
      </c>
      <c r="J395" s="51">
        <f t="shared" si="55"/>
        <v>157040</v>
      </c>
      <c r="K395" s="51">
        <f t="shared" si="55"/>
        <v>0</v>
      </c>
      <c r="L395" s="51">
        <f t="shared" si="55"/>
        <v>0</v>
      </c>
      <c r="M395" s="51">
        <f t="shared" si="55"/>
        <v>0</v>
      </c>
      <c r="N395" s="51">
        <f t="shared" si="55"/>
        <v>157040</v>
      </c>
      <c r="O395" s="51">
        <f t="shared" si="55"/>
        <v>157040</v>
      </c>
      <c r="P395" s="52">
        <f>E395+J395</f>
        <v>7241574</v>
      </c>
      <c r="Q395" s="53"/>
      <c r="W395" s="53">
        <f>N395-O395</f>
        <v>0</v>
      </c>
    </row>
    <row r="396" spans="1:23" s="57" customFormat="1" ht="12.75">
      <c r="A396" s="42"/>
      <c r="B396" s="42" t="s">
        <v>362</v>
      </c>
      <c r="C396" s="42"/>
      <c r="D396" s="43" t="s">
        <v>363</v>
      </c>
      <c r="E396" s="37">
        <f>E397</f>
        <v>7057834</v>
      </c>
      <c r="F396" s="37">
        <f>F397</f>
        <v>7057834</v>
      </c>
      <c r="G396" s="37">
        <f>G397</f>
        <v>5023128</v>
      </c>
      <c r="H396" s="37">
        <f>H397</f>
        <v>386661</v>
      </c>
      <c r="I396" s="37"/>
      <c r="J396" s="38">
        <f aca="true" t="shared" si="56" ref="J396:O396">J397</f>
        <v>157040</v>
      </c>
      <c r="K396" s="38">
        <f t="shared" si="56"/>
        <v>0</v>
      </c>
      <c r="L396" s="38">
        <f t="shared" si="56"/>
        <v>0</v>
      </c>
      <c r="M396" s="38">
        <f t="shared" si="56"/>
        <v>0</v>
      </c>
      <c r="N396" s="38">
        <f t="shared" si="56"/>
        <v>157040</v>
      </c>
      <c r="O396" s="38">
        <f t="shared" si="56"/>
        <v>157040</v>
      </c>
      <c r="P396" s="55">
        <f t="shared" si="51"/>
        <v>7214874</v>
      </c>
      <c r="Q396" s="53"/>
      <c r="W396" s="53">
        <f t="shared" si="48"/>
        <v>0</v>
      </c>
    </row>
    <row r="397" spans="1:23" s="57" customFormat="1" ht="12.75">
      <c r="A397" s="39"/>
      <c r="B397" s="39" t="s">
        <v>249</v>
      </c>
      <c r="C397" s="74" t="s">
        <v>441</v>
      </c>
      <c r="D397" s="58" t="s">
        <v>250</v>
      </c>
      <c r="E397" s="38">
        <f>F397+I397</f>
        <v>7057834</v>
      </c>
      <c r="F397" s="38">
        <f>6674427-294767+119110+564855+125165-130956</f>
        <v>7057834</v>
      </c>
      <c r="G397" s="38">
        <f>4307720+258070+564855-107517</f>
        <v>5023128</v>
      </c>
      <c r="H397" s="38">
        <v>386661</v>
      </c>
      <c r="I397" s="38"/>
      <c r="J397" s="38">
        <f aca="true" t="shared" si="57" ref="J397:J409">K397+N397</f>
        <v>157040</v>
      </c>
      <c r="K397" s="38"/>
      <c r="L397" s="38"/>
      <c r="M397" s="38"/>
      <c r="N397" s="38">
        <f>O397</f>
        <v>157040</v>
      </c>
      <c r="O397" s="38">
        <v>157040</v>
      </c>
      <c r="P397" s="55">
        <f t="shared" si="51"/>
        <v>7214874</v>
      </c>
      <c r="Q397" s="53"/>
      <c r="W397" s="53">
        <f t="shared" si="48"/>
        <v>0</v>
      </c>
    </row>
    <row r="398" spans="1:23" s="57" customFormat="1" ht="12.75" hidden="1">
      <c r="A398" s="39"/>
      <c r="B398" s="39" t="s">
        <v>366</v>
      </c>
      <c r="C398" s="39"/>
      <c r="D398" s="58" t="s">
        <v>283</v>
      </c>
      <c r="E398" s="38"/>
      <c r="F398" s="38"/>
      <c r="G398" s="38"/>
      <c r="H398" s="38"/>
      <c r="I398" s="38"/>
      <c r="J398" s="38">
        <f t="shared" si="57"/>
        <v>0</v>
      </c>
      <c r="K398" s="38"/>
      <c r="L398" s="38"/>
      <c r="M398" s="38"/>
      <c r="N398" s="38">
        <f>O398</f>
        <v>0</v>
      </c>
      <c r="O398" s="38">
        <f>O399</f>
        <v>0</v>
      </c>
      <c r="P398" s="55">
        <f t="shared" si="51"/>
        <v>0</v>
      </c>
      <c r="Q398" s="53"/>
      <c r="W398" s="53"/>
    </row>
    <row r="399" spans="1:23" s="57" customFormat="1" ht="12.75" hidden="1">
      <c r="A399" s="39"/>
      <c r="B399" s="39" t="s">
        <v>338</v>
      </c>
      <c r="C399" s="74" t="s">
        <v>443</v>
      </c>
      <c r="D399" s="36" t="s">
        <v>339</v>
      </c>
      <c r="E399" s="38"/>
      <c r="F399" s="38"/>
      <c r="G399" s="38"/>
      <c r="H399" s="38"/>
      <c r="I399" s="38"/>
      <c r="J399" s="38">
        <f t="shared" si="57"/>
        <v>0</v>
      </c>
      <c r="K399" s="38"/>
      <c r="L399" s="38"/>
      <c r="M399" s="38"/>
      <c r="N399" s="38">
        <f>O399</f>
        <v>0</v>
      </c>
      <c r="O399" s="171"/>
      <c r="P399" s="55">
        <f t="shared" si="51"/>
        <v>0</v>
      </c>
      <c r="Q399" s="53"/>
      <c r="W399" s="53"/>
    </row>
    <row r="400" spans="1:23" s="57" customFormat="1" ht="12.75" hidden="1">
      <c r="A400" s="39"/>
      <c r="B400" s="39" t="s">
        <v>379</v>
      </c>
      <c r="C400" s="39"/>
      <c r="D400" s="36" t="s">
        <v>380</v>
      </c>
      <c r="E400" s="38"/>
      <c r="F400" s="38"/>
      <c r="G400" s="38">
        <f>G401</f>
        <v>0</v>
      </c>
      <c r="H400" s="38">
        <f>H401</f>
        <v>0</v>
      </c>
      <c r="I400" s="38"/>
      <c r="J400" s="38">
        <f t="shared" si="57"/>
        <v>0</v>
      </c>
      <c r="K400" s="38"/>
      <c r="L400" s="38"/>
      <c r="M400" s="38"/>
      <c r="N400" s="38"/>
      <c r="O400" s="38"/>
      <c r="P400" s="55">
        <f t="shared" si="51"/>
        <v>0</v>
      </c>
      <c r="Q400" s="53"/>
      <c r="W400" s="53">
        <f t="shared" si="48"/>
        <v>0</v>
      </c>
    </row>
    <row r="401" spans="1:23" ht="12.75" hidden="1">
      <c r="A401" s="39"/>
      <c r="B401" s="39" t="s">
        <v>342</v>
      </c>
      <c r="C401" s="39"/>
      <c r="D401" s="60" t="s">
        <v>336</v>
      </c>
      <c r="E401" s="38"/>
      <c r="F401" s="38"/>
      <c r="G401" s="38"/>
      <c r="H401" s="38"/>
      <c r="I401" s="38"/>
      <c r="J401" s="38">
        <f t="shared" si="57"/>
        <v>0</v>
      </c>
      <c r="K401" s="38"/>
      <c r="L401" s="38"/>
      <c r="M401" s="38"/>
      <c r="N401" s="38"/>
      <c r="O401" s="38"/>
      <c r="P401" s="55">
        <f t="shared" si="51"/>
        <v>0</v>
      </c>
      <c r="Q401" s="53"/>
      <c r="R401" s="59"/>
      <c r="W401" s="53">
        <f t="shared" si="48"/>
        <v>0</v>
      </c>
    </row>
    <row r="402" spans="1:23" ht="12.75" hidden="1">
      <c r="A402" s="9"/>
      <c r="B402" s="9" t="s">
        <v>369</v>
      </c>
      <c r="C402" s="9"/>
      <c r="D402" s="4" t="s">
        <v>373</v>
      </c>
      <c r="E402" s="38">
        <f>E403</f>
        <v>0</v>
      </c>
      <c r="F402" s="38"/>
      <c r="G402" s="38">
        <f>G403</f>
        <v>0</v>
      </c>
      <c r="H402" s="38">
        <f>H403</f>
        <v>0</v>
      </c>
      <c r="I402" s="38"/>
      <c r="J402" s="38">
        <f t="shared" si="57"/>
        <v>0</v>
      </c>
      <c r="K402" s="38">
        <f>K403</f>
        <v>0</v>
      </c>
      <c r="L402" s="38">
        <f>L403</f>
        <v>0</v>
      </c>
      <c r="M402" s="38">
        <f>M403</f>
        <v>0</v>
      </c>
      <c r="N402" s="38"/>
      <c r="O402" s="38">
        <f>O403</f>
        <v>0</v>
      </c>
      <c r="P402" s="55">
        <f t="shared" si="51"/>
        <v>0</v>
      </c>
      <c r="Q402" s="53"/>
      <c r="R402" s="59"/>
      <c r="W402" s="53">
        <f t="shared" si="48"/>
        <v>0</v>
      </c>
    </row>
    <row r="403" spans="1:23" ht="63.75" hidden="1">
      <c r="A403" s="9"/>
      <c r="B403" s="9" t="s">
        <v>287</v>
      </c>
      <c r="C403" s="9"/>
      <c r="D403" s="73" t="s">
        <v>109</v>
      </c>
      <c r="E403" s="38"/>
      <c r="F403" s="38"/>
      <c r="G403" s="38"/>
      <c r="H403" s="38"/>
      <c r="I403" s="38"/>
      <c r="J403" s="38">
        <f t="shared" si="57"/>
        <v>0</v>
      </c>
      <c r="K403" s="38"/>
      <c r="L403" s="38"/>
      <c r="M403" s="38"/>
      <c r="N403" s="38"/>
      <c r="O403" s="38"/>
      <c r="P403" s="55">
        <f t="shared" si="51"/>
        <v>0</v>
      </c>
      <c r="Q403" s="53"/>
      <c r="R403" s="59"/>
      <c r="W403" s="53">
        <f t="shared" si="48"/>
        <v>0</v>
      </c>
    </row>
    <row r="404" spans="1:23" ht="38.25" hidden="1">
      <c r="A404" s="9"/>
      <c r="B404" s="9" t="s">
        <v>194</v>
      </c>
      <c r="C404" s="9"/>
      <c r="D404" s="60" t="s">
        <v>351</v>
      </c>
      <c r="E404" s="38">
        <f>E405</f>
        <v>0</v>
      </c>
      <c r="F404" s="38"/>
      <c r="G404" s="38"/>
      <c r="H404" s="38"/>
      <c r="I404" s="38"/>
      <c r="J404" s="38">
        <f t="shared" si="57"/>
        <v>0</v>
      </c>
      <c r="K404" s="38"/>
      <c r="L404" s="38"/>
      <c r="M404" s="38"/>
      <c r="N404" s="38"/>
      <c r="O404" s="38">
        <f>O405</f>
        <v>0</v>
      </c>
      <c r="P404" s="55">
        <f t="shared" si="51"/>
        <v>0</v>
      </c>
      <c r="Q404" s="53"/>
      <c r="R404" s="59"/>
      <c r="W404" s="53">
        <f t="shared" si="48"/>
        <v>0</v>
      </c>
    </row>
    <row r="405" spans="1:23" ht="38.25" hidden="1">
      <c r="A405" s="9"/>
      <c r="B405" s="9" t="s">
        <v>285</v>
      </c>
      <c r="C405" s="9"/>
      <c r="D405" s="73" t="s">
        <v>241</v>
      </c>
      <c r="E405" s="38"/>
      <c r="F405" s="38"/>
      <c r="G405" s="38"/>
      <c r="H405" s="38"/>
      <c r="I405" s="38"/>
      <c r="J405" s="38">
        <f t="shared" si="57"/>
        <v>0</v>
      </c>
      <c r="K405" s="38"/>
      <c r="L405" s="38"/>
      <c r="M405" s="38"/>
      <c r="N405" s="38"/>
      <c r="O405" s="38"/>
      <c r="P405" s="55">
        <f t="shared" si="51"/>
        <v>0</v>
      </c>
      <c r="Q405" s="53"/>
      <c r="R405" s="59"/>
      <c r="W405" s="53">
        <f t="shared" si="48"/>
        <v>0</v>
      </c>
    </row>
    <row r="406" spans="1:23" ht="13.5" customHeight="1">
      <c r="A406" s="42"/>
      <c r="B406" s="42" t="s">
        <v>371</v>
      </c>
      <c r="C406" s="42"/>
      <c r="D406" s="43" t="s">
        <v>372</v>
      </c>
      <c r="E406" s="37">
        <f>F406</f>
        <v>26700</v>
      </c>
      <c r="F406" s="37">
        <f>F407</f>
        <v>26700</v>
      </c>
      <c r="G406" s="37">
        <f>G407</f>
        <v>0</v>
      </c>
      <c r="H406" s="37">
        <f>H407</f>
        <v>0</v>
      </c>
      <c r="I406" s="37"/>
      <c r="J406" s="38">
        <f t="shared" si="57"/>
        <v>0</v>
      </c>
      <c r="K406" s="37"/>
      <c r="L406" s="37"/>
      <c r="M406" s="37"/>
      <c r="N406" s="38">
        <f>N413</f>
        <v>0</v>
      </c>
      <c r="O406" s="37">
        <f>O413</f>
        <v>0</v>
      </c>
      <c r="P406" s="55">
        <f t="shared" si="51"/>
        <v>26700</v>
      </c>
      <c r="Q406" s="53"/>
      <c r="R406" s="59"/>
      <c r="W406" s="53">
        <f t="shared" si="48"/>
        <v>0</v>
      </c>
    </row>
    <row r="407" spans="1:23" ht="12.75">
      <c r="A407" s="42"/>
      <c r="B407" s="42" t="s">
        <v>288</v>
      </c>
      <c r="C407" s="86" t="s">
        <v>444</v>
      </c>
      <c r="D407" s="43" t="s">
        <v>316</v>
      </c>
      <c r="E407" s="108">
        <f>E408</f>
        <v>26700</v>
      </c>
      <c r="F407" s="108">
        <f>F408</f>
        <v>26700</v>
      </c>
      <c r="G407" s="37"/>
      <c r="H407" s="37"/>
      <c r="I407" s="37"/>
      <c r="J407" s="37">
        <f t="shared" si="57"/>
        <v>0</v>
      </c>
      <c r="K407" s="37"/>
      <c r="L407" s="37"/>
      <c r="M407" s="37"/>
      <c r="N407" s="37"/>
      <c r="O407" s="37"/>
      <c r="P407" s="55">
        <f aca="true" t="shared" si="58" ref="P407:P415">E407+J407</f>
        <v>26700</v>
      </c>
      <c r="Q407" s="53"/>
      <c r="R407" s="59"/>
      <c r="W407" s="53">
        <f t="shared" si="48"/>
        <v>0</v>
      </c>
    </row>
    <row r="408" spans="1:23" s="158" customFormat="1" ht="25.5" hidden="1">
      <c r="A408" s="159"/>
      <c r="B408" s="159"/>
      <c r="C408" s="159"/>
      <c r="D408" s="160" t="s">
        <v>110</v>
      </c>
      <c r="E408" s="154">
        <f>F408+I408</f>
        <v>26700</v>
      </c>
      <c r="F408" s="154">
        <v>26700</v>
      </c>
      <c r="G408" s="161"/>
      <c r="H408" s="161"/>
      <c r="I408" s="161"/>
      <c r="J408" s="161"/>
      <c r="K408" s="161"/>
      <c r="L408" s="161"/>
      <c r="M408" s="161"/>
      <c r="N408" s="161"/>
      <c r="O408" s="161"/>
      <c r="P408" s="155">
        <f t="shared" si="58"/>
        <v>26700</v>
      </c>
      <c r="Q408" s="156"/>
      <c r="R408" s="157"/>
      <c r="W408" s="156">
        <f t="shared" si="48"/>
        <v>0</v>
      </c>
    </row>
    <row r="409" spans="1:23" ht="28.5" customHeight="1">
      <c r="A409" s="98"/>
      <c r="B409" s="98" t="s">
        <v>184</v>
      </c>
      <c r="C409" s="98"/>
      <c r="D409" s="100" t="s">
        <v>130</v>
      </c>
      <c r="E409" s="51">
        <f>E410</f>
        <v>187426836</v>
      </c>
      <c r="F409" s="51">
        <f>F410</f>
        <v>187426836</v>
      </c>
      <c r="G409" s="51">
        <f>G410</f>
        <v>0</v>
      </c>
      <c r="H409" s="51">
        <f>H410</f>
        <v>0</v>
      </c>
      <c r="I409" s="51"/>
      <c r="J409" s="51">
        <f t="shared" si="57"/>
        <v>3798382</v>
      </c>
      <c r="K409" s="51">
        <f>K410</f>
        <v>0</v>
      </c>
      <c r="L409" s="51">
        <f>L410</f>
        <v>0</v>
      </c>
      <c r="M409" s="51">
        <f>M410</f>
        <v>0</v>
      </c>
      <c r="N409" s="51">
        <f>N410</f>
        <v>3798382</v>
      </c>
      <c r="O409" s="51">
        <f>O410</f>
        <v>3798382</v>
      </c>
      <c r="P409" s="52">
        <f t="shared" si="58"/>
        <v>191225218</v>
      </c>
      <c r="Q409" s="53"/>
      <c r="R409" s="59"/>
      <c r="W409" s="53">
        <f aca="true" t="shared" si="59" ref="W409:W485">N409-O409</f>
        <v>0</v>
      </c>
    </row>
    <row r="410" spans="1:23" ht="14.25" customHeight="1">
      <c r="A410" s="42"/>
      <c r="B410" s="42" t="s">
        <v>371</v>
      </c>
      <c r="C410" s="42"/>
      <c r="D410" s="43" t="s">
        <v>372</v>
      </c>
      <c r="E410" s="37">
        <f>E411+E412+E415+E413+E414</f>
        <v>187426836</v>
      </c>
      <c r="F410" s="37">
        <f>F411+F412+F415+F413+F414</f>
        <v>187426836</v>
      </c>
      <c r="G410" s="37">
        <f>G411+G412+G415+G413+G414</f>
        <v>0</v>
      </c>
      <c r="H410" s="37">
        <f>H411+H412+H415+H413+H414</f>
        <v>0</v>
      </c>
      <c r="I410" s="37">
        <f>I411+I412+I415+I413+I414</f>
        <v>0</v>
      </c>
      <c r="J410" s="37">
        <f aca="true" t="shared" si="60" ref="J410:O410">J412+J414+J415</f>
        <v>3798382</v>
      </c>
      <c r="K410" s="37">
        <f t="shared" si="60"/>
        <v>0</v>
      </c>
      <c r="L410" s="37">
        <f t="shared" si="60"/>
        <v>0</v>
      </c>
      <c r="M410" s="37">
        <f t="shared" si="60"/>
        <v>0</v>
      </c>
      <c r="N410" s="37">
        <f t="shared" si="60"/>
        <v>3798382</v>
      </c>
      <c r="O410" s="37">
        <f t="shared" si="60"/>
        <v>3798382</v>
      </c>
      <c r="P410" s="55">
        <f t="shared" si="58"/>
        <v>191225218</v>
      </c>
      <c r="Q410" s="53"/>
      <c r="R410" s="59"/>
      <c r="W410" s="53">
        <f t="shared" si="59"/>
        <v>0</v>
      </c>
    </row>
    <row r="411" spans="1:23" ht="12.75" hidden="1">
      <c r="A411" s="42"/>
      <c r="B411" s="86" t="s">
        <v>421</v>
      </c>
      <c r="C411" s="86" t="s">
        <v>444</v>
      </c>
      <c r="D411" s="72" t="s">
        <v>422</v>
      </c>
      <c r="E411" s="37"/>
      <c r="F411" s="37"/>
      <c r="G411" s="37"/>
      <c r="H411" s="37"/>
      <c r="I411" s="37"/>
      <c r="J411" s="37"/>
      <c r="K411" s="37"/>
      <c r="L411" s="37"/>
      <c r="M411" s="37"/>
      <c r="N411" s="37"/>
      <c r="O411" s="37"/>
      <c r="P411" s="55">
        <f t="shared" si="58"/>
        <v>0</v>
      </c>
      <c r="Q411" s="53"/>
      <c r="R411" s="59"/>
      <c r="W411" s="53"/>
    </row>
    <row r="412" spans="1:23" s="54" customFormat="1" ht="12.75">
      <c r="A412" s="86"/>
      <c r="B412" s="86" t="s">
        <v>290</v>
      </c>
      <c r="C412" s="86" t="s">
        <v>480</v>
      </c>
      <c r="D412" s="72" t="s">
        <v>420</v>
      </c>
      <c r="E412" s="37">
        <f>F412</f>
        <v>185199400</v>
      </c>
      <c r="F412" s="37">
        <f>154912300+30287100</f>
        <v>185199400</v>
      </c>
      <c r="G412" s="37"/>
      <c r="H412" s="37"/>
      <c r="I412" s="37"/>
      <c r="J412" s="37"/>
      <c r="K412" s="37"/>
      <c r="L412" s="37"/>
      <c r="M412" s="37"/>
      <c r="N412" s="37"/>
      <c r="O412" s="37"/>
      <c r="P412" s="55">
        <f t="shared" si="58"/>
        <v>185199400</v>
      </c>
      <c r="Q412" s="53"/>
      <c r="R412" s="53"/>
      <c r="W412" s="53">
        <f t="shared" si="59"/>
        <v>0</v>
      </c>
    </row>
    <row r="413" spans="1:25" ht="18" hidden="1">
      <c r="A413" s="42"/>
      <c r="B413" s="86" t="s">
        <v>421</v>
      </c>
      <c r="C413" s="42"/>
      <c r="D413" s="72" t="s">
        <v>422</v>
      </c>
      <c r="E413" s="37">
        <f>424385-424385</f>
        <v>0</v>
      </c>
      <c r="F413" s="37"/>
      <c r="G413" s="37"/>
      <c r="H413" s="37"/>
      <c r="I413" s="37"/>
      <c r="J413" s="38">
        <f>K413+N413</f>
        <v>0</v>
      </c>
      <c r="K413" s="37"/>
      <c r="L413" s="37"/>
      <c r="M413" s="37"/>
      <c r="N413" s="38">
        <f>O413</f>
        <v>0</v>
      </c>
      <c r="O413" s="170"/>
      <c r="P413" s="55">
        <f>E413+J413</f>
        <v>0</v>
      </c>
      <c r="Q413" s="53"/>
      <c r="R413" s="59"/>
      <c r="W413" s="173">
        <f>E590*1%</f>
        <v>41521869.730000004</v>
      </c>
      <c r="X413" s="174">
        <f>W413-E413</f>
        <v>41521869.730000004</v>
      </c>
      <c r="Y413" s="172">
        <f>E413/E590*100</f>
        <v>0</v>
      </c>
    </row>
    <row r="414" spans="1:23" s="57" customFormat="1" ht="51">
      <c r="A414" s="39"/>
      <c r="B414" s="39" t="s">
        <v>81</v>
      </c>
      <c r="C414" s="39"/>
      <c r="D414" s="68" t="s">
        <v>155</v>
      </c>
      <c r="E414" s="38">
        <f>F414</f>
        <v>2227436</v>
      </c>
      <c r="F414" s="38">
        <v>2227436</v>
      </c>
      <c r="G414" s="38"/>
      <c r="H414" s="38"/>
      <c r="I414" s="38"/>
      <c r="J414" s="38">
        <f>K414+N414</f>
        <v>3698382</v>
      </c>
      <c r="K414" s="38"/>
      <c r="L414" s="38"/>
      <c r="M414" s="38"/>
      <c r="N414" s="38">
        <f>O414</f>
        <v>3698382</v>
      </c>
      <c r="O414" s="38">
        <v>3698382</v>
      </c>
      <c r="P414" s="55">
        <f t="shared" si="58"/>
        <v>5925818</v>
      </c>
      <c r="Q414" s="53"/>
      <c r="R414" s="56"/>
      <c r="W414" s="53">
        <f t="shared" si="59"/>
        <v>0</v>
      </c>
    </row>
    <row r="415" spans="1:23" s="57" customFormat="1" ht="12.75">
      <c r="A415" s="74"/>
      <c r="B415" s="74" t="s">
        <v>228</v>
      </c>
      <c r="C415" s="74" t="s">
        <v>480</v>
      </c>
      <c r="D415" s="68" t="s">
        <v>227</v>
      </c>
      <c r="E415" s="38">
        <f>F415</f>
        <v>0</v>
      </c>
      <c r="F415" s="38"/>
      <c r="G415" s="38"/>
      <c r="H415" s="38"/>
      <c r="I415" s="38"/>
      <c r="J415" s="38">
        <f>N415</f>
        <v>100000</v>
      </c>
      <c r="K415" s="38"/>
      <c r="L415" s="38"/>
      <c r="M415" s="38"/>
      <c r="N415" s="38">
        <f>O415</f>
        <v>100000</v>
      </c>
      <c r="O415" s="38">
        <v>100000</v>
      </c>
      <c r="P415" s="55">
        <f t="shared" si="58"/>
        <v>100000</v>
      </c>
      <c r="Q415" s="53"/>
      <c r="R415" s="56"/>
      <c r="W415" s="53">
        <f t="shared" si="59"/>
        <v>0</v>
      </c>
    </row>
    <row r="416" spans="1:23" s="19" customFormat="1" ht="38.25">
      <c r="A416" s="18"/>
      <c r="B416" s="18" t="s">
        <v>162</v>
      </c>
      <c r="C416" s="18"/>
      <c r="D416" s="20" t="s">
        <v>56</v>
      </c>
      <c r="E416" s="31">
        <f>E417+E421+E428+E430+E426+E419</f>
        <v>30709693</v>
      </c>
      <c r="F416" s="31">
        <f>F417+F421+F428+F430+F426+F419</f>
        <v>30709693</v>
      </c>
      <c r="G416" s="31">
        <f aca="true" t="shared" si="61" ref="G416:M416">G417+G421+G428+G430</f>
        <v>3591117</v>
      </c>
      <c r="H416" s="31">
        <f t="shared" si="61"/>
        <v>715694</v>
      </c>
      <c r="I416" s="31"/>
      <c r="J416" s="31">
        <f>J417+J421+J428+J430+J424</f>
        <v>4015851</v>
      </c>
      <c r="K416" s="31">
        <f t="shared" si="61"/>
        <v>154548</v>
      </c>
      <c r="L416" s="31">
        <f t="shared" si="61"/>
        <v>0</v>
      </c>
      <c r="M416" s="31">
        <f t="shared" si="61"/>
        <v>0</v>
      </c>
      <c r="N416" s="31">
        <f>N417+N421+N428+N430+N424</f>
        <v>3861303</v>
      </c>
      <c r="O416" s="31">
        <f>O417+O421+O428+O430+O424</f>
        <v>3861303</v>
      </c>
      <c r="P416" s="30">
        <f>E416+J416</f>
        <v>34725544</v>
      </c>
      <c r="Q416" s="53"/>
      <c r="W416" s="53">
        <f t="shared" si="59"/>
        <v>0</v>
      </c>
    </row>
    <row r="417" spans="1:23" s="3" customFormat="1" ht="12.75">
      <c r="A417" s="9"/>
      <c r="B417" s="9" t="s">
        <v>362</v>
      </c>
      <c r="C417" s="9"/>
      <c r="D417" s="4" t="s">
        <v>363</v>
      </c>
      <c r="E417" s="27">
        <f>E418</f>
        <v>5584807</v>
      </c>
      <c r="F417" s="27">
        <f>F418</f>
        <v>5584807</v>
      </c>
      <c r="G417" s="27">
        <f>G418</f>
        <v>3591117</v>
      </c>
      <c r="H417" s="27">
        <f>H418</f>
        <v>549121</v>
      </c>
      <c r="I417" s="27"/>
      <c r="J417" s="27">
        <f>K417+N417</f>
        <v>334482</v>
      </c>
      <c r="K417" s="27">
        <f>K418</f>
        <v>154548</v>
      </c>
      <c r="L417" s="27">
        <f>L418</f>
        <v>0</v>
      </c>
      <c r="M417" s="27">
        <f>M418</f>
        <v>0</v>
      </c>
      <c r="N417" s="27">
        <f>N418</f>
        <v>179934</v>
      </c>
      <c r="O417" s="27">
        <f>O418</f>
        <v>179934</v>
      </c>
      <c r="P417" s="26">
        <f aca="true" t="shared" si="62" ref="P417:P478">E417+J417</f>
        <v>5919289</v>
      </c>
      <c r="Q417" s="53"/>
      <c r="W417" s="53">
        <f t="shared" si="59"/>
        <v>0</v>
      </c>
    </row>
    <row r="418" spans="1:23" s="3" customFormat="1" ht="12.75">
      <c r="A418" s="9"/>
      <c r="B418" s="9" t="s">
        <v>249</v>
      </c>
      <c r="C418" s="9" t="s">
        <v>441</v>
      </c>
      <c r="D418" s="4" t="s">
        <v>250</v>
      </c>
      <c r="E418" s="27">
        <f>F418+I418</f>
        <v>5584807</v>
      </c>
      <c r="F418" s="27">
        <f>5445238-413249+106996+368110+77074+23570-22932</f>
        <v>5584807</v>
      </c>
      <c r="G418" s="27">
        <f>3207801+34190+368110-18984</f>
        <v>3591117</v>
      </c>
      <c r="H418" s="27">
        <v>549121</v>
      </c>
      <c r="I418" s="27"/>
      <c r="J418" s="27">
        <f>K418+N418</f>
        <v>334482</v>
      </c>
      <c r="K418" s="27">
        <v>154548</v>
      </c>
      <c r="L418" s="27"/>
      <c r="M418" s="27"/>
      <c r="N418" s="27">
        <f>O418</f>
        <v>179934</v>
      </c>
      <c r="O418" s="27">
        <v>179934</v>
      </c>
      <c r="P418" s="26">
        <f t="shared" si="62"/>
        <v>5919289</v>
      </c>
      <c r="Q418" s="53"/>
      <c r="W418" s="53">
        <f t="shared" si="59"/>
        <v>0</v>
      </c>
    </row>
    <row r="419" spans="1:23" s="3" customFormat="1" ht="25.5" hidden="1">
      <c r="A419" s="39"/>
      <c r="B419" s="39" t="s">
        <v>271</v>
      </c>
      <c r="C419" s="39"/>
      <c r="D419" s="58" t="s">
        <v>317</v>
      </c>
      <c r="E419" s="27">
        <f>E420</f>
        <v>0</v>
      </c>
      <c r="F419" s="27">
        <f>F420</f>
        <v>0</v>
      </c>
      <c r="G419" s="27"/>
      <c r="H419" s="27"/>
      <c r="I419" s="27"/>
      <c r="J419" s="27"/>
      <c r="K419" s="27"/>
      <c r="L419" s="27"/>
      <c r="M419" s="27"/>
      <c r="N419" s="27"/>
      <c r="O419" s="27"/>
      <c r="P419" s="26">
        <f t="shared" si="62"/>
        <v>0</v>
      </c>
      <c r="Q419" s="53"/>
      <c r="W419" s="53">
        <f t="shared" si="59"/>
        <v>0</v>
      </c>
    </row>
    <row r="420" spans="1:23" s="3" customFormat="1" ht="25.5" hidden="1">
      <c r="A420" s="39"/>
      <c r="B420" s="39" t="s">
        <v>272</v>
      </c>
      <c r="C420" s="74" t="s">
        <v>465</v>
      </c>
      <c r="D420" s="36" t="s">
        <v>331</v>
      </c>
      <c r="E420" s="27">
        <f>F420+I420</f>
        <v>0</v>
      </c>
      <c r="F420" s="27"/>
      <c r="G420" s="27"/>
      <c r="H420" s="27"/>
      <c r="I420" s="27"/>
      <c r="J420" s="27"/>
      <c r="K420" s="27"/>
      <c r="L420" s="27"/>
      <c r="M420" s="27"/>
      <c r="N420" s="27"/>
      <c r="O420" s="27"/>
      <c r="P420" s="26">
        <f t="shared" si="62"/>
        <v>0</v>
      </c>
      <c r="Q420" s="53"/>
      <c r="W420" s="53">
        <f t="shared" si="59"/>
        <v>0</v>
      </c>
    </row>
    <row r="421" spans="1:23" s="3" customFormat="1" ht="12.75">
      <c r="A421" s="9"/>
      <c r="B421" s="9" t="s">
        <v>374</v>
      </c>
      <c r="C421" s="9"/>
      <c r="D421" s="4" t="s">
        <v>375</v>
      </c>
      <c r="E421" s="27">
        <f>E423+E422</f>
        <v>24651759</v>
      </c>
      <c r="F421" s="27">
        <f aca="true" t="shared" si="63" ref="F421:O421">F423+F422</f>
        <v>24651759</v>
      </c>
      <c r="G421" s="27">
        <f t="shared" si="63"/>
        <v>0</v>
      </c>
      <c r="H421" s="27">
        <f t="shared" si="63"/>
        <v>166573</v>
      </c>
      <c r="I421" s="27">
        <f t="shared" si="63"/>
        <v>0</v>
      </c>
      <c r="J421" s="27">
        <f t="shared" si="63"/>
        <v>199891</v>
      </c>
      <c r="K421" s="27">
        <f t="shared" si="63"/>
        <v>0</v>
      </c>
      <c r="L421" s="27">
        <f t="shared" si="63"/>
        <v>0</v>
      </c>
      <c r="M421" s="27">
        <f t="shared" si="63"/>
        <v>0</v>
      </c>
      <c r="N421" s="27">
        <f t="shared" si="63"/>
        <v>199891</v>
      </c>
      <c r="O421" s="27">
        <f t="shared" si="63"/>
        <v>199891</v>
      </c>
      <c r="P421" s="26">
        <f t="shared" si="62"/>
        <v>24851650</v>
      </c>
      <c r="Q421" s="53"/>
      <c r="W421" s="53">
        <f t="shared" si="59"/>
        <v>0</v>
      </c>
    </row>
    <row r="422" spans="1:23" s="3" customFormat="1" ht="13.5" customHeight="1">
      <c r="A422" s="9"/>
      <c r="B422" s="74" t="s">
        <v>200</v>
      </c>
      <c r="C422" s="74" t="s">
        <v>473</v>
      </c>
      <c r="D422" s="75" t="s">
        <v>201</v>
      </c>
      <c r="E422" s="27">
        <f>F422</f>
        <v>5177622</v>
      </c>
      <c r="F422" s="27">
        <v>5177622</v>
      </c>
      <c r="G422" s="27"/>
      <c r="H422" s="27"/>
      <c r="I422" s="27"/>
      <c r="J422" s="27"/>
      <c r="K422" s="27"/>
      <c r="L422" s="27"/>
      <c r="M422" s="27"/>
      <c r="N422" s="27"/>
      <c r="O422" s="27"/>
      <c r="P422" s="26">
        <f t="shared" si="62"/>
        <v>5177622</v>
      </c>
      <c r="Q422" s="53"/>
      <c r="W422" s="53"/>
    </row>
    <row r="423" spans="1:23" s="3" customFormat="1" ht="12.75">
      <c r="A423" s="9"/>
      <c r="B423" s="9" t="s">
        <v>102</v>
      </c>
      <c r="C423" s="9" t="s">
        <v>474</v>
      </c>
      <c r="D423" s="4" t="s">
        <v>106</v>
      </c>
      <c r="E423" s="27">
        <f>F423+I423</f>
        <v>19474137</v>
      </c>
      <c r="F423" s="27">
        <f>898733+79991+361456+18295437-161480</f>
        <v>19474137</v>
      </c>
      <c r="G423" s="27"/>
      <c r="H423" s="27">
        <v>166573</v>
      </c>
      <c r="I423" s="27"/>
      <c r="J423" s="27">
        <f>K423+N423</f>
        <v>199891</v>
      </c>
      <c r="K423" s="27"/>
      <c r="L423" s="27"/>
      <c r="M423" s="27"/>
      <c r="N423" s="27">
        <f>O423</f>
        <v>199891</v>
      </c>
      <c r="O423" s="27">
        <v>199891</v>
      </c>
      <c r="P423" s="26">
        <f t="shared" si="62"/>
        <v>19674028</v>
      </c>
      <c r="Q423" s="53"/>
      <c r="W423" s="53">
        <f t="shared" si="59"/>
        <v>0</v>
      </c>
    </row>
    <row r="424" spans="1:23" s="3" customFormat="1" ht="12.75">
      <c r="A424" s="39"/>
      <c r="B424" s="39" t="s">
        <v>366</v>
      </c>
      <c r="C424" s="39"/>
      <c r="D424" s="60" t="s">
        <v>283</v>
      </c>
      <c r="E424" s="38"/>
      <c r="F424" s="38"/>
      <c r="G424" s="38"/>
      <c r="H424" s="38"/>
      <c r="I424" s="38"/>
      <c r="J424" s="38">
        <f>K424+N424</f>
        <v>3481478</v>
      </c>
      <c r="K424" s="38"/>
      <c r="L424" s="38"/>
      <c r="M424" s="38"/>
      <c r="N424" s="38">
        <f>N425</f>
        <v>3481478</v>
      </c>
      <c r="O424" s="38">
        <f>O425</f>
        <v>3481478</v>
      </c>
      <c r="P424" s="26">
        <f t="shared" si="62"/>
        <v>3481478</v>
      </c>
      <c r="Q424" s="53"/>
      <c r="W424" s="53">
        <f t="shared" si="59"/>
        <v>0</v>
      </c>
    </row>
    <row r="425" spans="1:23" s="3" customFormat="1" ht="12.75">
      <c r="A425" s="39"/>
      <c r="B425" s="39" t="s">
        <v>338</v>
      </c>
      <c r="C425" s="39"/>
      <c r="D425" s="58" t="s">
        <v>339</v>
      </c>
      <c r="E425" s="38"/>
      <c r="F425" s="38"/>
      <c r="G425" s="38"/>
      <c r="H425" s="38"/>
      <c r="I425" s="38"/>
      <c r="J425" s="38">
        <f>K425+N425</f>
        <v>3481478</v>
      </c>
      <c r="K425" s="38"/>
      <c r="L425" s="38"/>
      <c r="M425" s="38"/>
      <c r="N425" s="38">
        <f>O425</f>
        <v>3481478</v>
      </c>
      <c r="O425" s="38">
        <f>1902163+1579315</f>
        <v>3481478</v>
      </c>
      <c r="P425" s="26">
        <f t="shared" si="62"/>
        <v>3481478</v>
      </c>
      <c r="Q425" s="53"/>
      <c r="W425" s="53">
        <f t="shared" si="59"/>
        <v>0</v>
      </c>
    </row>
    <row r="426" spans="1:23" s="3" customFormat="1" ht="38.25" hidden="1">
      <c r="A426" s="39"/>
      <c r="B426" s="74" t="s">
        <v>194</v>
      </c>
      <c r="C426" s="39"/>
      <c r="D426" s="60" t="s">
        <v>351</v>
      </c>
      <c r="E426" s="38">
        <f>E427</f>
        <v>0</v>
      </c>
      <c r="F426" s="38">
        <f>F427</f>
        <v>0</v>
      </c>
      <c r="G426" s="38"/>
      <c r="H426" s="38"/>
      <c r="I426" s="38"/>
      <c r="J426" s="38"/>
      <c r="K426" s="38"/>
      <c r="L426" s="38"/>
      <c r="M426" s="38"/>
      <c r="N426" s="38"/>
      <c r="O426" s="38"/>
      <c r="P426" s="26">
        <f t="shared" si="62"/>
        <v>0</v>
      </c>
      <c r="Q426" s="53"/>
      <c r="W426" s="53">
        <f t="shared" si="59"/>
        <v>0</v>
      </c>
    </row>
    <row r="427" spans="1:23" s="3" customFormat="1" ht="38.25" hidden="1">
      <c r="A427" s="39"/>
      <c r="B427" s="39" t="s">
        <v>285</v>
      </c>
      <c r="C427" s="39"/>
      <c r="D427" s="73" t="s">
        <v>241</v>
      </c>
      <c r="E427" s="38">
        <f>F427+I427</f>
        <v>0</v>
      </c>
      <c r="F427" s="38"/>
      <c r="G427" s="38"/>
      <c r="H427" s="38"/>
      <c r="I427" s="38"/>
      <c r="J427" s="38"/>
      <c r="K427" s="38"/>
      <c r="L427" s="38"/>
      <c r="M427" s="38"/>
      <c r="N427" s="38"/>
      <c r="O427" s="38"/>
      <c r="P427" s="26">
        <f t="shared" si="62"/>
        <v>0</v>
      </c>
      <c r="Q427" s="53"/>
      <c r="W427" s="53">
        <f t="shared" si="59"/>
        <v>0</v>
      </c>
    </row>
    <row r="428" spans="1:23" s="3" customFormat="1" ht="12.75" hidden="1">
      <c r="A428" s="9"/>
      <c r="B428" s="9" t="s">
        <v>369</v>
      </c>
      <c r="C428" s="9"/>
      <c r="D428" s="4" t="s">
        <v>373</v>
      </c>
      <c r="E428" s="27">
        <f>E429</f>
        <v>0</v>
      </c>
      <c r="F428" s="27"/>
      <c r="G428" s="27">
        <f aca="true" t="shared" si="64" ref="G428:O428">G429</f>
        <v>0</v>
      </c>
      <c r="H428" s="27">
        <f t="shared" si="64"/>
        <v>0</v>
      </c>
      <c r="I428" s="27"/>
      <c r="J428" s="27">
        <f t="shared" si="64"/>
        <v>0</v>
      </c>
      <c r="K428" s="27">
        <f t="shared" si="64"/>
        <v>0</v>
      </c>
      <c r="L428" s="27">
        <f t="shared" si="64"/>
        <v>0</v>
      </c>
      <c r="M428" s="27">
        <f t="shared" si="64"/>
        <v>0</v>
      </c>
      <c r="N428" s="27">
        <f t="shared" si="64"/>
        <v>0</v>
      </c>
      <c r="O428" s="27">
        <f t="shared" si="64"/>
        <v>0</v>
      </c>
      <c r="P428" s="26">
        <f t="shared" si="62"/>
        <v>0</v>
      </c>
      <c r="Q428" s="53"/>
      <c r="W428" s="53">
        <f t="shared" si="59"/>
        <v>0</v>
      </c>
    </row>
    <row r="429" spans="1:23" s="3" customFormat="1" ht="63.75" hidden="1">
      <c r="A429" s="9"/>
      <c r="B429" s="9" t="s">
        <v>287</v>
      </c>
      <c r="C429" s="9"/>
      <c r="D429" s="73" t="s">
        <v>109</v>
      </c>
      <c r="E429" s="27"/>
      <c r="F429" s="27"/>
      <c r="G429" s="27"/>
      <c r="H429" s="27"/>
      <c r="I429" s="27"/>
      <c r="J429" s="27">
        <f>K429+N429</f>
        <v>0</v>
      </c>
      <c r="K429" s="27"/>
      <c r="L429" s="27"/>
      <c r="M429" s="27"/>
      <c r="N429" s="27">
        <f>25000-25000</f>
        <v>0</v>
      </c>
      <c r="O429" s="27"/>
      <c r="P429" s="26">
        <f t="shared" si="62"/>
        <v>0</v>
      </c>
      <c r="Q429" s="53"/>
      <c r="W429" s="53">
        <f t="shared" si="59"/>
        <v>0</v>
      </c>
    </row>
    <row r="430" spans="1:23" s="3" customFormat="1" ht="17.25" customHeight="1">
      <c r="A430" s="9"/>
      <c r="B430" s="9" t="s">
        <v>371</v>
      </c>
      <c r="C430" s="9"/>
      <c r="D430" s="60" t="s">
        <v>372</v>
      </c>
      <c r="E430" s="27">
        <f>E433+E431</f>
        <v>473127</v>
      </c>
      <c r="F430" s="27">
        <f>F433+F431</f>
        <v>473127</v>
      </c>
      <c r="G430" s="27">
        <f>G433+G431</f>
        <v>0</v>
      </c>
      <c r="H430" s="27">
        <f>H433+H431</f>
        <v>0</v>
      </c>
      <c r="I430" s="27">
        <f>I433+I431</f>
        <v>0</v>
      </c>
      <c r="J430" s="27"/>
      <c r="K430" s="27"/>
      <c r="L430" s="27"/>
      <c r="M430" s="27"/>
      <c r="N430" s="27"/>
      <c r="O430" s="27"/>
      <c r="P430" s="26">
        <f t="shared" si="62"/>
        <v>473127</v>
      </c>
      <c r="Q430" s="53"/>
      <c r="W430" s="53">
        <f t="shared" si="59"/>
        <v>0</v>
      </c>
    </row>
    <row r="431" spans="1:23" s="3" customFormat="1" ht="38.25" hidden="1">
      <c r="A431" s="9"/>
      <c r="B431" s="74" t="s">
        <v>305</v>
      </c>
      <c r="C431" s="74" t="s">
        <v>494</v>
      </c>
      <c r="D431" s="73" t="s">
        <v>12</v>
      </c>
      <c r="E431" s="27">
        <f>F431+I431</f>
        <v>0</v>
      </c>
      <c r="F431" s="27"/>
      <c r="G431" s="27"/>
      <c r="H431" s="27"/>
      <c r="I431" s="27"/>
      <c r="J431" s="27"/>
      <c r="K431" s="27"/>
      <c r="L431" s="27"/>
      <c r="M431" s="27"/>
      <c r="N431" s="27"/>
      <c r="O431" s="27"/>
      <c r="P431" s="26">
        <f t="shared" si="62"/>
        <v>0</v>
      </c>
      <c r="Q431" s="53"/>
      <c r="W431" s="53"/>
    </row>
    <row r="432" spans="1:23" s="3" customFormat="1" ht="63.75" hidden="1">
      <c r="A432" s="9"/>
      <c r="B432" s="39"/>
      <c r="C432" s="39"/>
      <c r="D432" s="68" t="s">
        <v>493</v>
      </c>
      <c r="E432" s="27">
        <f>F432+I432</f>
        <v>0</v>
      </c>
      <c r="F432" s="27">
        <f>F431</f>
        <v>0</v>
      </c>
      <c r="G432" s="27">
        <f>G431</f>
        <v>0</v>
      </c>
      <c r="H432" s="27">
        <f>H431</f>
        <v>0</v>
      </c>
      <c r="I432" s="27">
        <f>I431</f>
        <v>0</v>
      </c>
      <c r="J432" s="27"/>
      <c r="K432" s="27"/>
      <c r="L432" s="27"/>
      <c r="M432" s="27"/>
      <c r="N432" s="27"/>
      <c r="O432" s="27"/>
      <c r="P432" s="26">
        <f t="shared" si="62"/>
        <v>0</v>
      </c>
      <c r="Q432" s="53"/>
      <c r="W432" s="53"/>
    </row>
    <row r="433" spans="1:23" s="3" customFormat="1" ht="12.75">
      <c r="A433" s="9"/>
      <c r="B433" s="9" t="s">
        <v>288</v>
      </c>
      <c r="C433" s="9" t="s">
        <v>444</v>
      </c>
      <c r="D433" s="4" t="s">
        <v>316</v>
      </c>
      <c r="E433" s="27">
        <f>SUM(E434:E440)</f>
        <v>473127</v>
      </c>
      <c r="F433" s="27">
        <f>SUM(F434:F440)</f>
        <v>473127</v>
      </c>
      <c r="G433" s="27"/>
      <c r="H433" s="27"/>
      <c r="I433" s="27"/>
      <c r="J433" s="27"/>
      <c r="K433" s="27"/>
      <c r="L433" s="27"/>
      <c r="M433" s="27"/>
      <c r="N433" s="27"/>
      <c r="O433" s="27"/>
      <c r="P433" s="26">
        <f t="shared" si="62"/>
        <v>473127</v>
      </c>
      <c r="Q433" s="53"/>
      <c r="W433" s="53">
        <f t="shared" si="59"/>
        <v>0</v>
      </c>
    </row>
    <row r="434" spans="1:23" s="166" customFormat="1" ht="38.25" hidden="1">
      <c r="A434" s="164"/>
      <c r="B434" s="9"/>
      <c r="C434" s="9"/>
      <c r="D434" s="4" t="s">
        <v>187</v>
      </c>
      <c r="E434" s="27">
        <f>F434+I434</f>
        <v>226357</v>
      </c>
      <c r="F434" s="27">
        <v>226357</v>
      </c>
      <c r="G434" s="27"/>
      <c r="H434" s="27"/>
      <c r="I434" s="27"/>
      <c r="J434" s="27"/>
      <c r="K434" s="27"/>
      <c r="L434" s="27"/>
      <c r="M434" s="27"/>
      <c r="N434" s="27"/>
      <c r="O434" s="27"/>
      <c r="P434" s="26">
        <f t="shared" si="62"/>
        <v>226357</v>
      </c>
      <c r="Q434" s="165"/>
      <c r="W434" s="165">
        <f t="shared" si="59"/>
        <v>0</v>
      </c>
    </row>
    <row r="435" spans="1:23" s="166" customFormat="1" ht="25.5" hidden="1">
      <c r="A435" s="164"/>
      <c r="B435" s="9"/>
      <c r="C435" s="9"/>
      <c r="D435" s="6" t="s">
        <v>208</v>
      </c>
      <c r="E435" s="27">
        <f aca="true" t="shared" si="65" ref="E435:E440">F435+I435</f>
        <v>0</v>
      </c>
      <c r="F435" s="27"/>
      <c r="G435" s="27"/>
      <c r="H435" s="27"/>
      <c r="I435" s="27"/>
      <c r="J435" s="27"/>
      <c r="K435" s="27"/>
      <c r="L435" s="27"/>
      <c r="M435" s="27"/>
      <c r="N435" s="27"/>
      <c r="O435" s="27"/>
      <c r="P435" s="26">
        <f t="shared" si="62"/>
        <v>0</v>
      </c>
      <c r="Q435" s="165"/>
      <c r="W435" s="165">
        <f t="shared" si="59"/>
        <v>0</v>
      </c>
    </row>
    <row r="436" spans="1:23" s="166" customFormat="1" ht="25.5" hidden="1">
      <c r="A436" s="164"/>
      <c r="B436" s="9"/>
      <c r="C436" s="9"/>
      <c r="D436" s="4" t="s">
        <v>207</v>
      </c>
      <c r="E436" s="27">
        <f t="shared" si="65"/>
        <v>119500</v>
      </c>
      <c r="F436" s="27">
        <v>119500</v>
      </c>
      <c r="G436" s="27"/>
      <c r="H436" s="27"/>
      <c r="I436" s="27"/>
      <c r="J436" s="27"/>
      <c r="K436" s="27"/>
      <c r="L436" s="27"/>
      <c r="M436" s="27"/>
      <c r="N436" s="27"/>
      <c r="O436" s="27"/>
      <c r="P436" s="26">
        <f t="shared" si="62"/>
        <v>119500</v>
      </c>
      <c r="Q436" s="165"/>
      <c r="W436" s="165">
        <f t="shared" si="59"/>
        <v>0</v>
      </c>
    </row>
    <row r="437" spans="1:23" s="166" customFormat="1" ht="25.5" hidden="1">
      <c r="A437" s="164"/>
      <c r="B437" s="9"/>
      <c r="C437" s="9"/>
      <c r="D437" s="4" t="s">
        <v>111</v>
      </c>
      <c r="E437" s="27">
        <f t="shared" si="65"/>
        <v>0</v>
      </c>
      <c r="F437" s="27"/>
      <c r="G437" s="27"/>
      <c r="H437" s="27"/>
      <c r="I437" s="27"/>
      <c r="J437" s="27"/>
      <c r="K437" s="27"/>
      <c r="L437" s="27"/>
      <c r="M437" s="27"/>
      <c r="N437" s="27"/>
      <c r="O437" s="27"/>
      <c r="P437" s="26">
        <f t="shared" si="62"/>
        <v>0</v>
      </c>
      <c r="Q437" s="165"/>
      <c r="W437" s="165">
        <f t="shared" si="59"/>
        <v>0</v>
      </c>
    </row>
    <row r="438" spans="1:23" s="166" customFormat="1" ht="43.5" customHeight="1" hidden="1">
      <c r="A438" s="164"/>
      <c r="B438" s="9"/>
      <c r="C438" s="9"/>
      <c r="D438" s="4" t="s">
        <v>222</v>
      </c>
      <c r="E438" s="27">
        <f t="shared" si="65"/>
        <v>66100</v>
      </c>
      <c r="F438" s="27">
        <f>39200+26900</f>
        <v>66100</v>
      </c>
      <c r="G438" s="27"/>
      <c r="H438" s="27"/>
      <c r="I438" s="27"/>
      <c r="J438" s="27"/>
      <c r="K438" s="27"/>
      <c r="L438" s="27"/>
      <c r="M438" s="27"/>
      <c r="N438" s="27"/>
      <c r="O438" s="27"/>
      <c r="P438" s="26">
        <f t="shared" si="62"/>
        <v>66100</v>
      </c>
      <c r="Q438" s="165"/>
      <c r="W438" s="165">
        <f t="shared" si="59"/>
        <v>0</v>
      </c>
    </row>
    <row r="439" spans="1:23" s="166" customFormat="1" ht="12.75" hidden="1">
      <c r="A439" s="164"/>
      <c r="B439" s="9"/>
      <c r="C439" s="9"/>
      <c r="D439" s="4" t="s">
        <v>50</v>
      </c>
      <c r="E439" s="27">
        <f t="shared" si="65"/>
        <v>61170</v>
      </c>
      <c r="F439" s="27">
        <f>29892+31278</f>
        <v>61170</v>
      </c>
      <c r="G439" s="27"/>
      <c r="H439" s="27"/>
      <c r="I439" s="27"/>
      <c r="J439" s="27"/>
      <c r="K439" s="27"/>
      <c r="L439" s="27"/>
      <c r="M439" s="27"/>
      <c r="N439" s="27"/>
      <c r="O439" s="27"/>
      <c r="P439" s="26">
        <f t="shared" si="62"/>
        <v>61170</v>
      </c>
      <c r="Q439" s="165"/>
      <c r="W439" s="165">
        <f t="shared" si="59"/>
        <v>0</v>
      </c>
    </row>
    <row r="440" spans="1:23" s="166" customFormat="1" ht="24" hidden="1">
      <c r="A440" s="164"/>
      <c r="B440" s="9"/>
      <c r="C440" s="9"/>
      <c r="D440" s="40" t="s">
        <v>105</v>
      </c>
      <c r="E440" s="27">
        <f t="shared" si="65"/>
        <v>0</v>
      </c>
      <c r="F440" s="27">
        <f>478-478</f>
        <v>0</v>
      </c>
      <c r="G440" s="27"/>
      <c r="H440" s="27"/>
      <c r="I440" s="27"/>
      <c r="J440" s="27"/>
      <c r="K440" s="27"/>
      <c r="L440" s="27"/>
      <c r="M440" s="27"/>
      <c r="N440" s="27"/>
      <c r="O440" s="27"/>
      <c r="P440" s="26">
        <f t="shared" si="62"/>
        <v>0</v>
      </c>
      <c r="Q440" s="165"/>
      <c r="W440" s="165">
        <f t="shared" si="59"/>
        <v>0</v>
      </c>
    </row>
    <row r="441" spans="1:45" s="19" customFormat="1" ht="25.5">
      <c r="A441" s="21"/>
      <c r="B441" s="21" t="s">
        <v>163</v>
      </c>
      <c r="C441" s="21"/>
      <c r="D441" s="20" t="s">
        <v>139</v>
      </c>
      <c r="E441" s="32">
        <f>E442+E444+E451+E453+E449</f>
        <v>10991402</v>
      </c>
      <c r="F441" s="32">
        <f>F442+F444+F451+F453+F449</f>
        <v>10991402</v>
      </c>
      <c r="G441" s="32">
        <f aca="true" t="shared" si="66" ref="G441:M441">G442+G444+G451+G453</f>
        <v>3514726</v>
      </c>
      <c r="H441" s="32">
        <f t="shared" si="66"/>
        <v>313191</v>
      </c>
      <c r="I441" s="32"/>
      <c r="J441" s="32">
        <f>K441+N441</f>
        <v>16469475</v>
      </c>
      <c r="K441" s="32">
        <f>K442+K444+K451+K453</f>
        <v>89869</v>
      </c>
      <c r="L441" s="32">
        <f t="shared" si="66"/>
        <v>0</v>
      </c>
      <c r="M441" s="32">
        <f t="shared" si="66"/>
        <v>0</v>
      </c>
      <c r="N441" s="32">
        <f>N442+N444+N451+N453+N447</f>
        <v>16379606</v>
      </c>
      <c r="O441" s="32">
        <f>O442+O444+O451+O453+O447</f>
        <v>16379606</v>
      </c>
      <c r="P441" s="32">
        <f t="shared" si="62"/>
        <v>27460877</v>
      </c>
      <c r="Q441" s="53"/>
      <c r="R441" s="22"/>
      <c r="S441" s="22"/>
      <c r="T441" s="22"/>
      <c r="U441" s="22"/>
      <c r="V441" s="22"/>
      <c r="W441" s="53">
        <f t="shared" si="59"/>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362</v>
      </c>
      <c r="C442" s="35"/>
      <c r="D442" s="12" t="s">
        <v>363</v>
      </c>
      <c r="E442" s="28">
        <f>E443</f>
        <v>5047949</v>
      </c>
      <c r="F442" s="28">
        <f>F443</f>
        <v>5047949</v>
      </c>
      <c r="G442" s="28">
        <f>G443</f>
        <v>3514726</v>
      </c>
      <c r="H442" s="28">
        <f>H443</f>
        <v>313191</v>
      </c>
      <c r="I442" s="28"/>
      <c r="J442" s="28">
        <f>K442+N442</f>
        <v>320384</v>
      </c>
      <c r="K442" s="28">
        <f>K443</f>
        <v>0</v>
      </c>
      <c r="L442" s="28">
        <f>L443</f>
        <v>0</v>
      </c>
      <c r="M442" s="28">
        <f>M443</f>
        <v>0</v>
      </c>
      <c r="N442" s="28">
        <f>N443</f>
        <v>320384</v>
      </c>
      <c r="O442" s="28">
        <f>O443</f>
        <v>320384</v>
      </c>
      <c r="P442" s="28">
        <f t="shared" si="62"/>
        <v>5368333</v>
      </c>
      <c r="Q442" s="53"/>
      <c r="R442" s="13"/>
      <c r="S442" s="13"/>
      <c r="T442" s="13"/>
      <c r="U442" s="13"/>
      <c r="V442" s="13"/>
      <c r="W442" s="53">
        <f t="shared" si="59"/>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249</v>
      </c>
      <c r="C443" s="16" t="s">
        <v>441</v>
      </c>
      <c r="D443" s="2" t="s">
        <v>250</v>
      </c>
      <c r="E443" s="28">
        <f>F443+I443</f>
        <v>5047949</v>
      </c>
      <c r="F443" s="28">
        <f>4906660-265425+2600+349018+75116-20020</f>
        <v>5047949</v>
      </c>
      <c r="G443" s="28">
        <f>3053472+128700+349018-16464</f>
        <v>3514726</v>
      </c>
      <c r="H443" s="28">
        <v>313191</v>
      </c>
      <c r="I443" s="28"/>
      <c r="J443" s="28">
        <f>K443+N443</f>
        <v>320384</v>
      </c>
      <c r="K443" s="28"/>
      <c r="L443" s="28"/>
      <c r="M443" s="28"/>
      <c r="N443" s="28">
        <f>O443</f>
        <v>320384</v>
      </c>
      <c r="O443" s="28">
        <v>320384</v>
      </c>
      <c r="P443" s="28">
        <f t="shared" si="62"/>
        <v>5368333</v>
      </c>
      <c r="Q443" s="53"/>
      <c r="R443" s="11"/>
      <c r="S443" s="11"/>
      <c r="T443" s="11"/>
      <c r="U443" s="11"/>
      <c r="V443" s="11"/>
      <c r="W443" s="53">
        <f t="shared" si="59"/>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374</v>
      </c>
      <c r="C444" s="9"/>
      <c r="D444" s="4" t="s">
        <v>375</v>
      </c>
      <c r="E444" s="27">
        <f>E446+E445</f>
        <v>5795080</v>
      </c>
      <c r="F444" s="27">
        <f aca="true" t="shared" si="67" ref="F444:O444">F446+F445</f>
        <v>5795080</v>
      </c>
      <c r="G444" s="27">
        <f t="shared" si="67"/>
        <v>0</v>
      </c>
      <c r="H444" s="27">
        <f t="shared" si="67"/>
        <v>0</v>
      </c>
      <c r="I444" s="27">
        <f t="shared" si="67"/>
        <v>0</v>
      </c>
      <c r="J444" s="27">
        <f t="shared" si="67"/>
        <v>996429</v>
      </c>
      <c r="K444" s="27">
        <f t="shared" si="67"/>
        <v>87729</v>
      </c>
      <c r="L444" s="27">
        <f t="shared" si="67"/>
        <v>0</v>
      </c>
      <c r="M444" s="27">
        <f t="shared" si="67"/>
        <v>0</v>
      </c>
      <c r="N444" s="27">
        <f t="shared" si="67"/>
        <v>908700</v>
      </c>
      <c r="O444" s="27">
        <f t="shared" si="67"/>
        <v>908700</v>
      </c>
      <c r="P444" s="28">
        <f t="shared" si="62"/>
        <v>6791509</v>
      </c>
      <c r="Q444" s="53"/>
      <c r="W444" s="53">
        <f t="shared" si="59"/>
        <v>0</v>
      </c>
    </row>
    <row r="445" spans="1:23" s="3" customFormat="1" ht="15" customHeight="1">
      <c r="A445" s="9"/>
      <c r="B445" s="74" t="s">
        <v>200</v>
      </c>
      <c r="C445" s="74" t="s">
        <v>473</v>
      </c>
      <c r="D445" s="75" t="s">
        <v>201</v>
      </c>
      <c r="E445" s="27">
        <f>F445</f>
        <v>3542584</v>
      </c>
      <c r="F445" s="27">
        <v>3542584</v>
      </c>
      <c r="G445" s="27"/>
      <c r="H445" s="27"/>
      <c r="I445" s="27"/>
      <c r="J445" s="27"/>
      <c r="K445" s="27"/>
      <c r="L445" s="27"/>
      <c r="M445" s="27"/>
      <c r="N445" s="27"/>
      <c r="O445" s="27"/>
      <c r="P445" s="28">
        <f t="shared" si="62"/>
        <v>3542584</v>
      </c>
      <c r="Q445" s="53"/>
      <c r="W445" s="53"/>
    </row>
    <row r="446" spans="1:23" s="3" customFormat="1" ht="12.75">
      <c r="A446" s="9"/>
      <c r="B446" s="9" t="s">
        <v>102</v>
      </c>
      <c r="C446" s="9" t="s">
        <v>474</v>
      </c>
      <c r="D446" s="4" t="s">
        <v>106</v>
      </c>
      <c r="E446" s="27">
        <f>F446+I446</f>
        <v>2252496</v>
      </c>
      <c r="F446" s="27">
        <f>585676+1666820</f>
        <v>2252496</v>
      </c>
      <c r="G446" s="27"/>
      <c r="H446" s="27"/>
      <c r="I446" s="27"/>
      <c r="J446" s="27">
        <f>K446+N446</f>
        <v>996429</v>
      </c>
      <c r="K446" s="27">
        <v>87729</v>
      </c>
      <c r="L446" s="27"/>
      <c r="M446" s="27"/>
      <c r="N446" s="27">
        <f>O446</f>
        <v>908700</v>
      </c>
      <c r="O446" s="27">
        <f>659040+249660</f>
        <v>908700</v>
      </c>
      <c r="P446" s="28">
        <f t="shared" si="62"/>
        <v>3248925</v>
      </c>
      <c r="Q446" s="53"/>
      <c r="W446" s="53">
        <f t="shared" si="59"/>
        <v>0</v>
      </c>
    </row>
    <row r="447" spans="1:23" s="3" customFormat="1" ht="12.75">
      <c r="A447" s="39"/>
      <c r="B447" s="39" t="s">
        <v>366</v>
      </c>
      <c r="C447" s="39"/>
      <c r="D447" s="58" t="s">
        <v>283</v>
      </c>
      <c r="E447" s="27"/>
      <c r="F447" s="27"/>
      <c r="G447" s="27"/>
      <c r="H447" s="27"/>
      <c r="I447" s="27"/>
      <c r="J447" s="27">
        <f>K447+N447</f>
        <v>15150522</v>
      </c>
      <c r="K447" s="27"/>
      <c r="L447" s="27"/>
      <c r="M447" s="27"/>
      <c r="N447" s="27">
        <f>N448</f>
        <v>15150522</v>
      </c>
      <c r="O447" s="27">
        <f>O448</f>
        <v>15150522</v>
      </c>
      <c r="P447" s="28">
        <f t="shared" si="62"/>
        <v>15150522</v>
      </c>
      <c r="Q447" s="53"/>
      <c r="W447" s="53">
        <f t="shared" si="59"/>
        <v>0</v>
      </c>
    </row>
    <row r="448" spans="1:23" s="3" customFormat="1" ht="12.75">
      <c r="A448" s="39"/>
      <c r="B448" s="39" t="s">
        <v>338</v>
      </c>
      <c r="C448" s="74" t="s">
        <v>443</v>
      </c>
      <c r="D448" s="36" t="s">
        <v>339</v>
      </c>
      <c r="E448" s="27"/>
      <c r="F448" s="27"/>
      <c r="G448" s="27"/>
      <c r="H448" s="27"/>
      <c r="I448" s="27"/>
      <c r="J448" s="27">
        <f>K448+N448</f>
        <v>15150522</v>
      </c>
      <c r="K448" s="27"/>
      <c r="L448" s="27"/>
      <c r="M448" s="27"/>
      <c r="N448" s="27">
        <f>O448</f>
        <v>15150522</v>
      </c>
      <c r="O448" s="27">
        <f>2825494+12574844-2825494+1212120+1363558</f>
        <v>15150522</v>
      </c>
      <c r="P448" s="28">
        <f t="shared" si="62"/>
        <v>15150522</v>
      </c>
      <c r="Q448" s="53"/>
      <c r="W448" s="53">
        <f t="shared" si="59"/>
        <v>0</v>
      </c>
    </row>
    <row r="449" spans="1:23" s="3" customFormat="1" ht="38.25" hidden="1">
      <c r="A449" s="39"/>
      <c r="B449" s="39"/>
      <c r="C449" s="39"/>
      <c r="D449" s="60" t="s">
        <v>351</v>
      </c>
      <c r="E449" s="27">
        <f>E450</f>
        <v>0</v>
      </c>
      <c r="F449" s="27">
        <f>F450</f>
        <v>0</v>
      </c>
      <c r="G449" s="27"/>
      <c r="H449" s="27"/>
      <c r="I449" s="27"/>
      <c r="J449" s="27"/>
      <c r="K449" s="27"/>
      <c r="L449" s="27"/>
      <c r="M449" s="27"/>
      <c r="N449" s="27"/>
      <c r="O449" s="27"/>
      <c r="P449" s="28">
        <f t="shared" si="62"/>
        <v>0</v>
      </c>
      <c r="Q449" s="53"/>
      <c r="W449" s="53">
        <f t="shared" si="59"/>
        <v>0</v>
      </c>
    </row>
    <row r="450" spans="1:23" s="3" customFormat="1" ht="38.25" hidden="1">
      <c r="A450" s="39"/>
      <c r="B450" s="39" t="s">
        <v>285</v>
      </c>
      <c r="C450" s="39"/>
      <c r="D450" s="73" t="s">
        <v>241</v>
      </c>
      <c r="E450" s="27">
        <f>F450+I450</f>
        <v>0</v>
      </c>
      <c r="F450" s="27"/>
      <c r="G450" s="27"/>
      <c r="H450" s="27"/>
      <c r="I450" s="27"/>
      <c r="J450" s="27"/>
      <c r="K450" s="27"/>
      <c r="L450" s="27"/>
      <c r="M450" s="27"/>
      <c r="N450" s="27"/>
      <c r="O450" s="27"/>
      <c r="P450" s="28">
        <f t="shared" si="62"/>
        <v>0</v>
      </c>
      <c r="Q450" s="53"/>
      <c r="W450" s="53">
        <f t="shared" si="59"/>
        <v>0</v>
      </c>
    </row>
    <row r="451" spans="1:23" s="3" customFormat="1" ht="12.75">
      <c r="A451" s="9"/>
      <c r="B451" s="9" t="s">
        <v>369</v>
      </c>
      <c r="C451" s="9"/>
      <c r="D451" s="4" t="s">
        <v>373</v>
      </c>
      <c r="E451" s="27">
        <f>E452</f>
        <v>0</v>
      </c>
      <c r="F451" s="27"/>
      <c r="G451" s="27">
        <f aca="true" t="shared" si="68" ref="G451:O451">G452</f>
        <v>0</v>
      </c>
      <c r="H451" s="27">
        <f t="shared" si="68"/>
        <v>0</v>
      </c>
      <c r="I451" s="27"/>
      <c r="J451" s="27">
        <f>K451+N451</f>
        <v>2140</v>
      </c>
      <c r="K451" s="27">
        <f t="shared" si="68"/>
        <v>2140</v>
      </c>
      <c r="L451" s="27">
        <f t="shared" si="68"/>
        <v>0</v>
      </c>
      <c r="M451" s="27">
        <f t="shared" si="68"/>
        <v>0</v>
      </c>
      <c r="N451" s="27">
        <f t="shared" si="68"/>
        <v>0</v>
      </c>
      <c r="O451" s="27">
        <f t="shared" si="68"/>
        <v>0</v>
      </c>
      <c r="P451" s="28">
        <f t="shared" si="62"/>
        <v>2140</v>
      </c>
      <c r="Q451" s="53"/>
      <c r="W451" s="53">
        <f t="shared" si="59"/>
        <v>0</v>
      </c>
    </row>
    <row r="452" spans="1:23" s="3" customFormat="1" ht="63.75">
      <c r="A452" s="9"/>
      <c r="B452" s="9" t="s">
        <v>287</v>
      </c>
      <c r="C452" s="9" t="s">
        <v>444</v>
      </c>
      <c r="D452" s="73" t="s">
        <v>109</v>
      </c>
      <c r="E452" s="27"/>
      <c r="F452" s="27"/>
      <c r="G452" s="27"/>
      <c r="H452" s="27"/>
      <c r="I452" s="27"/>
      <c r="J452" s="27">
        <f>K452+N452</f>
        <v>2140</v>
      </c>
      <c r="K452" s="27">
        <v>2140</v>
      </c>
      <c r="L452" s="27"/>
      <c r="M452" s="27"/>
      <c r="N452" s="27"/>
      <c r="O452" s="27"/>
      <c r="P452" s="28">
        <f t="shared" si="62"/>
        <v>2140</v>
      </c>
      <c r="Q452" s="53"/>
      <c r="W452" s="53">
        <f t="shared" si="59"/>
        <v>0</v>
      </c>
    </row>
    <row r="453" spans="1:23" s="3" customFormat="1" ht="15" customHeight="1">
      <c r="A453" s="9"/>
      <c r="B453" s="9" t="s">
        <v>371</v>
      </c>
      <c r="C453" s="9"/>
      <c r="D453" s="60" t="s">
        <v>372</v>
      </c>
      <c r="E453" s="27">
        <f>E456+E454</f>
        <v>148373</v>
      </c>
      <c r="F453" s="27">
        <f>F456+F454</f>
        <v>148373</v>
      </c>
      <c r="G453" s="27">
        <f>G456+G454</f>
        <v>0</v>
      </c>
      <c r="H453" s="27">
        <f>H456+H454</f>
        <v>0</v>
      </c>
      <c r="I453" s="27">
        <f>I456+I454</f>
        <v>0</v>
      </c>
      <c r="J453" s="27">
        <f aca="true" t="shared" si="69" ref="J453:O453">J456</f>
        <v>0</v>
      </c>
      <c r="K453" s="27">
        <f t="shared" si="69"/>
        <v>0</v>
      </c>
      <c r="L453" s="27">
        <f t="shared" si="69"/>
        <v>0</v>
      </c>
      <c r="M453" s="27">
        <f t="shared" si="69"/>
        <v>0</v>
      </c>
      <c r="N453" s="27">
        <f t="shared" si="69"/>
        <v>0</v>
      </c>
      <c r="O453" s="27">
        <f t="shared" si="69"/>
        <v>0</v>
      </c>
      <c r="P453" s="28">
        <f t="shared" si="62"/>
        <v>148373</v>
      </c>
      <c r="Q453" s="53"/>
      <c r="W453" s="53">
        <f t="shared" si="59"/>
        <v>0</v>
      </c>
    </row>
    <row r="454" spans="1:23" s="3" customFormat="1" ht="38.25" hidden="1">
      <c r="A454" s="9"/>
      <c r="B454" s="74" t="s">
        <v>305</v>
      </c>
      <c r="C454" s="74" t="s">
        <v>494</v>
      </c>
      <c r="D454" s="73" t="s">
        <v>13</v>
      </c>
      <c r="E454" s="27">
        <f>F454+I454</f>
        <v>0</v>
      </c>
      <c r="F454" s="27"/>
      <c r="G454" s="27"/>
      <c r="H454" s="27"/>
      <c r="I454" s="27"/>
      <c r="J454" s="27"/>
      <c r="K454" s="27"/>
      <c r="L454" s="27"/>
      <c r="M454" s="27"/>
      <c r="N454" s="27"/>
      <c r="O454" s="27"/>
      <c r="P454" s="28">
        <f t="shared" si="62"/>
        <v>0</v>
      </c>
      <c r="Q454" s="53"/>
      <c r="W454" s="53"/>
    </row>
    <row r="455" spans="1:23" s="3" customFormat="1" ht="63.75" hidden="1">
      <c r="A455" s="9"/>
      <c r="B455" s="39"/>
      <c r="C455" s="39"/>
      <c r="D455" s="68" t="s">
        <v>493</v>
      </c>
      <c r="E455" s="27">
        <f>F455+I455</f>
        <v>0</v>
      </c>
      <c r="F455" s="27">
        <f>F454</f>
        <v>0</v>
      </c>
      <c r="G455" s="27">
        <f>G454</f>
        <v>0</v>
      </c>
      <c r="H455" s="27">
        <f>H454</f>
        <v>0</v>
      </c>
      <c r="I455" s="27">
        <f>I454</f>
        <v>0</v>
      </c>
      <c r="J455" s="27"/>
      <c r="K455" s="27"/>
      <c r="L455" s="27"/>
      <c r="M455" s="27"/>
      <c r="N455" s="27"/>
      <c r="O455" s="27"/>
      <c r="P455" s="28">
        <f t="shared" si="62"/>
        <v>0</v>
      </c>
      <c r="Q455" s="53"/>
      <c r="W455" s="53"/>
    </row>
    <row r="456" spans="1:23" s="3" customFormat="1" ht="12.75">
      <c r="A456" s="9"/>
      <c r="B456" s="9" t="s">
        <v>288</v>
      </c>
      <c r="C456" s="9" t="s">
        <v>444</v>
      </c>
      <c r="D456" s="4" t="s">
        <v>316</v>
      </c>
      <c r="E456" s="27">
        <f>SUM(E457:E463)</f>
        <v>148373</v>
      </c>
      <c r="F456" s="27">
        <f>SUM(F457:F463)</f>
        <v>148373</v>
      </c>
      <c r="G456" s="27"/>
      <c r="H456" s="27"/>
      <c r="I456" s="27"/>
      <c r="J456" s="27"/>
      <c r="K456" s="27"/>
      <c r="L456" s="27"/>
      <c r="M456" s="27"/>
      <c r="N456" s="27"/>
      <c r="O456" s="27"/>
      <c r="P456" s="28">
        <f t="shared" si="62"/>
        <v>148373</v>
      </c>
      <c r="Q456" s="53"/>
      <c r="W456" s="53">
        <f t="shared" si="59"/>
        <v>0</v>
      </c>
    </row>
    <row r="457" spans="1:23" s="166" customFormat="1" ht="38.25" hidden="1">
      <c r="A457" s="164"/>
      <c r="B457" s="9"/>
      <c r="C457" s="9"/>
      <c r="D457" s="4" t="s">
        <v>187</v>
      </c>
      <c r="E457" s="27">
        <f>F457+I457</f>
        <v>16536</v>
      </c>
      <c r="F457" s="27">
        <v>16536</v>
      </c>
      <c r="G457" s="27"/>
      <c r="H457" s="27"/>
      <c r="I457" s="27"/>
      <c r="J457" s="27"/>
      <c r="K457" s="27"/>
      <c r="L457" s="27"/>
      <c r="M457" s="27"/>
      <c r="N457" s="27"/>
      <c r="O457" s="27"/>
      <c r="P457" s="28">
        <f t="shared" si="62"/>
        <v>16536</v>
      </c>
      <c r="Q457" s="165"/>
      <c r="W457" s="165">
        <f t="shared" si="59"/>
        <v>0</v>
      </c>
    </row>
    <row r="458" spans="1:23" s="166" customFormat="1" ht="25.5" hidden="1">
      <c r="A458" s="164"/>
      <c r="B458" s="9"/>
      <c r="C458" s="9"/>
      <c r="D458" s="4" t="s">
        <v>207</v>
      </c>
      <c r="E458" s="27">
        <f aca="true" t="shared" si="70" ref="E458:E464">F458+I458</f>
        <v>31950</v>
      </c>
      <c r="F458" s="27">
        <v>31950</v>
      </c>
      <c r="G458" s="27"/>
      <c r="H458" s="27"/>
      <c r="I458" s="27"/>
      <c r="J458" s="27"/>
      <c r="K458" s="27"/>
      <c r="L458" s="27"/>
      <c r="M458" s="27"/>
      <c r="N458" s="27"/>
      <c r="O458" s="27"/>
      <c r="P458" s="28">
        <f t="shared" si="62"/>
        <v>31950</v>
      </c>
      <c r="Q458" s="165"/>
      <c r="W458" s="165">
        <f t="shared" si="59"/>
        <v>0</v>
      </c>
    </row>
    <row r="459" spans="1:23" s="166" customFormat="1" ht="25.5" hidden="1">
      <c r="A459" s="164"/>
      <c r="B459" s="9"/>
      <c r="C459" s="9"/>
      <c r="D459" s="6" t="s">
        <v>208</v>
      </c>
      <c r="E459" s="27">
        <f t="shared" si="70"/>
        <v>0</v>
      </c>
      <c r="F459" s="27"/>
      <c r="G459" s="27"/>
      <c r="H459" s="27"/>
      <c r="I459" s="27"/>
      <c r="J459" s="27"/>
      <c r="K459" s="27"/>
      <c r="L459" s="27"/>
      <c r="M459" s="27"/>
      <c r="N459" s="27"/>
      <c r="O459" s="27"/>
      <c r="P459" s="28">
        <f t="shared" si="62"/>
        <v>0</v>
      </c>
      <c r="Q459" s="165"/>
      <c r="W459" s="165">
        <f t="shared" si="59"/>
        <v>0</v>
      </c>
    </row>
    <row r="460" spans="1:23" s="166" customFormat="1" ht="25.5" hidden="1">
      <c r="A460" s="164"/>
      <c r="B460" s="9"/>
      <c r="C460" s="9"/>
      <c r="D460" s="4" t="s">
        <v>111</v>
      </c>
      <c r="E460" s="27">
        <f t="shared" si="70"/>
        <v>0</v>
      </c>
      <c r="F460" s="27"/>
      <c r="G460" s="27"/>
      <c r="H460" s="27"/>
      <c r="I460" s="27"/>
      <c r="J460" s="27"/>
      <c r="K460" s="27"/>
      <c r="L460" s="27"/>
      <c r="M460" s="27"/>
      <c r="N460" s="27"/>
      <c r="O460" s="27"/>
      <c r="P460" s="28">
        <f t="shared" si="62"/>
        <v>0</v>
      </c>
      <c r="Q460" s="165"/>
      <c r="W460" s="165">
        <f t="shared" si="59"/>
        <v>0</v>
      </c>
    </row>
    <row r="461" spans="1:23" s="166" customFormat="1" ht="42" customHeight="1" hidden="1">
      <c r="A461" s="164"/>
      <c r="B461" s="9"/>
      <c r="C461" s="9"/>
      <c r="D461" s="4" t="s">
        <v>222</v>
      </c>
      <c r="E461" s="27">
        <f t="shared" si="70"/>
        <v>49883</v>
      </c>
      <c r="F461" s="27">
        <f>26983+22900</f>
        <v>49883</v>
      </c>
      <c r="G461" s="27"/>
      <c r="H461" s="27"/>
      <c r="I461" s="27"/>
      <c r="J461" s="27"/>
      <c r="K461" s="27"/>
      <c r="L461" s="27"/>
      <c r="M461" s="27"/>
      <c r="N461" s="27"/>
      <c r="O461" s="27"/>
      <c r="P461" s="28">
        <f t="shared" si="62"/>
        <v>49883</v>
      </c>
      <c r="Q461" s="165"/>
      <c r="W461" s="165">
        <f t="shared" si="59"/>
        <v>0</v>
      </c>
    </row>
    <row r="462" spans="1:23" s="166" customFormat="1" ht="51" hidden="1">
      <c r="A462" s="164"/>
      <c r="B462" s="9"/>
      <c r="C462" s="9"/>
      <c r="D462" s="4" t="s">
        <v>190</v>
      </c>
      <c r="E462" s="27">
        <f t="shared" si="70"/>
        <v>0</v>
      </c>
      <c r="F462" s="27"/>
      <c r="G462" s="27"/>
      <c r="H462" s="27"/>
      <c r="I462" s="27"/>
      <c r="J462" s="27"/>
      <c r="K462" s="27"/>
      <c r="L462" s="27"/>
      <c r="M462" s="27"/>
      <c r="N462" s="27"/>
      <c r="O462" s="27"/>
      <c r="P462" s="28">
        <f t="shared" si="62"/>
        <v>0</v>
      </c>
      <c r="Q462" s="165"/>
      <c r="W462" s="165">
        <f t="shared" si="59"/>
        <v>0</v>
      </c>
    </row>
    <row r="463" spans="1:23" s="166" customFormat="1" ht="12.75" hidden="1">
      <c r="A463" s="164"/>
      <c r="B463" s="9"/>
      <c r="C463" s="9"/>
      <c r="D463" s="4" t="s">
        <v>51</v>
      </c>
      <c r="E463" s="27">
        <f t="shared" si="70"/>
        <v>50004</v>
      </c>
      <c r="F463" s="27">
        <f>17815+32189</f>
        <v>50004</v>
      </c>
      <c r="G463" s="27"/>
      <c r="H463" s="27"/>
      <c r="I463" s="27"/>
      <c r="J463" s="27"/>
      <c r="K463" s="27"/>
      <c r="L463" s="27"/>
      <c r="M463" s="27"/>
      <c r="N463" s="27"/>
      <c r="O463" s="27"/>
      <c r="P463" s="28">
        <f t="shared" si="62"/>
        <v>50004</v>
      </c>
      <c r="Q463" s="165"/>
      <c r="W463" s="165">
        <f t="shared" si="59"/>
        <v>0</v>
      </c>
    </row>
    <row r="464" spans="1:23" s="166" customFormat="1" ht="24" hidden="1">
      <c r="A464" s="164"/>
      <c r="B464" s="9"/>
      <c r="C464" s="9"/>
      <c r="D464" s="40" t="s">
        <v>105</v>
      </c>
      <c r="E464" s="27">
        <f t="shared" si="70"/>
        <v>0</v>
      </c>
      <c r="F464" s="27"/>
      <c r="G464" s="27"/>
      <c r="H464" s="27"/>
      <c r="I464" s="27"/>
      <c r="J464" s="27"/>
      <c r="K464" s="27"/>
      <c r="L464" s="27"/>
      <c r="M464" s="27"/>
      <c r="N464" s="27"/>
      <c r="O464" s="27"/>
      <c r="P464" s="28">
        <f t="shared" si="62"/>
        <v>0</v>
      </c>
      <c r="Q464" s="165"/>
      <c r="W464" s="165">
        <f t="shared" si="59"/>
        <v>0</v>
      </c>
    </row>
    <row r="465" spans="1:23" s="54" customFormat="1" ht="38.25">
      <c r="A465" s="98"/>
      <c r="B465" s="98" t="s">
        <v>164</v>
      </c>
      <c r="C465" s="98"/>
      <c r="D465" s="20" t="s">
        <v>57</v>
      </c>
      <c r="E465" s="52">
        <f>E466+E468+E477+E479+E475+E471</f>
        <v>17928486</v>
      </c>
      <c r="F465" s="52">
        <f aca="true" t="shared" si="71" ref="F465:M465">F466+F468+F477+F479+F475+F471</f>
        <v>17928486</v>
      </c>
      <c r="G465" s="52">
        <f t="shared" si="71"/>
        <v>3319174</v>
      </c>
      <c r="H465" s="52">
        <f t="shared" si="71"/>
        <v>511950</v>
      </c>
      <c r="I465" s="52">
        <f t="shared" si="71"/>
        <v>0</v>
      </c>
      <c r="J465" s="52">
        <f>J466+J468+J477+J479+J475+J471+J473</f>
        <v>4378539</v>
      </c>
      <c r="K465" s="52">
        <f t="shared" si="71"/>
        <v>178182</v>
      </c>
      <c r="L465" s="52">
        <f t="shared" si="71"/>
        <v>0</v>
      </c>
      <c r="M465" s="52">
        <f t="shared" si="71"/>
        <v>0</v>
      </c>
      <c r="N465" s="52">
        <f>N466+N468+N477+N479+N475+N471+N473</f>
        <v>4200357</v>
      </c>
      <c r="O465" s="52">
        <f>O466+O468+O477+O479+O475+O471+O473</f>
        <v>4148957</v>
      </c>
      <c r="P465" s="52">
        <f t="shared" si="62"/>
        <v>22307025</v>
      </c>
      <c r="Q465" s="53"/>
      <c r="W465" s="53">
        <f t="shared" si="59"/>
        <v>51400</v>
      </c>
    </row>
    <row r="466" spans="1:23" s="57" customFormat="1" ht="12.75">
      <c r="A466" s="42"/>
      <c r="B466" s="42" t="s">
        <v>362</v>
      </c>
      <c r="C466" s="42"/>
      <c r="D466" s="43" t="s">
        <v>363</v>
      </c>
      <c r="E466" s="44">
        <f>E467</f>
        <v>5171067</v>
      </c>
      <c r="F466" s="44">
        <f>F467</f>
        <v>5171067</v>
      </c>
      <c r="G466" s="44">
        <f>G467</f>
        <v>3319174</v>
      </c>
      <c r="H466" s="44">
        <f>H467</f>
        <v>511950</v>
      </c>
      <c r="I466" s="44"/>
      <c r="J466" s="44">
        <f aca="true" t="shared" si="72" ref="J466:J474">K466+N466</f>
        <v>629462</v>
      </c>
      <c r="K466" s="44">
        <f>K467</f>
        <v>32455</v>
      </c>
      <c r="L466" s="44">
        <f>L467</f>
        <v>0</v>
      </c>
      <c r="M466" s="44">
        <f>M467</f>
        <v>0</v>
      </c>
      <c r="N466" s="44">
        <f>N467</f>
        <v>597007</v>
      </c>
      <c r="O466" s="44">
        <f>O467</f>
        <v>597007</v>
      </c>
      <c r="P466" s="44">
        <f t="shared" si="62"/>
        <v>5800529</v>
      </c>
      <c r="Q466" s="53"/>
      <c r="W466" s="53">
        <f t="shared" si="59"/>
        <v>0</v>
      </c>
    </row>
    <row r="467" spans="1:23" s="57" customFormat="1" ht="12.75">
      <c r="A467" s="67"/>
      <c r="B467" s="67" t="s">
        <v>249</v>
      </c>
      <c r="C467" s="86" t="s">
        <v>441</v>
      </c>
      <c r="D467" s="43" t="s">
        <v>250</v>
      </c>
      <c r="E467" s="44">
        <f>F467+I467</f>
        <v>5171067</v>
      </c>
      <c r="F467" s="44">
        <f>4961327-316526+106996+301973+67344+30550+26565-7162</f>
        <v>5171067</v>
      </c>
      <c r="G467" s="44">
        <f>2938131+84940+301973-5870</f>
        <v>3319174</v>
      </c>
      <c r="H467" s="44">
        <v>511950</v>
      </c>
      <c r="I467" s="44"/>
      <c r="J467" s="44">
        <f t="shared" si="72"/>
        <v>629462</v>
      </c>
      <c r="K467" s="44">
        <v>32455</v>
      </c>
      <c r="L467" s="44"/>
      <c r="M467" s="44"/>
      <c r="N467" s="44">
        <f>O467</f>
        <v>597007</v>
      </c>
      <c r="O467" s="44">
        <f>295147+301860</f>
        <v>597007</v>
      </c>
      <c r="P467" s="44">
        <f t="shared" si="62"/>
        <v>5800529</v>
      </c>
      <c r="Q467" s="53"/>
      <c r="W467" s="53">
        <f t="shared" si="59"/>
        <v>0</v>
      </c>
    </row>
    <row r="468" spans="1:23" s="3" customFormat="1" ht="12.75">
      <c r="A468" s="9"/>
      <c r="B468" s="9" t="s">
        <v>374</v>
      </c>
      <c r="C468" s="9"/>
      <c r="D468" s="4" t="s">
        <v>375</v>
      </c>
      <c r="E468" s="27">
        <f>E470+E469</f>
        <v>12427409</v>
      </c>
      <c r="F468" s="27">
        <f aca="true" t="shared" si="73" ref="F468:O468">F470+F469</f>
        <v>12427409</v>
      </c>
      <c r="G468" s="27">
        <f t="shared" si="73"/>
        <v>0</v>
      </c>
      <c r="H468" s="27">
        <f t="shared" si="73"/>
        <v>0</v>
      </c>
      <c r="I468" s="27">
        <f t="shared" si="73"/>
        <v>0</v>
      </c>
      <c r="J468" s="27">
        <f t="shared" si="73"/>
        <v>197127</v>
      </c>
      <c r="K468" s="27">
        <f t="shared" si="73"/>
        <v>145727</v>
      </c>
      <c r="L468" s="27">
        <f t="shared" si="73"/>
        <v>0</v>
      </c>
      <c r="M468" s="27">
        <f t="shared" si="73"/>
        <v>0</v>
      </c>
      <c r="N468" s="27">
        <f t="shared" si="73"/>
        <v>51400</v>
      </c>
      <c r="O468" s="27">
        <f t="shared" si="73"/>
        <v>0</v>
      </c>
      <c r="P468" s="44">
        <f t="shared" si="62"/>
        <v>12624536</v>
      </c>
      <c r="Q468" s="53"/>
      <c r="W468" s="53">
        <f t="shared" si="59"/>
        <v>51400</v>
      </c>
    </row>
    <row r="469" spans="1:23" s="3" customFormat="1" ht="18.75" customHeight="1">
      <c r="A469" s="9"/>
      <c r="B469" s="74" t="s">
        <v>200</v>
      </c>
      <c r="C469" s="74" t="s">
        <v>473</v>
      </c>
      <c r="D469" s="75" t="s">
        <v>201</v>
      </c>
      <c r="E469" s="27">
        <f>F469</f>
        <v>4002438</v>
      </c>
      <c r="F469" s="27">
        <v>4002438</v>
      </c>
      <c r="G469" s="27"/>
      <c r="H469" s="27"/>
      <c r="I469" s="27"/>
      <c r="J469" s="44"/>
      <c r="K469" s="27"/>
      <c r="L469" s="27"/>
      <c r="M469" s="27"/>
      <c r="N469" s="27"/>
      <c r="O469" s="27"/>
      <c r="P469" s="44">
        <f t="shared" si="62"/>
        <v>4002438</v>
      </c>
      <c r="Q469" s="53"/>
      <c r="W469" s="53"/>
    </row>
    <row r="470" spans="1:23" s="3" customFormat="1" ht="12.75">
      <c r="A470" s="9"/>
      <c r="B470" s="9" t="s">
        <v>102</v>
      </c>
      <c r="C470" s="9" t="s">
        <v>474</v>
      </c>
      <c r="D470" s="4" t="s">
        <v>106</v>
      </c>
      <c r="E470" s="27">
        <f>F470+I470</f>
        <v>8424971</v>
      </c>
      <c r="F470" s="27">
        <f>948482+8039+7468450</f>
        <v>8424971</v>
      </c>
      <c r="G470" s="27"/>
      <c r="H470" s="27"/>
      <c r="I470" s="27"/>
      <c r="J470" s="44">
        <f t="shared" si="72"/>
        <v>197127</v>
      </c>
      <c r="K470" s="27">
        <v>145727</v>
      </c>
      <c r="L470" s="27"/>
      <c r="M470" s="27"/>
      <c r="N470" s="27">
        <f>O470+51400</f>
        <v>51400</v>
      </c>
      <c r="O470" s="27"/>
      <c r="P470" s="44">
        <f t="shared" si="62"/>
        <v>8622098</v>
      </c>
      <c r="Q470" s="53"/>
      <c r="W470" s="53">
        <f t="shared" si="59"/>
        <v>51400</v>
      </c>
    </row>
    <row r="471" spans="1:23" ht="30" customHeight="1" hidden="1">
      <c r="A471" s="39"/>
      <c r="B471" s="39" t="s">
        <v>367</v>
      </c>
      <c r="C471" s="39"/>
      <c r="D471" s="75" t="s">
        <v>368</v>
      </c>
      <c r="E471" s="38">
        <f>E472</f>
        <v>0</v>
      </c>
      <c r="F471" s="38"/>
      <c r="G471" s="38">
        <f>G472</f>
        <v>0</v>
      </c>
      <c r="H471" s="38">
        <f>H472</f>
        <v>0</v>
      </c>
      <c r="I471" s="38"/>
      <c r="J471" s="38">
        <f t="shared" si="72"/>
        <v>0</v>
      </c>
      <c r="K471" s="38">
        <f>K472</f>
        <v>0</v>
      </c>
      <c r="L471" s="38">
        <f>L472</f>
        <v>0</v>
      </c>
      <c r="M471" s="38">
        <f>M472</f>
        <v>0</v>
      </c>
      <c r="N471" s="38">
        <f>O471</f>
        <v>0</v>
      </c>
      <c r="O471" s="38">
        <f>O472</f>
        <v>0</v>
      </c>
      <c r="P471" s="55">
        <f t="shared" si="62"/>
        <v>0</v>
      </c>
      <c r="Q471" s="53"/>
      <c r="R471" s="59"/>
      <c r="W471" s="53">
        <f t="shared" si="59"/>
        <v>0</v>
      </c>
    </row>
    <row r="472" spans="1:23" ht="51" hidden="1">
      <c r="A472" s="39"/>
      <c r="B472" s="74" t="s">
        <v>7</v>
      </c>
      <c r="C472" s="74" t="s">
        <v>475</v>
      </c>
      <c r="D472" s="75" t="s">
        <v>239</v>
      </c>
      <c r="E472" s="38">
        <f>F472+I472</f>
        <v>0</v>
      </c>
      <c r="F472" s="38"/>
      <c r="G472" s="38"/>
      <c r="H472" s="38"/>
      <c r="I472" s="38"/>
      <c r="J472" s="38">
        <f>K472+N472</f>
        <v>0</v>
      </c>
      <c r="K472" s="38"/>
      <c r="L472" s="38"/>
      <c r="M472" s="38"/>
      <c r="N472" s="38">
        <f>O472</f>
        <v>0</v>
      </c>
      <c r="O472" s="38"/>
      <c r="P472" s="55">
        <f t="shared" si="62"/>
        <v>0</v>
      </c>
      <c r="Q472" s="53"/>
      <c r="R472" s="59"/>
      <c r="W472" s="53">
        <f t="shared" si="59"/>
        <v>0</v>
      </c>
    </row>
    <row r="473" spans="1:23" s="3" customFormat="1" ht="12.75">
      <c r="A473" s="39"/>
      <c r="B473" s="39" t="s">
        <v>366</v>
      </c>
      <c r="C473" s="39"/>
      <c r="D473" s="60" t="s">
        <v>283</v>
      </c>
      <c r="E473" s="38"/>
      <c r="F473" s="38"/>
      <c r="G473" s="38"/>
      <c r="H473" s="38"/>
      <c r="I473" s="38"/>
      <c r="J473" s="38">
        <f t="shared" si="72"/>
        <v>3551950</v>
      </c>
      <c r="K473" s="38"/>
      <c r="L473" s="38"/>
      <c r="M473" s="38"/>
      <c r="N473" s="38">
        <f>N474</f>
        <v>3551950</v>
      </c>
      <c r="O473" s="38">
        <f>O474</f>
        <v>3551950</v>
      </c>
      <c r="P473" s="55">
        <f t="shared" si="62"/>
        <v>3551950</v>
      </c>
      <c r="Q473" s="53"/>
      <c r="W473" s="53">
        <f t="shared" si="59"/>
        <v>0</v>
      </c>
    </row>
    <row r="474" spans="1:23" s="3" customFormat="1" ht="12.75">
      <c r="A474" s="39"/>
      <c r="B474" s="39" t="s">
        <v>338</v>
      </c>
      <c r="C474" s="74" t="s">
        <v>443</v>
      </c>
      <c r="D474" s="58" t="s">
        <v>339</v>
      </c>
      <c r="E474" s="38"/>
      <c r="F474" s="38"/>
      <c r="G474" s="38"/>
      <c r="H474" s="38"/>
      <c r="I474" s="38"/>
      <c r="J474" s="38">
        <f t="shared" si="72"/>
        <v>3551950</v>
      </c>
      <c r="K474" s="38"/>
      <c r="L474" s="38"/>
      <c r="M474" s="38"/>
      <c r="N474" s="38">
        <f>O474</f>
        <v>3551950</v>
      </c>
      <c r="O474" s="76">
        <f>1722250+1829700</f>
        <v>3551950</v>
      </c>
      <c r="P474" s="55">
        <f t="shared" si="62"/>
        <v>3551950</v>
      </c>
      <c r="Q474" s="53"/>
      <c r="W474" s="53">
        <f t="shared" si="59"/>
        <v>0</v>
      </c>
    </row>
    <row r="475" spans="1:23" s="3" customFormat="1" ht="38.25" hidden="1">
      <c r="A475" s="39"/>
      <c r="B475" s="74" t="s">
        <v>194</v>
      </c>
      <c r="C475" s="39"/>
      <c r="D475" s="60" t="s">
        <v>351</v>
      </c>
      <c r="E475" s="38">
        <f>E476</f>
        <v>0</v>
      </c>
      <c r="F475" s="38">
        <f>F476</f>
        <v>0</v>
      </c>
      <c r="G475" s="38"/>
      <c r="H475" s="38"/>
      <c r="I475" s="38"/>
      <c r="J475" s="38"/>
      <c r="K475" s="38"/>
      <c r="L475" s="38"/>
      <c r="M475" s="38"/>
      <c r="N475" s="38"/>
      <c r="O475" s="76"/>
      <c r="P475" s="55">
        <f t="shared" si="62"/>
        <v>0</v>
      </c>
      <c r="Q475" s="53"/>
      <c r="W475" s="53">
        <f t="shared" si="59"/>
        <v>0</v>
      </c>
    </row>
    <row r="476" spans="1:23" s="3" customFormat="1" ht="38.25" hidden="1">
      <c r="A476" s="39"/>
      <c r="B476" s="39" t="s">
        <v>285</v>
      </c>
      <c r="C476" s="39"/>
      <c r="D476" s="73" t="s">
        <v>241</v>
      </c>
      <c r="E476" s="38">
        <f>F476+I476</f>
        <v>0</v>
      </c>
      <c r="F476" s="38"/>
      <c r="G476" s="38"/>
      <c r="H476" s="38"/>
      <c r="I476" s="38"/>
      <c r="J476" s="38"/>
      <c r="K476" s="38"/>
      <c r="L476" s="38"/>
      <c r="M476" s="38"/>
      <c r="N476" s="38"/>
      <c r="O476" s="76"/>
      <c r="P476" s="55">
        <f t="shared" si="62"/>
        <v>0</v>
      </c>
      <c r="Q476" s="53"/>
      <c r="W476" s="53">
        <f t="shared" si="59"/>
        <v>0</v>
      </c>
    </row>
    <row r="477" spans="1:23" s="3" customFormat="1" ht="12.75" hidden="1">
      <c r="A477" s="9"/>
      <c r="B477" s="9" t="s">
        <v>369</v>
      </c>
      <c r="C477" s="9"/>
      <c r="D477" s="4" t="s">
        <v>373</v>
      </c>
      <c r="E477" s="27">
        <f>E478</f>
        <v>0</v>
      </c>
      <c r="F477" s="27"/>
      <c r="G477" s="27">
        <f aca="true" t="shared" si="74" ref="G477:O477">G478</f>
        <v>0</v>
      </c>
      <c r="H477" s="27">
        <f t="shared" si="74"/>
        <v>0</v>
      </c>
      <c r="I477" s="27"/>
      <c r="J477" s="27">
        <f t="shared" si="74"/>
        <v>0</v>
      </c>
      <c r="K477" s="27">
        <f t="shared" si="74"/>
        <v>0</v>
      </c>
      <c r="L477" s="27">
        <f t="shared" si="74"/>
        <v>0</v>
      </c>
      <c r="M477" s="27">
        <f t="shared" si="74"/>
        <v>0</v>
      </c>
      <c r="N477" s="27">
        <f t="shared" si="74"/>
        <v>0</v>
      </c>
      <c r="O477" s="27">
        <f t="shared" si="74"/>
        <v>0</v>
      </c>
      <c r="P477" s="44">
        <f t="shared" si="62"/>
        <v>0</v>
      </c>
      <c r="Q477" s="53"/>
      <c r="W477" s="53">
        <f t="shared" si="59"/>
        <v>0</v>
      </c>
    </row>
    <row r="478" spans="1:23" s="3" customFormat="1" ht="63.75" hidden="1">
      <c r="A478" s="9"/>
      <c r="B478" s="9" t="s">
        <v>287</v>
      </c>
      <c r="C478" s="9"/>
      <c r="D478" s="73" t="s">
        <v>109</v>
      </c>
      <c r="E478" s="27"/>
      <c r="F478" s="27"/>
      <c r="G478" s="27"/>
      <c r="H478" s="27"/>
      <c r="I478" s="27"/>
      <c r="J478" s="27">
        <f>K478+N478</f>
        <v>0</v>
      </c>
      <c r="K478" s="27"/>
      <c r="L478" s="27"/>
      <c r="M478" s="27"/>
      <c r="N478" s="27">
        <f>110000-110000</f>
        <v>0</v>
      </c>
      <c r="O478" s="27"/>
      <c r="P478" s="44">
        <f t="shared" si="62"/>
        <v>0</v>
      </c>
      <c r="Q478" s="53"/>
      <c r="W478" s="53">
        <f t="shared" si="59"/>
        <v>0</v>
      </c>
    </row>
    <row r="479" spans="1:23" s="3" customFormat="1" ht="18" customHeight="1">
      <c r="A479" s="9"/>
      <c r="B479" s="9" t="s">
        <v>371</v>
      </c>
      <c r="C479" s="9"/>
      <c r="D479" s="60" t="s">
        <v>372</v>
      </c>
      <c r="E479" s="27">
        <f>E482+E480</f>
        <v>330010</v>
      </c>
      <c r="F479" s="27">
        <f>F482+F480</f>
        <v>330010</v>
      </c>
      <c r="G479" s="27">
        <f>G482+G480</f>
        <v>0</v>
      </c>
      <c r="H479" s="27">
        <f>H482+H480</f>
        <v>0</v>
      </c>
      <c r="I479" s="27">
        <f>I482+I480</f>
        <v>0</v>
      </c>
      <c r="J479" s="27">
        <f aca="true" t="shared" si="75" ref="J479:O479">J482</f>
        <v>0</v>
      </c>
      <c r="K479" s="27">
        <f t="shared" si="75"/>
        <v>0</v>
      </c>
      <c r="L479" s="27">
        <f t="shared" si="75"/>
        <v>0</v>
      </c>
      <c r="M479" s="27">
        <f t="shared" si="75"/>
        <v>0</v>
      </c>
      <c r="N479" s="27">
        <f t="shared" si="75"/>
        <v>0</v>
      </c>
      <c r="O479" s="27">
        <f t="shared" si="75"/>
        <v>0</v>
      </c>
      <c r="P479" s="44">
        <f aca="true" t="shared" si="76" ref="P479:P560">E479+J479</f>
        <v>330010</v>
      </c>
      <c r="Q479" s="53"/>
      <c r="W479" s="53">
        <f t="shared" si="59"/>
        <v>0</v>
      </c>
    </row>
    <row r="480" spans="1:23" s="3" customFormat="1" ht="38.25" hidden="1">
      <c r="A480" s="9"/>
      <c r="B480" s="74" t="s">
        <v>305</v>
      </c>
      <c r="C480" s="74" t="s">
        <v>494</v>
      </c>
      <c r="D480" s="73" t="s">
        <v>12</v>
      </c>
      <c r="E480" s="27">
        <f>F480+I480</f>
        <v>0</v>
      </c>
      <c r="F480" s="27"/>
      <c r="G480" s="27"/>
      <c r="H480" s="27"/>
      <c r="I480" s="27"/>
      <c r="J480" s="27"/>
      <c r="K480" s="27"/>
      <c r="L480" s="27"/>
      <c r="M480" s="27"/>
      <c r="N480" s="27"/>
      <c r="O480" s="27"/>
      <c r="P480" s="44">
        <f t="shared" si="76"/>
        <v>0</v>
      </c>
      <c r="Q480" s="53"/>
      <c r="W480" s="53"/>
    </row>
    <row r="481" spans="1:23" s="3" customFormat="1" ht="63.75" hidden="1">
      <c r="A481" s="9"/>
      <c r="B481" s="39"/>
      <c r="C481" s="39"/>
      <c r="D481" s="68" t="s">
        <v>493</v>
      </c>
      <c r="E481" s="27">
        <f>F481+I481</f>
        <v>0</v>
      </c>
      <c r="F481" s="27">
        <f>F480</f>
        <v>0</v>
      </c>
      <c r="G481" s="27">
        <f>G480</f>
        <v>0</v>
      </c>
      <c r="H481" s="27">
        <f>H480</f>
        <v>0</v>
      </c>
      <c r="I481" s="27">
        <f>I480</f>
        <v>0</v>
      </c>
      <c r="J481" s="27"/>
      <c r="K481" s="27"/>
      <c r="L481" s="27"/>
      <c r="M481" s="27"/>
      <c r="N481" s="27"/>
      <c r="O481" s="27"/>
      <c r="P481" s="44">
        <f t="shared" si="76"/>
        <v>0</v>
      </c>
      <c r="Q481" s="53"/>
      <c r="W481" s="53"/>
    </row>
    <row r="482" spans="1:23" s="3" customFormat="1" ht="12.75">
      <c r="A482" s="9"/>
      <c r="B482" s="9" t="s">
        <v>288</v>
      </c>
      <c r="C482" s="9" t="s">
        <v>444</v>
      </c>
      <c r="D482" s="4" t="s">
        <v>316</v>
      </c>
      <c r="E482" s="27">
        <f>SUM(E483:E489)</f>
        <v>330010</v>
      </c>
      <c r="F482" s="27">
        <f>SUM(F483:F489)</f>
        <v>330010</v>
      </c>
      <c r="G482" s="27"/>
      <c r="H482" s="27"/>
      <c r="I482" s="27"/>
      <c r="J482" s="27"/>
      <c r="K482" s="27"/>
      <c r="L482" s="27"/>
      <c r="M482" s="27"/>
      <c r="N482" s="27"/>
      <c r="O482" s="27"/>
      <c r="P482" s="44">
        <f t="shared" si="76"/>
        <v>330010</v>
      </c>
      <c r="Q482" s="53"/>
      <c r="W482" s="53">
        <f t="shared" si="59"/>
        <v>0</v>
      </c>
    </row>
    <row r="483" spans="1:23" s="166" customFormat="1" ht="38.25" hidden="1">
      <c r="A483" s="164"/>
      <c r="B483" s="9"/>
      <c r="C483" s="9"/>
      <c r="D483" s="4" t="s">
        <v>187</v>
      </c>
      <c r="E483" s="27">
        <f>F483+I483</f>
        <v>165360</v>
      </c>
      <c r="F483" s="27">
        <v>165360</v>
      </c>
      <c r="G483" s="27"/>
      <c r="H483" s="27"/>
      <c r="I483" s="27"/>
      <c r="J483" s="27"/>
      <c r="K483" s="27"/>
      <c r="L483" s="27"/>
      <c r="M483" s="27"/>
      <c r="N483" s="27"/>
      <c r="O483" s="27"/>
      <c r="P483" s="26">
        <f t="shared" si="76"/>
        <v>165360</v>
      </c>
      <c r="Q483" s="165"/>
      <c r="W483" s="165">
        <f t="shared" si="59"/>
        <v>0</v>
      </c>
    </row>
    <row r="484" spans="1:23" s="166" customFormat="1" ht="25.5" hidden="1">
      <c r="A484" s="164"/>
      <c r="B484" s="9"/>
      <c r="C484" s="9"/>
      <c r="D484" s="6" t="s">
        <v>208</v>
      </c>
      <c r="E484" s="27">
        <f aca="true" t="shared" si="77" ref="E484:E489">F484+I484</f>
        <v>0</v>
      </c>
      <c r="F484" s="27"/>
      <c r="G484" s="27"/>
      <c r="H484" s="27"/>
      <c r="I484" s="27"/>
      <c r="J484" s="27"/>
      <c r="K484" s="27"/>
      <c r="L484" s="27"/>
      <c r="M484" s="27"/>
      <c r="N484" s="27"/>
      <c r="O484" s="27"/>
      <c r="P484" s="26">
        <f t="shared" si="76"/>
        <v>0</v>
      </c>
      <c r="Q484" s="165"/>
      <c r="W484" s="165">
        <f t="shared" si="59"/>
        <v>0</v>
      </c>
    </row>
    <row r="485" spans="1:23" s="166" customFormat="1" ht="25.5" hidden="1">
      <c r="A485" s="164"/>
      <c r="B485" s="9"/>
      <c r="C485" s="9"/>
      <c r="D485" s="4" t="s">
        <v>207</v>
      </c>
      <c r="E485" s="27">
        <f t="shared" si="77"/>
        <v>51313</v>
      </c>
      <c r="F485" s="27">
        <v>51313</v>
      </c>
      <c r="G485" s="27"/>
      <c r="H485" s="27"/>
      <c r="I485" s="27"/>
      <c r="J485" s="27"/>
      <c r="K485" s="27"/>
      <c r="L485" s="27"/>
      <c r="M485" s="27"/>
      <c r="N485" s="27"/>
      <c r="O485" s="27"/>
      <c r="P485" s="26">
        <f t="shared" si="76"/>
        <v>51313</v>
      </c>
      <c r="Q485" s="165"/>
      <c r="W485" s="165">
        <f t="shared" si="59"/>
        <v>0</v>
      </c>
    </row>
    <row r="486" spans="1:23" s="166" customFormat="1" ht="25.5" hidden="1">
      <c r="A486" s="164"/>
      <c r="B486" s="9"/>
      <c r="C486" s="9"/>
      <c r="D486" s="4" t="s">
        <v>111</v>
      </c>
      <c r="E486" s="27">
        <f t="shared" si="77"/>
        <v>0</v>
      </c>
      <c r="F486" s="27"/>
      <c r="G486" s="27"/>
      <c r="H486" s="27"/>
      <c r="I486" s="27"/>
      <c r="J486" s="27"/>
      <c r="K486" s="27"/>
      <c r="L486" s="27"/>
      <c r="M486" s="27"/>
      <c r="N486" s="27"/>
      <c r="O486" s="27"/>
      <c r="P486" s="26">
        <f t="shared" si="76"/>
        <v>0</v>
      </c>
      <c r="Q486" s="165"/>
      <c r="W486" s="165">
        <f aca="true" t="shared" si="78" ref="W486:W560">N486-O486</f>
        <v>0</v>
      </c>
    </row>
    <row r="487" spans="1:23" s="166" customFormat="1" ht="43.5" customHeight="1" hidden="1">
      <c r="A487" s="164"/>
      <c r="B487" s="9"/>
      <c r="C487" s="9"/>
      <c r="D487" s="4" t="s">
        <v>222</v>
      </c>
      <c r="E487" s="27">
        <f t="shared" si="77"/>
        <v>82559</v>
      </c>
      <c r="F487" s="27">
        <f>96300-13741</f>
        <v>82559</v>
      </c>
      <c r="G487" s="27"/>
      <c r="H487" s="27"/>
      <c r="I487" s="27"/>
      <c r="J487" s="27"/>
      <c r="K487" s="27"/>
      <c r="L487" s="27"/>
      <c r="M487" s="27"/>
      <c r="N487" s="27"/>
      <c r="O487" s="27"/>
      <c r="P487" s="26">
        <f t="shared" si="76"/>
        <v>82559</v>
      </c>
      <c r="Q487" s="165"/>
      <c r="W487" s="165">
        <f t="shared" si="78"/>
        <v>0</v>
      </c>
    </row>
    <row r="488" spans="1:23" s="166" customFormat="1" ht="12.75" hidden="1">
      <c r="A488" s="164"/>
      <c r="B488" s="9"/>
      <c r="C488" s="9"/>
      <c r="D488" s="4" t="s">
        <v>51</v>
      </c>
      <c r="E488" s="27">
        <f t="shared" si="77"/>
        <v>30778</v>
      </c>
      <c r="F488" s="27">
        <f>14850+15928</f>
        <v>30778</v>
      </c>
      <c r="G488" s="27"/>
      <c r="H488" s="27"/>
      <c r="I488" s="27"/>
      <c r="J488" s="27"/>
      <c r="K488" s="27"/>
      <c r="L488" s="27"/>
      <c r="M488" s="27"/>
      <c r="N488" s="27"/>
      <c r="O488" s="27"/>
      <c r="P488" s="26"/>
      <c r="Q488" s="165"/>
      <c r="W488" s="165">
        <f t="shared" si="78"/>
        <v>0</v>
      </c>
    </row>
    <row r="489" spans="1:23" s="166" customFormat="1" ht="24" hidden="1">
      <c r="A489" s="164"/>
      <c r="B489" s="9"/>
      <c r="C489" s="9"/>
      <c r="D489" s="40" t="s">
        <v>105</v>
      </c>
      <c r="E489" s="27">
        <f t="shared" si="77"/>
        <v>0</v>
      </c>
      <c r="F489" s="27"/>
      <c r="G489" s="27"/>
      <c r="H489" s="27"/>
      <c r="I489" s="27"/>
      <c r="J489" s="27"/>
      <c r="K489" s="27"/>
      <c r="L489" s="27"/>
      <c r="M489" s="27"/>
      <c r="N489" s="27"/>
      <c r="O489" s="27"/>
      <c r="P489" s="26">
        <f t="shared" si="76"/>
        <v>0</v>
      </c>
      <c r="Q489" s="165"/>
      <c r="W489" s="165">
        <f t="shared" si="78"/>
        <v>0</v>
      </c>
    </row>
    <row r="490" spans="1:23" s="19" customFormat="1" ht="38.25">
      <c r="A490" s="18"/>
      <c r="B490" s="18" t="s">
        <v>165</v>
      </c>
      <c r="C490" s="18"/>
      <c r="D490" s="20" t="s">
        <v>58</v>
      </c>
      <c r="E490" s="31">
        <f>E491+E493+E500+E504+E498+E502</f>
        <v>12032657</v>
      </c>
      <c r="F490" s="31">
        <f>F491+F493+F500+F504+F498+F502</f>
        <v>12032657</v>
      </c>
      <c r="G490" s="31">
        <f>G491+G493+G500+G504</f>
        <v>3246596</v>
      </c>
      <c r="H490" s="31">
        <f>H491+H493+H500+H504</f>
        <v>618600</v>
      </c>
      <c r="I490" s="31"/>
      <c r="J490" s="31">
        <f>K490+N490</f>
        <v>3480186</v>
      </c>
      <c r="K490" s="31">
        <f>K491+K493+K500+K504</f>
        <v>2448</v>
      </c>
      <c r="L490" s="31">
        <f>L491+L493+L500+L504</f>
        <v>0</v>
      </c>
      <c r="M490" s="31">
        <f>M491+M493+M500+M504</f>
        <v>0</v>
      </c>
      <c r="N490" s="31">
        <f>N491+N493+N500+N504+N496</f>
        <v>3477738</v>
      </c>
      <c r="O490" s="31">
        <f>O491+O493+O500+O504+O496</f>
        <v>3477738</v>
      </c>
      <c r="P490" s="31">
        <f>E490+J490</f>
        <v>15512843</v>
      </c>
      <c r="Q490" s="53"/>
      <c r="W490" s="53">
        <f t="shared" si="78"/>
        <v>0</v>
      </c>
    </row>
    <row r="491" spans="1:23" s="3" customFormat="1" ht="12.75">
      <c r="A491" s="9"/>
      <c r="B491" s="9" t="s">
        <v>362</v>
      </c>
      <c r="C491" s="9"/>
      <c r="D491" s="4" t="s">
        <v>363</v>
      </c>
      <c r="E491" s="27">
        <f>E492</f>
        <v>4895540</v>
      </c>
      <c r="F491" s="27">
        <f>F492</f>
        <v>4895540</v>
      </c>
      <c r="G491" s="27">
        <f>G492</f>
        <v>3246596</v>
      </c>
      <c r="H491" s="27">
        <f>H492</f>
        <v>439208</v>
      </c>
      <c r="I491" s="27"/>
      <c r="J491" s="27">
        <f>K491+N491</f>
        <v>2448</v>
      </c>
      <c r="K491" s="27">
        <f>K492</f>
        <v>2448</v>
      </c>
      <c r="L491" s="27"/>
      <c r="M491" s="27"/>
      <c r="N491" s="27">
        <f>N492</f>
        <v>0</v>
      </c>
      <c r="O491" s="27">
        <f>O492</f>
        <v>0</v>
      </c>
      <c r="P491" s="27">
        <f t="shared" si="76"/>
        <v>4897988</v>
      </c>
      <c r="Q491" s="53"/>
      <c r="W491" s="53">
        <f t="shared" si="78"/>
        <v>0</v>
      </c>
    </row>
    <row r="492" spans="1:23" s="1" customFormat="1" ht="12.75">
      <c r="A492" s="8"/>
      <c r="B492" s="8" t="s">
        <v>249</v>
      </c>
      <c r="C492" s="8" t="s">
        <v>441</v>
      </c>
      <c r="D492" s="10" t="s">
        <v>250</v>
      </c>
      <c r="E492" s="27">
        <f>F492+I492</f>
        <v>4895540</v>
      </c>
      <c r="F492" s="27">
        <f>4863990-408421+291383+66049+17209+58657+6673</f>
        <v>4895540</v>
      </c>
      <c r="G492" s="27">
        <f>2949716+291383+5497</f>
        <v>3246596</v>
      </c>
      <c r="H492" s="27">
        <v>439208</v>
      </c>
      <c r="I492" s="27"/>
      <c r="J492" s="27">
        <f>K492+N492</f>
        <v>2448</v>
      </c>
      <c r="K492" s="27">
        <v>2448</v>
      </c>
      <c r="L492" s="27"/>
      <c r="M492" s="27"/>
      <c r="N492" s="27">
        <f>O492</f>
        <v>0</v>
      </c>
      <c r="O492" s="29"/>
      <c r="P492" s="27">
        <f t="shared" si="76"/>
        <v>4897988</v>
      </c>
      <c r="Q492" s="53"/>
      <c r="W492" s="53">
        <f t="shared" si="78"/>
        <v>0</v>
      </c>
    </row>
    <row r="493" spans="1:23" s="3" customFormat="1" ht="12.75">
      <c r="A493" s="9"/>
      <c r="B493" s="9" t="s">
        <v>374</v>
      </c>
      <c r="C493" s="9"/>
      <c r="D493" s="4" t="s">
        <v>375</v>
      </c>
      <c r="E493" s="27">
        <f>E495+E494</f>
        <v>6870619</v>
      </c>
      <c r="F493" s="27">
        <f aca="true" t="shared" si="79" ref="F493:O493">F495+F494</f>
        <v>6870619</v>
      </c>
      <c r="G493" s="27">
        <f t="shared" si="79"/>
        <v>0</v>
      </c>
      <c r="H493" s="27">
        <f t="shared" si="79"/>
        <v>179392</v>
      </c>
      <c r="I493" s="27">
        <f t="shared" si="79"/>
        <v>0</v>
      </c>
      <c r="J493" s="27">
        <f t="shared" si="79"/>
        <v>116139</v>
      </c>
      <c r="K493" s="27">
        <f t="shared" si="79"/>
        <v>0</v>
      </c>
      <c r="L493" s="27">
        <f t="shared" si="79"/>
        <v>0</v>
      </c>
      <c r="M493" s="27">
        <f t="shared" si="79"/>
        <v>0</v>
      </c>
      <c r="N493" s="27">
        <f t="shared" si="79"/>
        <v>116139</v>
      </c>
      <c r="O493" s="27">
        <f t="shared" si="79"/>
        <v>116139</v>
      </c>
      <c r="P493" s="27">
        <f t="shared" si="76"/>
        <v>6986758</v>
      </c>
      <c r="Q493" s="53"/>
      <c r="W493" s="53">
        <f t="shared" si="78"/>
        <v>0</v>
      </c>
    </row>
    <row r="494" spans="1:23" s="3" customFormat="1" ht="16.5" customHeight="1">
      <c r="A494" s="9"/>
      <c r="B494" s="74" t="s">
        <v>200</v>
      </c>
      <c r="C494" s="74" t="s">
        <v>473</v>
      </c>
      <c r="D494" s="75" t="s">
        <v>201</v>
      </c>
      <c r="E494" s="27">
        <f>F494</f>
        <v>2358884</v>
      </c>
      <c r="F494" s="27">
        <v>2358884</v>
      </c>
      <c r="G494" s="27"/>
      <c r="H494" s="27"/>
      <c r="I494" s="27"/>
      <c r="J494" s="27"/>
      <c r="K494" s="27"/>
      <c r="L494" s="27"/>
      <c r="M494" s="27"/>
      <c r="N494" s="27"/>
      <c r="O494" s="27"/>
      <c r="P494" s="27">
        <f t="shared" si="76"/>
        <v>2358884</v>
      </c>
      <c r="Q494" s="53"/>
      <c r="W494" s="53"/>
    </row>
    <row r="495" spans="1:23" s="3" customFormat="1" ht="12.75">
      <c r="A495" s="9"/>
      <c r="B495" s="9" t="s">
        <v>102</v>
      </c>
      <c r="C495" s="9" t="s">
        <v>474</v>
      </c>
      <c r="D495" s="4" t="s">
        <v>106</v>
      </c>
      <c r="E495" s="27">
        <f>F495+I495</f>
        <v>4511735</v>
      </c>
      <c r="F495" s="27">
        <f>1142260+85000+103204+3181271</f>
        <v>4511735</v>
      </c>
      <c r="G495" s="27"/>
      <c r="H495" s="27">
        <v>179392</v>
      </c>
      <c r="I495" s="27"/>
      <c r="J495" s="27">
        <f>K495+N495</f>
        <v>116139</v>
      </c>
      <c r="K495" s="27"/>
      <c r="L495" s="27"/>
      <c r="M495" s="27"/>
      <c r="N495" s="27">
        <f>O495</f>
        <v>116139</v>
      </c>
      <c r="O495" s="27">
        <v>116139</v>
      </c>
      <c r="P495" s="27">
        <f t="shared" si="76"/>
        <v>4627874</v>
      </c>
      <c r="Q495" s="53"/>
      <c r="W495" s="53">
        <f t="shared" si="78"/>
        <v>0</v>
      </c>
    </row>
    <row r="496" spans="1:23" s="3" customFormat="1" ht="12.75">
      <c r="A496" s="39"/>
      <c r="B496" s="39" t="s">
        <v>366</v>
      </c>
      <c r="C496" s="39"/>
      <c r="D496" s="60" t="s">
        <v>283</v>
      </c>
      <c r="E496" s="38"/>
      <c r="F496" s="38"/>
      <c r="G496" s="38"/>
      <c r="H496" s="38"/>
      <c r="I496" s="38"/>
      <c r="J496" s="38">
        <f>K496+N496</f>
        <v>3361599</v>
      </c>
      <c r="K496" s="38"/>
      <c r="L496" s="38"/>
      <c r="M496" s="38"/>
      <c r="N496" s="38">
        <f>N497</f>
        <v>3361599</v>
      </c>
      <c r="O496" s="38">
        <f>O497</f>
        <v>3361599</v>
      </c>
      <c r="P496" s="55">
        <f t="shared" si="76"/>
        <v>3361599</v>
      </c>
      <c r="Q496" s="53"/>
      <c r="W496" s="53">
        <f t="shared" si="78"/>
        <v>0</v>
      </c>
    </row>
    <row r="497" spans="1:23" s="3" customFormat="1" ht="12.75">
      <c r="A497" s="39"/>
      <c r="B497" s="39" t="s">
        <v>338</v>
      </c>
      <c r="C497" s="74" t="s">
        <v>443</v>
      </c>
      <c r="D497" s="58" t="s">
        <v>339</v>
      </c>
      <c r="E497" s="38"/>
      <c r="F497" s="38"/>
      <c r="G497" s="38"/>
      <c r="H497" s="38"/>
      <c r="I497" s="38"/>
      <c r="J497" s="38">
        <f>K497+N497</f>
        <v>3361599</v>
      </c>
      <c r="K497" s="38"/>
      <c r="L497" s="38"/>
      <c r="M497" s="38"/>
      <c r="N497" s="38">
        <f>O497</f>
        <v>3361599</v>
      </c>
      <c r="O497" s="76">
        <f>1555422+1806177</f>
        <v>3361599</v>
      </c>
      <c r="P497" s="55">
        <f t="shared" si="76"/>
        <v>3361599</v>
      </c>
      <c r="Q497" s="53"/>
      <c r="W497" s="53">
        <f t="shared" si="78"/>
        <v>0</v>
      </c>
    </row>
    <row r="498" spans="1:23" s="3" customFormat="1" ht="25.5" hidden="1">
      <c r="A498" s="74"/>
      <c r="B498" s="74" t="s">
        <v>376</v>
      </c>
      <c r="C498" s="74"/>
      <c r="D498" s="131" t="s">
        <v>377</v>
      </c>
      <c r="E498" s="38">
        <f>E499</f>
        <v>0</v>
      </c>
      <c r="F498" s="38">
        <f>F499</f>
        <v>0</v>
      </c>
      <c r="G498" s="38"/>
      <c r="H498" s="38"/>
      <c r="I498" s="38"/>
      <c r="J498" s="38"/>
      <c r="K498" s="38"/>
      <c r="L498" s="38"/>
      <c r="M498" s="38"/>
      <c r="N498" s="38"/>
      <c r="O498" s="76"/>
      <c r="P498" s="55">
        <f t="shared" si="76"/>
        <v>0</v>
      </c>
      <c r="Q498" s="53"/>
      <c r="W498" s="53">
        <f t="shared" si="78"/>
        <v>0</v>
      </c>
    </row>
    <row r="499" spans="1:23" s="3" customFormat="1" ht="25.5" hidden="1">
      <c r="A499" s="74"/>
      <c r="B499" s="74" t="s">
        <v>303</v>
      </c>
      <c r="C499" s="74"/>
      <c r="D499" s="132" t="s">
        <v>304</v>
      </c>
      <c r="E499" s="38">
        <f>F499+I499</f>
        <v>0</v>
      </c>
      <c r="F499" s="38"/>
      <c r="G499" s="38"/>
      <c r="H499" s="38"/>
      <c r="I499" s="38"/>
      <c r="J499" s="38"/>
      <c r="K499" s="38"/>
      <c r="L499" s="38"/>
      <c r="M499" s="38"/>
      <c r="N499" s="38"/>
      <c r="O499" s="76"/>
      <c r="P499" s="55">
        <f t="shared" si="76"/>
        <v>0</v>
      </c>
      <c r="Q499" s="53"/>
      <c r="W499" s="53">
        <f t="shared" si="78"/>
        <v>0</v>
      </c>
    </row>
    <row r="500" spans="1:23" s="3" customFormat="1" ht="12.75" hidden="1">
      <c r="A500" s="9"/>
      <c r="B500" s="9" t="s">
        <v>369</v>
      </c>
      <c r="C500" s="9"/>
      <c r="D500" s="4" t="s">
        <v>373</v>
      </c>
      <c r="E500" s="27">
        <f>E501</f>
        <v>0</v>
      </c>
      <c r="F500" s="27"/>
      <c r="G500" s="27">
        <f aca="true" t="shared" si="80" ref="G500:O500">G501</f>
        <v>0</v>
      </c>
      <c r="H500" s="27">
        <f t="shared" si="80"/>
        <v>0</v>
      </c>
      <c r="I500" s="27"/>
      <c r="J500" s="38">
        <f>K500+N500</f>
        <v>0</v>
      </c>
      <c r="K500" s="27">
        <f t="shared" si="80"/>
        <v>0</v>
      </c>
      <c r="L500" s="27">
        <f t="shared" si="80"/>
        <v>0</v>
      </c>
      <c r="M500" s="27">
        <f t="shared" si="80"/>
        <v>0</v>
      </c>
      <c r="N500" s="27">
        <f t="shared" si="80"/>
        <v>0</v>
      </c>
      <c r="O500" s="27">
        <f t="shared" si="80"/>
        <v>0</v>
      </c>
      <c r="P500" s="55">
        <f t="shared" si="76"/>
        <v>0</v>
      </c>
      <c r="Q500" s="53"/>
      <c r="W500" s="53">
        <f t="shared" si="78"/>
        <v>0</v>
      </c>
    </row>
    <row r="501" spans="1:23" s="3" customFormat="1" ht="25.5" hidden="1">
      <c r="A501" s="9"/>
      <c r="B501" s="9" t="s">
        <v>287</v>
      </c>
      <c r="C501" s="9"/>
      <c r="D501" s="4" t="s">
        <v>333</v>
      </c>
      <c r="E501" s="27"/>
      <c r="F501" s="27"/>
      <c r="G501" s="27"/>
      <c r="H501" s="27"/>
      <c r="I501" s="27"/>
      <c r="J501" s="38">
        <f>K501+N501</f>
        <v>0</v>
      </c>
      <c r="K501" s="27"/>
      <c r="L501" s="27"/>
      <c r="M501" s="27"/>
      <c r="N501" s="27"/>
      <c r="O501" s="27"/>
      <c r="P501" s="55">
        <f t="shared" si="76"/>
        <v>0</v>
      </c>
      <c r="Q501" s="53"/>
      <c r="W501" s="53">
        <f t="shared" si="78"/>
        <v>0</v>
      </c>
    </row>
    <row r="502" spans="1:23" s="3" customFormat="1" ht="38.25" hidden="1">
      <c r="A502" s="39"/>
      <c r="B502" s="74" t="s">
        <v>194</v>
      </c>
      <c r="C502" s="39"/>
      <c r="D502" s="60" t="s">
        <v>351</v>
      </c>
      <c r="E502" s="27">
        <f>E503</f>
        <v>0</v>
      </c>
      <c r="F502" s="27">
        <f>F503</f>
        <v>0</v>
      </c>
      <c r="G502" s="27"/>
      <c r="H502" s="27"/>
      <c r="I502" s="27"/>
      <c r="J502" s="38"/>
      <c r="K502" s="27"/>
      <c r="L502" s="27"/>
      <c r="M502" s="27"/>
      <c r="N502" s="27"/>
      <c r="O502" s="27"/>
      <c r="P502" s="55">
        <f t="shared" si="76"/>
        <v>0</v>
      </c>
      <c r="Q502" s="53"/>
      <c r="W502" s="53">
        <f t="shared" si="78"/>
        <v>0</v>
      </c>
    </row>
    <row r="503" spans="1:23" s="3" customFormat="1" ht="38.25" hidden="1">
      <c r="A503" s="39"/>
      <c r="B503" s="39" t="s">
        <v>285</v>
      </c>
      <c r="C503" s="39"/>
      <c r="D503" s="73" t="s">
        <v>241</v>
      </c>
      <c r="E503" s="27">
        <f>F503+I503</f>
        <v>0</v>
      </c>
      <c r="F503" s="27"/>
      <c r="G503" s="27"/>
      <c r="H503" s="27"/>
      <c r="I503" s="27"/>
      <c r="J503" s="38"/>
      <c r="K503" s="27"/>
      <c r="L503" s="27"/>
      <c r="M503" s="27"/>
      <c r="N503" s="27"/>
      <c r="O503" s="27"/>
      <c r="P503" s="55">
        <f t="shared" si="76"/>
        <v>0</v>
      </c>
      <c r="Q503" s="53"/>
      <c r="W503" s="53">
        <f t="shared" si="78"/>
        <v>0</v>
      </c>
    </row>
    <row r="504" spans="1:23" s="3" customFormat="1" ht="15" customHeight="1">
      <c r="A504" s="9"/>
      <c r="B504" s="9" t="s">
        <v>371</v>
      </c>
      <c r="C504" s="9"/>
      <c r="D504" s="60" t="s">
        <v>372</v>
      </c>
      <c r="E504" s="27">
        <f>E507+E505</f>
        <v>266498</v>
      </c>
      <c r="F504" s="27">
        <f>F507+F505</f>
        <v>266498</v>
      </c>
      <c r="G504" s="27">
        <f>G507+G505</f>
        <v>0</v>
      </c>
      <c r="H504" s="27">
        <f>H507+H505</f>
        <v>0</v>
      </c>
      <c r="I504" s="27">
        <f>I507+I505</f>
        <v>0</v>
      </c>
      <c r="J504" s="27"/>
      <c r="K504" s="27"/>
      <c r="L504" s="27"/>
      <c r="M504" s="27"/>
      <c r="N504" s="27"/>
      <c r="O504" s="27"/>
      <c r="P504" s="27">
        <f t="shared" si="76"/>
        <v>266498</v>
      </c>
      <c r="Q504" s="53"/>
      <c r="W504" s="53">
        <f t="shared" si="78"/>
        <v>0</v>
      </c>
    </row>
    <row r="505" spans="1:23" s="3" customFormat="1" ht="38.25" hidden="1">
      <c r="A505" s="9"/>
      <c r="B505" s="74" t="s">
        <v>305</v>
      </c>
      <c r="C505" s="74" t="s">
        <v>494</v>
      </c>
      <c r="D505" s="73" t="s">
        <v>12</v>
      </c>
      <c r="E505" s="27">
        <f>F505+I505</f>
        <v>0</v>
      </c>
      <c r="F505" s="27"/>
      <c r="G505" s="27"/>
      <c r="H505" s="27"/>
      <c r="I505" s="27"/>
      <c r="J505" s="27"/>
      <c r="K505" s="27"/>
      <c r="L505" s="27"/>
      <c r="M505" s="27"/>
      <c r="N505" s="27"/>
      <c r="O505" s="27"/>
      <c r="P505" s="27">
        <f t="shared" si="76"/>
        <v>0</v>
      </c>
      <c r="Q505" s="53"/>
      <c r="W505" s="53"/>
    </row>
    <row r="506" spans="1:23" s="3" customFormat="1" ht="63.75" hidden="1">
      <c r="A506" s="9"/>
      <c r="B506" s="39"/>
      <c r="C506" s="39"/>
      <c r="D506" s="68" t="s">
        <v>493</v>
      </c>
      <c r="E506" s="27">
        <f>F506+I506</f>
        <v>0</v>
      </c>
      <c r="F506" s="27">
        <f>F505</f>
        <v>0</v>
      </c>
      <c r="G506" s="27">
        <f>G505</f>
        <v>0</v>
      </c>
      <c r="H506" s="27">
        <f>H505</f>
        <v>0</v>
      </c>
      <c r="I506" s="27">
        <f>I505</f>
        <v>0</v>
      </c>
      <c r="J506" s="27"/>
      <c r="K506" s="27"/>
      <c r="L506" s="27"/>
      <c r="M506" s="27"/>
      <c r="N506" s="27"/>
      <c r="O506" s="27"/>
      <c r="P506" s="27">
        <f t="shared" si="76"/>
        <v>0</v>
      </c>
      <c r="Q506" s="53"/>
      <c r="W506" s="53"/>
    </row>
    <row r="507" spans="1:23" s="3" customFormat="1" ht="12.75">
      <c r="A507" s="9"/>
      <c r="B507" s="9" t="s">
        <v>288</v>
      </c>
      <c r="C507" s="9" t="s">
        <v>444</v>
      </c>
      <c r="D507" s="4" t="s">
        <v>316</v>
      </c>
      <c r="E507" s="27">
        <f>SUM(E508:E514)</f>
        <v>266498</v>
      </c>
      <c r="F507" s="27">
        <f>SUM(F508:F514)</f>
        <v>266498</v>
      </c>
      <c r="G507" s="27"/>
      <c r="H507" s="27"/>
      <c r="I507" s="27"/>
      <c r="J507" s="27"/>
      <c r="K507" s="27"/>
      <c r="L507" s="27"/>
      <c r="M507" s="27"/>
      <c r="N507" s="27"/>
      <c r="O507" s="27"/>
      <c r="P507" s="27">
        <f t="shared" si="76"/>
        <v>266498</v>
      </c>
      <c r="Q507" s="53"/>
      <c r="W507" s="53">
        <f t="shared" si="78"/>
        <v>0</v>
      </c>
    </row>
    <row r="508" spans="1:23" s="166" customFormat="1" ht="38.25" hidden="1">
      <c r="A508" s="164"/>
      <c r="B508" s="9"/>
      <c r="C508" s="9"/>
      <c r="D508" s="4" t="s">
        <v>187</v>
      </c>
      <c r="E508" s="27">
        <f>F508+I508</f>
        <v>171129</v>
      </c>
      <c r="F508" s="27">
        <v>171129</v>
      </c>
      <c r="G508" s="27"/>
      <c r="H508" s="27"/>
      <c r="I508" s="27"/>
      <c r="J508" s="27"/>
      <c r="K508" s="27"/>
      <c r="L508" s="27"/>
      <c r="M508" s="27"/>
      <c r="N508" s="27"/>
      <c r="O508" s="27"/>
      <c r="P508" s="27">
        <f t="shared" si="76"/>
        <v>171129</v>
      </c>
      <c r="Q508" s="165"/>
      <c r="W508" s="165">
        <f t="shared" si="78"/>
        <v>0</v>
      </c>
    </row>
    <row r="509" spans="1:23" s="166" customFormat="1" ht="25.5" hidden="1">
      <c r="A509" s="164"/>
      <c r="B509" s="9"/>
      <c r="C509" s="9"/>
      <c r="D509" s="6" t="s">
        <v>208</v>
      </c>
      <c r="E509" s="27">
        <f aca="true" t="shared" si="81" ref="E509:E514">F509+I509</f>
        <v>0</v>
      </c>
      <c r="F509" s="27"/>
      <c r="G509" s="27"/>
      <c r="H509" s="27"/>
      <c r="I509" s="27"/>
      <c r="J509" s="27"/>
      <c r="K509" s="27"/>
      <c r="L509" s="27"/>
      <c r="M509" s="27"/>
      <c r="N509" s="27"/>
      <c r="O509" s="27"/>
      <c r="P509" s="27">
        <f t="shared" si="76"/>
        <v>0</v>
      </c>
      <c r="Q509" s="165"/>
      <c r="W509" s="165">
        <f t="shared" si="78"/>
        <v>0</v>
      </c>
    </row>
    <row r="510" spans="1:23" s="166" customFormat="1" ht="25.5" hidden="1">
      <c r="A510" s="164"/>
      <c r="B510" s="9"/>
      <c r="C510" s="9"/>
      <c r="D510" s="4" t="s">
        <v>207</v>
      </c>
      <c r="E510" s="27">
        <f t="shared" si="81"/>
        <v>20991</v>
      </c>
      <c r="F510" s="27">
        <v>20991</v>
      </c>
      <c r="G510" s="27"/>
      <c r="H510" s="27"/>
      <c r="I510" s="27"/>
      <c r="J510" s="27"/>
      <c r="K510" s="27"/>
      <c r="L510" s="27"/>
      <c r="M510" s="27"/>
      <c r="N510" s="27"/>
      <c r="O510" s="27"/>
      <c r="P510" s="27">
        <f t="shared" si="76"/>
        <v>20991</v>
      </c>
      <c r="Q510" s="165"/>
      <c r="W510" s="165">
        <f t="shared" si="78"/>
        <v>0</v>
      </c>
    </row>
    <row r="511" spans="1:23" s="166" customFormat="1" ht="25.5" hidden="1">
      <c r="A511" s="164"/>
      <c r="B511" s="9"/>
      <c r="C511" s="9"/>
      <c r="D511" s="4" t="s">
        <v>111</v>
      </c>
      <c r="E511" s="27">
        <f t="shared" si="81"/>
        <v>0</v>
      </c>
      <c r="F511" s="27"/>
      <c r="G511" s="27"/>
      <c r="H511" s="27"/>
      <c r="I511" s="27"/>
      <c r="J511" s="27"/>
      <c r="K511" s="27"/>
      <c r="L511" s="27"/>
      <c r="M511" s="27"/>
      <c r="N511" s="27"/>
      <c r="O511" s="27"/>
      <c r="P511" s="27">
        <f t="shared" si="76"/>
        <v>0</v>
      </c>
      <c r="Q511" s="165"/>
      <c r="W511" s="165">
        <f t="shared" si="78"/>
        <v>0</v>
      </c>
    </row>
    <row r="512" spans="1:23" s="166" customFormat="1" ht="41.25" customHeight="1" hidden="1">
      <c r="A512" s="164"/>
      <c r="B512" s="9"/>
      <c r="C512" s="9"/>
      <c r="D512" s="4" t="s">
        <v>222</v>
      </c>
      <c r="E512" s="27">
        <f t="shared" si="81"/>
        <v>39699</v>
      </c>
      <c r="F512" s="27">
        <f>26099+13600</f>
        <v>39699</v>
      </c>
      <c r="G512" s="27"/>
      <c r="H512" s="27"/>
      <c r="I512" s="27"/>
      <c r="J512" s="27"/>
      <c r="K512" s="27"/>
      <c r="L512" s="27"/>
      <c r="M512" s="27"/>
      <c r="N512" s="27"/>
      <c r="O512" s="27"/>
      <c r="P512" s="27">
        <f t="shared" si="76"/>
        <v>39699</v>
      </c>
      <c r="Q512" s="165"/>
      <c r="W512" s="165">
        <f t="shared" si="78"/>
        <v>0</v>
      </c>
    </row>
    <row r="513" spans="1:23" s="166" customFormat="1" ht="12.75" hidden="1">
      <c r="A513" s="164"/>
      <c r="B513" s="9"/>
      <c r="C513" s="9"/>
      <c r="D513" s="4" t="s">
        <v>51</v>
      </c>
      <c r="E513" s="27">
        <f t="shared" si="81"/>
        <v>34679</v>
      </c>
      <c r="F513" s="27">
        <f>14850+19829</f>
        <v>34679</v>
      </c>
      <c r="G513" s="27"/>
      <c r="H513" s="27"/>
      <c r="I513" s="27"/>
      <c r="J513" s="27"/>
      <c r="K513" s="27"/>
      <c r="L513" s="27"/>
      <c r="M513" s="27"/>
      <c r="N513" s="27"/>
      <c r="O513" s="27"/>
      <c r="P513" s="27">
        <f t="shared" si="76"/>
        <v>34679</v>
      </c>
      <c r="Q513" s="165"/>
      <c r="W513" s="165">
        <f t="shared" si="78"/>
        <v>0</v>
      </c>
    </row>
    <row r="514" spans="1:23" s="166" customFormat="1" ht="24" hidden="1">
      <c r="A514" s="164"/>
      <c r="B514" s="9"/>
      <c r="C514" s="9"/>
      <c r="D514" s="40" t="s">
        <v>105</v>
      </c>
      <c r="E514" s="27">
        <f t="shared" si="81"/>
        <v>0</v>
      </c>
      <c r="F514" s="27"/>
      <c r="G514" s="27"/>
      <c r="H514" s="27"/>
      <c r="I514" s="27"/>
      <c r="J514" s="27"/>
      <c r="K514" s="27"/>
      <c r="L514" s="27"/>
      <c r="M514" s="27"/>
      <c r="N514" s="27"/>
      <c r="O514" s="27"/>
      <c r="P514" s="27">
        <f t="shared" si="76"/>
        <v>0</v>
      </c>
      <c r="Q514" s="165"/>
      <c r="W514" s="165">
        <f t="shared" si="78"/>
        <v>0</v>
      </c>
    </row>
    <row r="515" spans="1:23" s="19" customFormat="1" ht="38.25">
      <c r="A515" s="18"/>
      <c r="B515" s="18" t="s">
        <v>166</v>
      </c>
      <c r="C515" s="18"/>
      <c r="D515" s="20" t="s">
        <v>144</v>
      </c>
      <c r="E515" s="30">
        <f>E516+E520+E529+E531+E523+E527+E518</f>
        <v>19404049</v>
      </c>
      <c r="F515" s="30">
        <f>F516+F520+F529+F531+F523+F527+F518</f>
        <v>19404049</v>
      </c>
      <c r="G515" s="30">
        <f>G516+G520+G529+G531+G523</f>
        <v>3607806</v>
      </c>
      <c r="H515" s="30">
        <f>H516+H520+H529+H531+H523</f>
        <v>509871</v>
      </c>
      <c r="I515" s="30"/>
      <c r="J515" s="30">
        <f>K515+N515</f>
        <v>8990706</v>
      </c>
      <c r="K515" s="30">
        <f>K516+K520+K529+K531+K523+K525</f>
        <v>206053</v>
      </c>
      <c r="L515" s="30">
        <f>L516+L520+L529+L531+L523</f>
        <v>0</v>
      </c>
      <c r="M515" s="30">
        <f>M516+M520+M529+M531+M523</f>
        <v>0</v>
      </c>
      <c r="N515" s="30">
        <f>N516+N520+N529+N531+N523+N525</f>
        <v>8784653</v>
      </c>
      <c r="O515" s="30">
        <f>O516+O520+O529+O531+O523+O525</f>
        <v>8632664</v>
      </c>
      <c r="P515" s="30">
        <f>E515+J515</f>
        <v>28394755</v>
      </c>
      <c r="Q515" s="53"/>
      <c r="W515" s="53">
        <f t="shared" si="78"/>
        <v>151989</v>
      </c>
    </row>
    <row r="516" spans="1:23" s="3" customFormat="1" ht="12.75">
      <c r="A516" s="9"/>
      <c r="B516" s="9" t="s">
        <v>362</v>
      </c>
      <c r="C516" s="9"/>
      <c r="D516" s="12" t="s">
        <v>363</v>
      </c>
      <c r="E516" s="26">
        <f>E517</f>
        <v>5355734</v>
      </c>
      <c r="F516" s="26">
        <f>F517</f>
        <v>5355734</v>
      </c>
      <c r="G516" s="26">
        <f>G517</f>
        <v>3607806</v>
      </c>
      <c r="H516" s="26">
        <f>H517</f>
        <v>509871</v>
      </c>
      <c r="I516" s="26"/>
      <c r="J516" s="26">
        <f>K516+N516</f>
        <v>603472</v>
      </c>
      <c r="K516" s="26">
        <f>K517</f>
        <v>173995</v>
      </c>
      <c r="L516" s="26">
        <f>L517</f>
        <v>0</v>
      </c>
      <c r="M516" s="26">
        <f>M517</f>
        <v>0</v>
      </c>
      <c r="N516" s="26">
        <f>N517</f>
        <v>429477</v>
      </c>
      <c r="O516" s="26">
        <f>O517</f>
        <v>277488</v>
      </c>
      <c r="P516" s="26">
        <f t="shared" si="76"/>
        <v>5959206</v>
      </c>
      <c r="Q516" s="53"/>
      <c r="W516" s="53">
        <f t="shared" si="78"/>
        <v>151989</v>
      </c>
    </row>
    <row r="517" spans="1:23" s="5" customFormat="1" ht="12.75">
      <c r="A517" s="8"/>
      <c r="B517" s="8" t="s">
        <v>249</v>
      </c>
      <c r="C517" s="8" t="s">
        <v>441</v>
      </c>
      <c r="D517" s="2" t="s">
        <v>250</v>
      </c>
      <c r="E517" s="129">
        <f>F517+I517</f>
        <v>5355734</v>
      </c>
      <c r="F517" s="129">
        <f>5248274-290469+335218+73448-10737</f>
        <v>5355734</v>
      </c>
      <c r="G517" s="129">
        <f>3158237+124060+335218-9709</f>
        <v>3607806</v>
      </c>
      <c r="H517" s="24">
        <v>509871</v>
      </c>
      <c r="I517" s="24"/>
      <c r="J517" s="26">
        <f>K517+N517</f>
        <v>603472</v>
      </c>
      <c r="K517" s="24">
        <f>165838+8157</f>
        <v>173995</v>
      </c>
      <c r="L517" s="24"/>
      <c r="M517" s="24"/>
      <c r="N517" s="24">
        <f>151989+O517</f>
        <v>429477</v>
      </c>
      <c r="O517" s="24">
        <v>277488</v>
      </c>
      <c r="P517" s="26">
        <f t="shared" si="76"/>
        <v>5959206</v>
      </c>
      <c r="Q517" s="53"/>
      <c r="W517" s="53">
        <f t="shared" si="78"/>
        <v>151989</v>
      </c>
    </row>
    <row r="518" spans="1:23" s="5" customFormat="1" ht="25.5" hidden="1">
      <c r="A518" s="39"/>
      <c r="B518" s="39" t="s">
        <v>271</v>
      </c>
      <c r="C518" s="39"/>
      <c r="D518" s="58" t="s">
        <v>317</v>
      </c>
      <c r="E518" s="129">
        <f>E519</f>
        <v>0</v>
      </c>
      <c r="F518" s="129">
        <f>F519</f>
        <v>0</v>
      </c>
      <c r="G518" s="129"/>
      <c r="H518" s="24"/>
      <c r="I518" s="24"/>
      <c r="J518" s="26">
        <f aca="true" t="shared" si="82" ref="J518:J526">K518+N518</f>
        <v>0</v>
      </c>
      <c r="K518" s="24"/>
      <c r="L518" s="24"/>
      <c r="M518" s="24"/>
      <c r="N518" s="24"/>
      <c r="O518" s="24"/>
      <c r="P518" s="26">
        <f t="shared" si="76"/>
        <v>0</v>
      </c>
      <c r="Q518" s="53"/>
      <c r="W518" s="53">
        <f t="shared" si="78"/>
        <v>0</v>
      </c>
    </row>
    <row r="519" spans="1:23" s="5" customFormat="1" ht="25.5" hidden="1">
      <c r="A519" s="39"/>
      <c r="B519" s="39" t="s">
        <v>272</v>
      </c>
      <c r="C519" s="39"/>
      <c r="D519" s="36" t="s">
        <v>331</v>
      </c>
      <c r="E519" s="129">
        <f>F519+I519</f>
        <v>0</v>
      </c>
      <c r="F519" s="129"/>
      <c r="G519" s="129"/>
      <c r="H519" s="24"/>
      <c r="I519" s="24"/>
      <c r="J519" s="26">
        <f t="shared" si="82"/>
        <v>0</v>
      </c>
      <c r="K519" s="24"/>
      <c r="L519" s="24"/>
      <c r="M519" s="24"/>
      <c r="N519" s="24"/>
      <c r="O519" s="24"/>
      <c r="P519" s="26">
        <f t="shared" si="76"/>
        <v>0</v>
      </c>
      <c r="Q519" s="53"/>
      <c r="W519" s="53">
        <f t="shared" si="78"/>
        <v>0</v>
      </c>
    </row>
    <row r="520" spans="1:23" s="3" customFormat="1" ht="12.75">
      <c r="A520" s="9"/>
      <c r="B520" s="9" t="s">
        <v>374</v>
      </c>
      <c r="C520" s="9"/>
      <c r="D520" s="4" t="s">
        <v>375</v>
      </c>
      <c r="E520" s="27">
        <f>E522+E521</f>
        <v>13501267</v>
      </c>
      <c r="F520" s="27">
        <f aca="true" t="shared" si="83" ref="F520:O520">F522+F521</f>
        <v>13501267</v>
      </c>
      <c r="G520" s="27">
        <f t="shared" si="83"/>
        <v>0</v>
      </c>
      <c r="H520" s="27">
        <f t="shared" si="83"/>
        <v>0</v>
      </c>
      <c r="I520" s="27">
        <f t="shared" si="83"/>
        <v>0</v>
      </c>
      <c r="J520" s="27">
        <f t="shared" si="83"/>
        <v>747677</v>
      </c>
      <c r="K520" s="27">
        <f t="shared" si="83"/>
        <v>0</v>
      </c>
      <c r="L520" s="27">
        <f t="shared" si="83"/>
        <v>0</v>
      </c>
      <c r="M520" s="27">
        <f t="shared" si="83"/>
        <v>0</v>
      </c>
      <c r="N520" s="27">
        <f t="shared" si="83"/>
        <v>747677</v>
      </c>
      <c r="O520" s="27">
        <f t="shared" si="83"/>
        <v>747677</v>
      </c>
      <c r="P520" s="26">
        <f t="shared" si="76"/>
        <v>14248944</v>
      </c>
      <c r="Q520" s="53"/>
      <c r="W520" s="53">
        <f t="shared" si="78"/>
        <v>0</v>
      </c>
    </row>
    <row r="521" spans="1:23" s="3" customFormat="1" ht="13.5" customHeight="1">
      <c r="A521" s="9"/>
      <c r="B521" s="74" t="s">
        <v>200</v>
      </c>
      <c r="C521" s="74" t="s">
        <v>473</v>
      </c>
      <c r="D521" s="75" t="s">
        <v>201</v>
      </c>
      <c r="E521" s="27">
        <f>F521</f>
        <v>3917280</v>
      </c>
      <c r="F521" s="27">
        <v>3917280</v>
      </c>
      <c r="G521" s="27"/>
      <c r="H521" s="27"/>
      <c r="I521" s="27"/>
      <c r="J521" s="26"/>
      <c r="K521" s="27"/>
      <c r="L521" s="27"/>
      <c r="M521" s="27"/>
      <c r="N521" s="27"/>
      <c r="O521" s="27"/>
      <c r="P521" s="26">
        <f t="shared" si="76"/>
        <v>3917280</v>
      </c>
      <c r="Q521" s="53"/>
      <c r="W521" s="53"/>
    </row>
    <row r="522" spans="1:23" s="3" customFormat="1" ht="12.75">
      <c r="A522" s="9"/>
      <c r="B522" s="9" t="s">
        <v>102</v>
      </c>
      <c r="C522" s="9" t="s">
        <v>474</v>
      </c>
      <c r="D522" s="4" t="s">
        <v>106</v>
      </c>
      <c r="E522" s="27">
        <f>F522+I522</f>
        <v>9583987</v>
      </c>
      <c r="F522" s="27">
        <f>1035807+8506800+89800-80520+32100</f>
        <v>9583987</v>
      </c>
      <c r="G522" s="27"/>
      <c r="H522" s="27"/>
      <c r="I522" s="27"/>
      <c r="J522" s="26">
        <f t="shared" si="82"/>
        <v>747677</v>
      </c>
      <c r="K522" s="27"/>
      <c r="L522" s="27"/>
      <c r="M522" s="27"/>
      <c r="N522" s="27">
        <f>O522</f>
        <v>747677</v>
      </c>
      <c r="O522" s="27">
        <f>80520+667157</f>
        <v>747677</v>
      </c>
      <c r="P522" s="26">
        <f t="shared" si="76"/>
        <v>10331664</v>
      </c>
      <c r="Q522" s="53"/>
      <c r="W522" s="53">
        <f t="shared" si="78"/>
        <v>0</v>
      </c>
    </row>
    <row r="523" spans="1:23" s="3" customFormat="1" ht="12.75" hidden="1">
      <c r="A523" s="39"/>
      <c r="B523" s="39" t="s">
        <v>378</v>
      </c>
      <c r="C523" s="39"/>
      <c r="D523" s="36" t="s">
        <v>292</v>
      </c>
      <c r="E523" s="27">
        <f>E524</f>
        <v>0</v>
      </c>
      <c r="F523" s="27"/>
      <c r="G523" s="27"/>
      <c r="H523" s="27"/>
      <c r="I523" s="27"/>
      <c r="J523" s="26">
        <f t="shared" si="82"/>
        <v>0</v>
      </c>
      <c r="K523" s="27"/>
      <c r="L523" s="27"/>
      <c r="M523" s="27"/>
      <c r="N523" s="27"/>
      <c r="O523" s="27"/>
      <c r="P523" s="26">
        <f t="shared" si="76"/>
        <v>0</v>
      </c>
      <c r="Q523" s="53"/>
      <c r="W523" s="53">
        <f t="shared" si="78"/>
        <v>0</v>
      </c>
    </row>
    <row r="524" spans="1:23" s="3" customFormat="1" ht="12.75" hidden="1">
      <c r="A524" s="39"/>
      <c r="B524" s="39" t="s">
        <v>340</v>
      </c>
      <c r="C524" s="39"/>
      <c r="D524" s="60" t="s">
        <v>289</v>
      </c>
      <c r="E524" s="27"/>
      <c r="F524" s="27"/>
      <c r="G524" s="27"/>
      <c r="H524" s="27"/>
      <c r="I524" s="27"/>
      <c r="J524" s="26">
        <f t="shared" si="82"/>
        <v>0</v>
      </c>
      <c r="K524" s="27"/>
      <c r="L524" s="27"/>
      <c r="M524" s="27"/>
      <c r="N524" s="27"/>
      <c r="O524" s="27"/>
      <c r="P524" s="26">
        <f t="shared" si="76"/>
        <v>0</v>
      </c>
      <c r="Q524" s="53"/>
      <c r="W524" s="53">
        <f t="shared" si="78"/>
        <v>0</v>
      </c>
    </row>
    <row r="525" spans="1:23" s="3" customFormat="1" ht="12.75">
      <c r="A525" s="39"/>
      <c r="B525" s="39" t="s">
        <v>366</v>
      </c>
      <c r="C525" s="39"/>
      <c r="D525" s="60" t="s">
        <v>283</v>
      </c>
      <c r="E525" s="27"/>
      <c r="F525" s="27"/>
      <c r="G525" s="27"/>
      <c r="H525" s="27"/>
      <c r="I525" s="27"/>
      <c r="J525" s="26">
        <f t="shared" si="82"/>
        <v>7607499</v>
      </c>
      <c r="K525" s="27"/>
      <c r="L525" s="27"/>
      <c r="M525" s="27"/>
      <c r="N525" s="27">
        <f>N526</f>
        <v>7607499</v>
      </c>
      <c r="O525" s="27">
        <f>O526</f>
        <v>7607499</v>
      </c>
      <c r="P525" s="26">
        <f t="shared" si="76"/>
        <v>7607499</v>
      </c>
      <c r="Q525" s="53"/>
      <c r="W525" s="53"/>
    </row>
    <row r="526" spans="1:23" s="3" customFormat="1" ht="12.75">
      <c r="A526" s="39"/>
      <c r="B526" s="39" t="s">
        <v>338</v>
      </c>
      <c r="C526" s="74" t="s">
        <v>443</v>
      </c>
      <c r="D526" s="58" t="s">
        <v>339</v>
      </c>
      <c r="E526" s="27"/>
      <c r="F526" s="27"/>
      <c r="G526" s="27"/>
      <c r="H526" s="27"/>
      <c r="I526" s="27"/>
      <c r="J526" s="26">
        <f t="shared" si="82"/>
        <v>7607499</v>
      </c>
      <c r="K526" s="27"/>
      <c r="L526" s="27"/>
      <c r="M526" s="27"/>
      <c r="N526" s="27">
        <f>O526</f>
        <v>7607499</v>
      </c>
      <c r="O526" s="27">
        <f>4577657+217100+1565343+1247399</f>
        <v>7607499</v>
      </c>
      <c r="P526" s="26">
        <f t="shared" si="76"/>
        <v>7607499</v>
      </c>
      <c r="Q526" s="53"/>
      <c r="W526" s="53"/>
    </row>
    <row r="527" spans="1:23" s="3" customFormat="1" ht="38.25" hidden="1">
      <c r="A527" s="39"/>
      <c r="B527" s="39"/>
      <c r="C527" s="39"/>
      <c r="D527" s="60" t="s">
        <v>351</v>
      </c>
      <c r="E527" s="27">
        <f>E528</f>
        <v>0</v>
      </c>
      <c r="F527" s="27">
        <f>F528</f>
        <v>0</v>
      </c>
      <c r="G527" s="27"/>
      <c r="H527" s="27"/>
      <c r="I527" s="27"/>
      <c r="J527" s="27"/>
      <c r="K527" s="27"/>
      <c r="L527" s="27"/>
      <c r="M527" s="27"/>
      <c r="N527" s="27"/>
      <c r="O527" s="27"/>
      <c r="P527" s="26">
        <f t="shared" si="76"/>
        <v>0</v>
      </c>
      <c r="Q527" s="53"/>
      <c r="W527" s="53">
        <f t="shared" si="78"/>
        <v>0</v>
      </c>
    </row>
    <row r="528" spans="1:23" s="3" customFormat="1" ht="38.25" hidden="1">
      <c r="A528" s="39"/>
      <c r="B528" s="39" t="s">
        <v>285</v>
      </c>
      <c r="C528" s="39"/>
      <c r="D528" s="73" t="s">
        <v>241</v>
      </c>
      <c r="E528" s="27">
        <f>F528+I528</f>
        <v>0</v>
      </c>
      <c r="F528" s="27"/>
      <c r="G528" s="27"/>
      <c r="H528" s="27"/>
      <c r="I528" s="27"/>
      <c r="J528" s="27"/>
      <c r="K528" s="27"/>
      <c r="L528" s="27"/>
      <c r="M528" s="27"/>
      <c r="N528" s="27"/>
      <c r="O528" s="27"/>
      <c r="P528" s="26">
        <f t="shared" si="76"/>
        <v>0</v>
      </c>
      <c r="Q528" s="53"/>
      <c r="W528" s="53">
        <f t="shared" si="78"/>
        <v>0</v>
      </c>
    </row>
    <row r="529" spans="1:23" s="3" customFormat="1" ht="12.75">
      <c r="A529" s="9"/>
      <c r="B529" s="9" t="s">
        <v>369</v>
      </c>
      <c r="C529" s="9"/>
      <c r="D529" s="4" t="s">
        <v>373</v>
      </c>
      <c r="E529" s="27">
        <f>E530</f>
        <v>0</v>
      </c>
      <c r="F529" s="27"/>
      <c r="G529" s="27">
        <f aca="true" t="shared" si="84" ref="G529:O529">G530</f>
        <v>0</v>
      </c>
      <c r="H529" s="27">
        <f t="shared" si="84"/>
        <v>0</v>
      </c>
      <c r="I529" s="27"/>
      <c r="J529" s="27">
        <f t="shared" si="84"/>
        <v>32058</v>
      </c>
      <c r="K529" s="27">
        <f t="shared" si="84"/>
        <v>32058</v>
      </c>
      <c r="L529" s="27">
        <f t="shared" si="84"/>
        <v>0</v>
      </c>
      <c r="M529" s="27">
        <f t="shared" si="84"/>
        <v>0</v>
      </c>
      <c r="N529" s="27">
        <f t="shared" si="84"/>
        <v>0</v>
      </c>
      <c r="O529" s="27">
        <f t="shared" si="84"/>
        <v>0</v>
      </c>
      <c r="P529" s="26">
        <f t="shared" si="76"/>
        <v>32058</v>
      </c>
      <c r="Q529" s="53"/>
      <c r="W529" s="53">
        <f t="shared" si="78"/>
        <v>0</v>
      </c>
    </row>
    <row r="530" spans="1:23" s="3" customFormat="1" ht="63.75">
      <c r="A530" s="9"/>
      <c r="B530" s="9" t="s">
        <v>287</v>
      </c>
      <c r="C530" s="9" t="s">
        <v>444</v>
      </c>
      <c r="D530" s="73" t="s">
        <v>109</v>
      </c>
      <c r="E530" s="27"/>
      <c r="F530" s="27"/>
      <c r="G530" s="27"/>
      <c r="H530" s="27"/>
      <c r="I530" s="27"/>
      <c r="J530" s="27">
        <f>K530+N530</f>
        <v>32058</v>
      </c>
      <c r="K530" s="27">
        <f>30000+2058</f>
        <v>32058</v>
      </c>
      <c r="L530" s="27"/>
      <c r="M530" s="27"/>
      <c r="N530" s="27"/>
      <c r="O530" s="27"/>
      <c r="P530" s="26">
        <f t="shared" si="76"/>
        <v>32058</v>
      </c>
      <c r="Q530" s="53"/>
      <c r="W530" s="53">
        <f t="shared" si="78"/>
        <v>0</v>
      </c>
    </row>
    <row r="531" spans="1:23" s="3" customFormat="1" ht="17.25" customHeight="1">
      <c r="A531" s="9"/>
      <c r="B531" s="9" t="s">
        <v>371</v>
      </c>
      <c r="C531" s="9"/>
      <c r="D531" s="60" t="s">
        <v>372</v>
      </c>
      <c r="E531" s="27">
        <f>E534+E532</f>
        <v>547048</v>
      </c>
      <c r="F531" s="27">
        <f>F534+F532</f>
        <v>547048</v>
      </c>
      <c r="G531" s="27">
        <f>G534+G532</f>
        <v>0</v>
      </c>
      <c r="H531" s="27">
        <f>H534+H532</f>
        <v>0</v>
      </c>
      <c r="I531" s="27">
        <f>I534+I532</f>
        <v>0</v>
      </c>
      <c r="J531" s="27">
        <f aca="true" t="shared" si="85" ref="J531:O531">J534</f>
        <v>0</v>
      </c>
      <c r="K531" s="27">
        <f t="shared" si="85"/>
        <v>0</v>
      </c>
      <c r="L531" s="27">
        <f t="shared" si="85"/>
        <v>0</v>
      </c>
      <c r="M531" s="27">
        <f t="shared" si="85"/>
        <v>0</v>
      </c>
      <c r="N531" s="27">
        <f t="shared" si="85"/>
        <v>0</v>
      </c>
      <c r="O531" s="27">
        <f t="shared" si="85"/>
        <v>0</v>
      </c>
      <c r="P531" s="26">
        <f t="shared" si="76"/>
        <v>547048</v>
      </c>
      <c r="Q531" s="53"/>
      <c r="W531" s="53">
        <f t="shared" si="78"/>
        <v>0</v>
      </c>
    </row>
    <row r="532" spans="1:23" s="3" customFormat="1" ht="38.25" hidden="1">
      <c r="A532" s="9"/>
      <c r="B532" s="74" t="s">
        <v>305</v>
      </c>
      <c r="C532" s="74" t="s">
        <v>494</v>
      </c>
      <c r="D532" s="73" t="s">
        <v>12</v>
      </c>
      <c r="E532" s="27">
        <f>F532+I532</f>
        <v>0</v>
      </c>
      <c r="F532" s="27"/>
      <c r="G532" s="27"/>
      <c r="H532" s="27"/>
      <c r="I532" s="27"/>
      <c r="J532" s="27"/>
      <c r="K532" s="27"/>
      <c r="L532" s="27"/>
      <c r="M532" s="27"/>
      <c r="N532" s="27"/>
      <c r="O532" s="27"/>
      <c r="P532" s="26">
        <f t="shared" si="76"/>
        <v>0</v>
      </c>
      <c r="Q532" s="53"/>
      <c r="W532" s="53"/>
    </row>
    <row r="533" spans="1:23" s="3" customFormat="1" ht="63.75" hidden="1">
      <c r="A533" s="9"/>
      <c r="B533" s="39"/>
      <c r="C533" s="39"/>
      <c r="D533" s="68" t="s">
        <v>493</v>
      </c>
      <c r="E533" s="27">
        <f>F533+I533</f>
        <v>0</v>
      </c>
      <c r="F533" s="27">
        <f>F532</f>
        <v>0</v>
      </c>
      <c r="G533" s="27">
        <f>G532</f>
        <v>0</v>
      </c>
      <c r="H533" s="27">
        <f>H532</f>
        <v>0</v>
      </c>
      <c r="I533" s="27">
        <f>I532</f>
        <v>0</v>
      </c>
      <c r="J533" s="27"/>
      <c r="K533" s="27"/>
      <c r="L533" s="27"/>
      <c r="M533" s="27"/>
      <c r="N533" s="27"/>
      <c r="O533" s="27"/>
      <c r="P533" s="26">
        <f t="shared" si="76"/>
        <v>0</v>
      </c>
      <c r="Q533" s="53"/>
      <c r="W533" s="53"/>
    </row>
    <row r="534" spans="1:23" s="3" customFormat="1" ht="12.75">
      <c r="A534" s="9"/>
      <c r="B534" s="9" t="s">
        <v>288</v>
      </c>
      <c r="C534" s="9" t="s">
        <v>444</v>
      </c>
      <c r="D534" s="4" t="s">
        <v>316</v>
      </c>
      <c r="E534" s="27">
        <f>SUM(E535:E542)</f>
        <v>547048</v>
      </c>
      <c r="F534" s="27">
        <f>SUM(F535:F542)</f>
        <v>547048</v>
      </c>
      <c r="G534" s="27"/>
      <c r="H534" s="27"/>
      <c r="I534" s="27"/>
      <c r="J534" s="27"/>
      <c r="K534" s="27"/>
      <c r="L534" s="27"/>
      <c r="M534" s="27"/>
      <c r="N534" s="27"/>
      <c r="O534" s="27"/>
      <c r="P534" s="26">
        <f t="shared" si="76"/>
        <v>547048</v>
      </c>
      <c r="Q534" s="53"/>
      <c r="W534" s="53">
        <f t="shared" si="78"/>
        <v>0</v>
      </c>
    </row>
    <row r="535" spans="1:23" s="166" customFormat="1" ht="38.25" hidden="1">
      <c r="A535" s="164"/>
      <c r="B535" s="9"/>
      <c r="C535" s="9"/>
      <c r="D535" s="4" t="s">
        <v>187</v>
      </c>
      <c r="E535" s="27">
        <f>F535+I535</f>
        <v>375288</v>
      </c>
      <c r="F535" s="27">
        <v>375288</v>
      </c>
      <c r="G535" s="27"/>
      <c r="H535" s="27"/>
      <c r="I535" s="27"/>
      <c r="J535" s="27"/>
      <c r="K535" s="27"/>
      <c r="L535" s="27"/>
      <c r="M535" s="27"/>
      <c r="N535" s="27"/>
      <c r="O535" s="27"/>
      <c r="P535" s="26">
        <f>E535+J535</f>
        <v>375288</v>
      </c>
      <c r="Q535" s="165"/>
      <c r="W535" s="165">
        <f t="shared" si="78"/>
        <v>0</v>
      </c>
    </row>
    <row r="536" spans="1:23" s="166" customFormat="1" ht="38.25" hidden="1">
      <c r="A536" s="164"/>
      <c r="B536" s="9"/>
      <c r="C536" s="9"/>
      <c r="D536" s="4" t="s">
        <v>216</v>
      </c>
      <c r="E536" s="27">
        <f aca="true" t="shared" si="86" ref="E536:E542">F536+I536</f>
        <v>0</v>
      </c>
      <c r="F536" s="27"/>
      <c r="G536" s="27"/>
      <c r="H536" s="27"/>
      <c r="I536" s="27"/>
      <c r="J536" s="27"/>
      <c r="K536" s="27"/>
      <c r="L536" s="27"/>
      <c r="M536" s="27"/>
      <c r="N536" s="27"/>
      <c r="O536" s="27"/>
      <c r="P536" s="26">
        <f>E536+J536</f>
        <v>0</v>
      </c>
      <c r="Q536" s="165"/>
      <c r="W536" s="165">
        <f t="shared" si="78"/>
        <v>0</v>
      </c>
    </row>
    <row r="537" spans="1:23" s="166" customFormat="1" ht="25.5" hidden="1">
      <c r="A537" s="164"/>
      <c r="B537" s="9"/>
      <c r="C537" s="9"/>
      <c r="D537" s="4" t="s">
        <v>207</v>
      </c>
      <c r="E537" s="27">
        <f t="shared" si="86"/>
        <v>62260</v>
      </c>
      <c r="F537" s="27">
        <v>62260</v>
      </c>
      <c r="G537" s="27"/>
      <c r="H537" s="27"/>
      <c r="I537" s="27"/>
      <c r="J537" s="27"/>
      <c r="K537" s="27"/>
      <c r="L537" s="27"/>
      <c r="M537" s="27"/>
      <c r="N537" s="27"/>
      <c r="O537" s="27"/>
      <c r="P537" s="26">
        <f t="shared" si="76"/>
        <v>62260</v>
      </c>
      <c r="Q537" s="165"/>
      <c r="W537" s="165">
        <f t="shared" si="78"/>
        <v>0</v>
      </c>
    </row>
    <row r="538" spans="1:23" s="166" customFormat="1" ht="25.5" hidden="1">
      <c r="A538" s="164"/>
      <c r="B538" s="9"/>
      <c r="C538" s="9"/>
      <c r="D538" s="6" t="s">
        <v>208</v>
      </c>
      <c r="E538" s="27">
        <f t="shared" si="86"/>
        <v>0</v>
      </c>
      <c r="F538" s="27"/>
      <c r="G538" s="27"/>
      <c r="H538" s="27"/>
      <c r="I538" s="27"/>
      <c r="J538" s="27"/>
      <c r="K538" s="27"/>
      <c r="L538" s="27"/>
      <c r="M538" s="27"/>
      <c r="N538" s="27"/>
      <c r="O538" s="27"/>
      <c r="P538" s="26">
        <f t="shared" si="76"/>
        <v>0</v>
      </c>
      <c r="Q538" s="165"/>
      <c r="W538" s="165">
        <f t="shared" si="78"/>
        <v>0</v>
      </c>
    </row>
    <row r="539" spans="1:23" s="166" customFormat="1" ht="25.5" hidden="1">
      <c r="A539" s="164"/>
      <c r="B539" s="9"/>
      <c r="C539" s="9"/>
      <c r="D539" s="4" t="s">
        <v>111</v>
      </c>
      <c r="E539" s="27">
        <f t="shared" si="86"/>
        <v>0</v>
      </c>
      <c r="F539" s="27"/>
      <c r="G539" s="27"/>
      <c r="H539" s="27"/>
      <c r="I539" s="27"/>
      <c r="J539" s="27"/>
      <c r="K539" s="27"/>
      <c r="L539" s="27"/>
      <c r="M539" s="27"/>
      <c r="N539" s="27"/>
      <c r="O539" s="27"/>
      <c r="P539" s="26">
        <f t="shared" si="76"/>
        <v>0</v>
      </c>
      <c r="Q539" s="165"/>
      <c r="W539" s="165">
        <f t="shared" si="78"/>
        <v>0</v>
      </c>
    </row>
    <row r="540" spans="1:23" s="166" customFormat="1" ht="41.25" customHeight="1" hidden="1">
      <c r="A540" s="164"/>
      <c r="B540" s="9"/>
      <c r="C540" s="9"/>
      <c r="D540" s="4" t="s">
        <v>222</v>
      </c>
      <c r="E540" s="27">
        <f t="shared" si="86"/>
        <v>53600</v>
      </c>
      <c r="F540" s="27">
        <f>23600+30000</f>
        <v>53600</v>
      </c>
      <c r="G540" s="27"/>
      <c r="H540" s="27"/>
      <c r="I540" s="27"/>
      <c r="J540" s="27"/>
      <c r="K540" s="27"/>
      <c r="L540" s="27"/>
      <c r="M540" s="27"/>
      <c r="N540" s="27"/>
      <c r="O540" s="27"/>
      <c r="P540" s="26">
        <f t="shared" si="76"/>
        <v>53600</v>
      </c>
      <c r="Q540" s="165"/>
      <c r="W540" s="165">
        <f t="shared" si="78"/>
        <v>0</v>
      </c>
    </row>
    <row r="541" spans="1:23" s="166" customFormat="1" ht="12.75" hidden="1">
      <c r="A541" s="164"/>
      <c r="B541" s="9"/>
      <c r="C541" s="9"/>
      <c r="D541" s="4" t="s">
        <v>51</v>
      </c>
      <c r="E541" s="27">
        <f t="shared" si="86"/>
        <v>55900</v>
      </c>
      <c r="F541" s="27">
        <f>28236+27664</f>
        <v>55900</v>
      </c>
      <c r="G541" s="27"/>
      <c r="H541" s="27"/>
      <c r="I541" s="27"/>
      <c r="J541" s="27"/>
      <c r="K541" s="27"/>
      <c r="L541" s="27"/>
      <c r="M541" s="27"/>
      <c r="N541" s="27"/>
      <c r="O541" s="27"/>
      <c r="P541" s="26">
        <f t="shared" si="76"/>
        <v>55900</v>
      </c>
      <c r="Q541" s="165"/>
      <c r="W541" s="165">
        <f t="shared" si="78"/>
        <v>0</v>
      </c>
    </row>
    <row r="542" spans="1:23" s="166" customFormat="1" ht="24" hidden="1">
      <c r="A542" s="164"/>
      <c r="B542" s="9"/>
      <c r="C542" s="9"/>
      <c r="D542" s="40" t="s">
        <v>105</v>
      </c>
      <c r="E542" s="27">
        <f t="shared" si="86"/>
        <v>0</v>
      </c>
      <c r="F542" s="27"/>
      <c r="G542" s="27"/>
      <c r="H542" s="27"/>
      <c r="I542" s="27"/>
      <c r="J542" s="27"/>
      <c r="K542" s="27"/>
      <c r="L542" s="27"/>
      <c r="M542" s="27"/>
      <c r="N542" s="27"/>
      <c r="O542" s="27"/>
      <c r="P542" s="26">
        <f t="shared" si="76"/>
        <v>0</v>
      </c>
      <c r="Q542" s="165"/>
      <c r="W542" s="165">
        <f t="shared" si="78"/>
        <v>0</v>
      </c>
    </row>
    <row r="543" spans="1:23" s="19" customFormat="1" ht="25.5">
      <c r="A543" s="23"/>
      <c r="B543" s="23" t="s">
        <v>167</v>
      </c>
      <c r="C543" s="23"/>
      <c r="D543" s="20" t="s">
        <v>142</v>
      </c>
      <c r="E543" s="31">
        <f>E544+E546+E553+E555+E551</f>
        <v>12452611</v>
      </c>
      <c r="F543" s="31">
        <f>F544+F546+F553+F555+F551</f>
        <v>12452611</v>
      </c>
      <c r="G543" s="31">
        <f aca="true" t="shared" si="87" ref="G543:M543">G544+G546+G553+G555</f>
        <v>3499413</v>
      </c>
      <c r="H543" s="31">
        <f t="shared" si="87"/>
        <v>734352</v>
      </c>
      <c r="I543" s="31"/>
      <c r="J543" s="31">
        <f aca="true" t="shared" si="88" ref="J543:J550">K543+N543</f>
        <v>4212234</v>
      </c>
      <c r="K543" s="31">
        <f>K544+K546+K553+K555</f>
        <v>136254</v>
      </c>
      <c r="L543" s="31">
        <f t="shared" si="87"/>
        <v>0</v>
      </c>
      <c r="M543" s="31">
        <f t="shared" si="87"/>
        <v>0</v>
      </c>
      <c r="N543" s="31">
        <f>N544+N546+N553+N555+N549</f>
        <v>4075980</v>
      </c>
      <c r="O543" s="31">
        <f>O544+O546+O553+O555+O549</f>
        <v>4075980</v>
      </c>
      <c r="P543" s="31">
        <f t="shared" si="76"/>
        <v>16664845</v>
      </c>
      <c r="Q543" s="53"/>
      <c r="W543" s="53">
        <f t="shared" si="78"/>
        <v>0</v>
      </c>
    </row>
    <row r="544" spans="1:23" s="3" customFormat="1" ht="12.75">
      <c r="A544" s="14"/>
      <c r="B544" s="14" t="s">
        <v>362</v>
      </c>
      <c r="C544" s="14"/>
      <c r="D544" s="12" t="s">
        <v>363</v>
      </c>
      <c r="E544" s="27">
        <f>E545</f>
        <v>5614740</v>
      </c>
      <c r="F544" s="27">
        <f>F545</f>
        <v>5614740</v>
      </c>
      <c r="G544" s="27">
        <f>G545</f>
        <v>3499413</v>
      </c>
      <c r="H544" s="27">
        <f>H545</f>
        <v>733386</v>
      </c>
      <c r="I544" s="27"/>
      <c r="J544" s="27">
        <f t="shared" si="88"/>
        <v>711344</v>
      </c>
      <c r="K544" s="27">
        <f>K545</f>
        <v>122978</v>
      </c>
      <c r="L544" s="27">
        <f>L545</f>
        <v>0</v>
      </c>
      <c r="M544" s="27">
        <f>M545</f>
        <v>0</v>
      </c>
      <c r="N544" s="27">
        <f>N545</f>
        <v>588366</v>
      </c>
      <c r="O544" s="27">
        <f>O545</f>
        <v>588366</v>
      </c>
      <c r="P544" s="27">
        <f t="shared" si="76"/>
        <v>6326084</v>
      </c>
      <c r="Q544" s="53"/>
      <c r="W544" s="53">
        <f t="shared" si="78"/>
        <v>0</v>
      </c>
    </row>
    <row r="545" spans="1:23" s="5" customFormat="1" ht="12.75">
      <c r="A545" s="16"/>
      <c r="B545" s="16" t="s">
        <v>249</v>
      </c>
      <c r="C545" s="16" t="s">
        <v>441</v>
      </c>
      <c r="D545" s="2" t="s">
        <v>250</v>
      </c>
      <c r="E545" s="27">
        <f>F545+I545</f>
        <v>5614740</v>
      </c>
      <c r="F545" s="27">
        <f>5472036-311088+70698+312910+67353+2831</f>
        <v>5614740</v>
      </c>
      <c r="G545" s="27">
        <f>3086263+97910+312910+2330</f>
        <v>3499413</v>
      </c>
      <c r="H545" s="27">
        <v>733386</v>
      </c>
      <c r="I545" s="27"/>
      <c r="J545" s="27">
        <f t="shared" si="88"/>
        <v>711344</v>
      </c>
      <c r="K545" s="27">
        <v>122978</v>
      </c>
      <c r="L545" s="27"/>
      <c r="M545" s="27"/>
      <c r="N545" s="27">
        <f>O545</f>
        <v>588366</v>
      </c>
      <c r="O545" s="27">
        <v>588366</v>
      </c>
      <c r="P545" s="27">
        <f t="shared" si="76"/>
        <v>6326084</v>
      </c>
      <c r="Q545" s="53"/>
      <c r="W545" s="53">
        <f t="shared" si="78"/>
        <v>0</v>
      </c>
    </row>
    <row r="546" spans="1:23" s="3" customFormat="1" ht="12.75">
      <c r="A546" s="9"/>
      <c r="B546" s="9" t="s">
        <v>374</v>
      </c>
      <c r="C546" s="9"/>
      <c r="D546" s="4" t="s">
        <v>375</v>
      </c>
      <c r="E546" s="27">
        <f>E548+E547</f>
        <v>6602456</v>
      </c>
      <c r="F546" s="27">
        <f aca="true" t="shared" si="89" ref="F546:O546">F548+F547</f>
        <v>6602456</v>
      </c>
      <c r="G546" s="27">
        <f t="shared" si="89"/>
        <v>0</v>
      </c>
      <c r="H546" s="27">
        <f t="shared" si="89"/>
        <v>966</v>
      </c>
      <c r="I546" s="27">
        <f t="shared" si="89"/>
        <v>0</v>
      </c>
      <c r="J546" s="27">
        <f t="shared" si="89"/>
        <v>663780</v>
      </c>
      <c r="K546" s="27">
        <f t="shared" si="89"/>
        <v>0</v>
      </c>
      <c r="L546" s="27">
        <f t="shared" si="89"/>
        <v>0</v>
      </c>
      <c r="M546" s="27">
        <f t="shared" si="89"/>
        <v>0</v>
      </c>
      <c r="N546" s="27">
        <f t="shared" si="89"/>
        <v>663780</v>
      </c>
      <c r="O546" s="27">
        <f t="shared" si="89"/>
        <v>663780</v>
      </c>
      <c r="P546" s="27">
        <f t="shared" si="76"/>
        <v>7266236</v>
      </c>
      <c r="Q546" s="53"/>
      <c r="W546" s="53">
        <f t="shared" si="78"/>
        <v>0</v>
      </c>
    </row>
    <row r="547" spans="1:23" s="3" customFormat="1" ht="15" customHeight="1">
      <c r="A547" s="9"/>
      <c r="B547" s="74" t="s">
        <v>200</v>
      </c>
      <c r="C547" s="74" t="s">
        <v>473</v>
      </c>
      <c r="D547" s="75" t="s">
        <v>201</v>
      </c>
      <c r="E547" s="27">
        <f>F547</f>
        <v>1754260</v>
      </c>
      <c r="F547" s="27">
        <v>1754260</v>
      </c>
      <c r="G547" s="27"/>
      <c r="H547" s="27"/>
      <c r="I547" s="27"/>
      <c r="J547" s="27"/>
      <c r="K547" s="27"/>
      <c r="L547" s="27"/>
      <c r="M547" s="27"/>
      <c r="N547" s="27"/>
      <c r="O547" s="27"/>
      <c r="P547" s="27">
        <f t="shared" si="76"/>
        <v>1754260</v>
      </c>
      <c r="Q547" s="53"/>
      <c r="W547" s="53"/>
    </row>
    <row r="548" spans="1:23" s="3" customFormat="1" ht="12.75">
      <c r="A548" s="9"/>
      <c r="B548" s="9" t="s">
        <v>102</v>
      </c>
      <c r="C548" s="9" t="s">
        <v>474</v>
      </c>
      <c r="D548" s="4" t="s">
        <v>106</v>
      </c>
      <c r="E548" s="27">
        <f>F548+I548</f>
        <v>4848196</v>
      </c>
      <c r="F548" s="27">
        <f>992938+51707+3803551</f>
        <v>4848196</v>
      </c>
      <c r="G548" s="27"/>
      <c r="H548" s="27">
        <v>966</v>
      </c>
      <c r="I548" s="27"/>
      <c r="J548" s="27">
        <f t="shared" si="88"/>
        <v>663780</v>
      </c>
      <c r="K548" s="27"/>
      <c r="L548" s="27"/>
      <c r="M548" s="27"/>
      <c r="N548" s="27">
        <f>O548</f>
        <v>663780</v>
      </c>
      <c r="O548" s="27">
        <v>663780</v>
      </c>
      <c r="P548" s="27">
        <f t="shared" si="76"/>
        <v>5511976</v>
      </c>
      <c r="Q548" s="53"/>
      <c r="W548" s="53">
        <f t="shared" si="78"/>
        <v>0</v>
      </c>
    </row>
    <row r="549" spans="1:23" s="3" customFormat="1" ht="12.75">
      <c r="A549" s="9"/>
      <c r="B549" s="9" t="s">
        <v>366</v>
      </c>
      <c r="C549" s="9"/>
      <c r="D549" s="4" t="s">
        <v>283</v>
      </c>
      <c r="E549" s="27"/>
      <c r="F549" s="27"/>
      <c r="G549" s="27"/>
      <c r="H549" s="27"/>
      <c r="I549" s="27"/>
      <c r="J549" s="27">
        <f t="shared" si="88"/>
        <v>2823834</v>
      </c>
      <c r="K549" s="27"/>
      <c r="L549" s="27"/>
      <c r="M549" s="27"/>
      <c r="N549" s="27">
        <f>N550</f>
        <v>2823834</v>
      </c>
      <c r="O549" s="27">
        <f>O550</f>
        <v>2823834</v>
      </c>
      <c r="P549" s="27">
        <f t="shared" si="76"/>
        <v>2823834</v>
      </c>
      <c r="Q549" s="53"/>
      <c r="W549" s="53">
        <f t="shared" si="78"/>
        <v>0</v>
      </c>
    </row>
    <row r="550" spans="1:23" s="3" customFormat="1" ht="12.75">
      <c r="A550" s="9"/>
      <c r="B550" s="9" t="s">
        <v>338</v>
      </c>
      <c r="C550" s="9" t="s">
        <v>443</v>
      </c>
      <c r="D550" s="4" t="s">
        <v>339</v>
      </c>
      <c r="E550" s="27"/>
      <c r="F550" s="27"/>
      <c r="G550" s="27"/>
      <c r="H550" s="27"/>
      <c r="I550" s="27"/>
      <c r="J550" s="27">
        <f t="shared" si="88"/>
        <v>2823834</v>
      </c>
      <c r="K550" s="27"/>
      <c r="L550" s="27"/>
      <c r="M550" s="27"/>
      <c r="N550" s="27">
        <f>O550</f>
        <v>2823834</v>
      </c>
      <c r="O550" s="27">
        <f>2823834</f>
        <v>2823834</v>
      </c>
      <c r="P550" s="27">
        <f t="shared" si="76"/>
        <v>2823834</v>
      </c>
      <c r="Q550" s="53"/>
      <c r="W550" s="53">
        <f t="shared" si="78"/>
        <v>0</v>
      </c>
    </row>
    <row r="551" spans="1:23" s="3" customFormat="1" ht="38.25" hidden="1">
      <c r="A551" s="39"/>
      <c r="B551" s="74" t="s">
        <v>194</v>
      </c>
      <c r="C551" s="39"/>
      <c r="D551" s="60" t="s">
        <v>351</v>
      </c>
      <c r="E551" s="27">
        <f>E552</f>
        <v>0</v>
      </c>
      <c r="F551" s="27">
        <f>F552</f>
        <v>0</v>
      </c>
      <c r="G551" s="27"/>
      <c r="H551" s="27"/>
      <c r="I551" s="27"/>
      <c r="J551" s="27"/>
      <c r="K551" s="27"/>
      <c r="L551" s="27"/>
      <c r="M551" s="27"/>
      <c r="N551" s="27"/>
      <c r="O551" s="27"/>
      <c r="P551" s="27">
        <f t="shared" si="76"/>
        <v>0</v>
      </c>
      <c r="Q551" s="53"/>
      <c r="W551" s="53">
        <f t="shared" si="78"/>
        <v>0</v>
      </c>
    </row>
    <row r="552" spans="1:23" s="3" customFormat="1" ht="38.25" hidden="1">
      <c r="A552" s="39"/>
      <c r="B552" s="39" t="s">
        <v>285</v>
      </c>
      <c r="C552" s="39"/>
      <c r="D552" s="73" t="s">
        <v>241</v>
      </c>
      <c r="E552" s="27">
        <f>F552+I552</f>
        <v>0</v>
      </c>
      <c r="F552" s="27"/>
      <c r="G552" s="27"/>
      <c r="H552" s="27"/>
      <c r="I552" s="27"/>
      <c r="J552" s="27"/>
      <c r="K552" s="27"/>
      <c r="L552" s="27"/>
      <c r="M552" s="27"/>
      <c r="N552" s="27"/>
      <c r="O552" s="27"/>
      <c r="P552" s="27">
        <f t="shared" si="76"/>
        <v>0</v>
      </c>
      <c r="Q552" s="53"/>
      <c r="W552" s="53">
        <f t="shared" si="78"/>
        <v>0</v>
      </c>
    </row>
    <row r="553" spans="1:23" s="3" customFormat="1" ht="12.75">
      <c r="A553" s="9"/>
      <c r="B553" s="9" t="s">
        <v>369</v>
      </c>
      <c r="C553" s="9"/>
      <c r="D553" s="4" t="s">
        <v>373</v>
      </c>
      <c r="E553" s="27">
        <f>E554</f>
        <v>0</v>
      </c>
      <c r="F553" s="27"/>
      <c r="G553" s="27">
        <f aca="true" t="shared" si="90" ref="G553:O553">G554</f>
        <v>0</v>
      </c>
      <c r="H553" s="27">
        <f t="shared" si="90"/>
        <v>0</v>
      </c>
      <c r="I553" s="27"/>
      <c r="J553" s="27">
        <f t="shared" si="90"/>
        <v>13276</v>
      </c>
      <c r="K553" s="27">
        <f>K554</f>
        <v>13276</v>
      </c>
      <c r="L553" s="27">
        <f t="shared" si="90"/>
        <v>0</v>
      </c>
      <c r="M553" s="27">
        <f t="shared" si="90"/>
        <v>0</v>
      </c>
      <c r="N553" s="27">
        <f t="shared" si="90"/>
        <v>0</v>
      </c>
      <c r="O553" s="27">
        <f t="shared" si="90"/>
        <v>0</v>
      </c>
      <c r="P553" s="27">
        <f t="shared" si="76"/>
        <v>13276</v>
      </c>
      <c r="Q553" s="53"/>
      <c r="W553" s="53">
        <f t="shared" si="78"/>
        <v>0</v>
      </c>
    </row>
    <row r="554" spans="1:23" s="3" customFormat="1" ht="63.75">
      <c r="A554" s="9"/>
      <c r="B554" s="9" t="s">
        <v>287</v>
      </c>
      <c r="C554" s="9" t="s">
        <v>444</v>
      </c>
      <c r="D554" s="73" t="s">
        <v>109</v>
      </c>
      <c r="E554" s="27"/>
      <c r="F554" s="27"/>
      <c r="G554" s="27"/>
      <c r="H554" s="27"/>
      <c r="I554" s="27"/>
      <c r="J554" s="27">
        <f>K554+N554</f>
        <v>13276</v>
      </c>
      <c r="K554" s="27">
        <f>10000+3276</f>
        <v>13276</v>
      </c>
      <c r="L554" s="27"/>
      <c r="M554" s="27"/>
      <c r="N554" s="27"/>
      <c r="O554" s="27"/>
      <c r="P554" s="27">
        <f t="shared" si="76"/>
        <v>13276</v>
      </c>
      <c r="Q554" s="53"/>
      <c r="W554" s="53">
        <f t="shared" si="78"/>
        <v>0</v>
      </c>
    </row>
    <row r="555" spans="1:23" s="3" customFormat="1" ht="18" customHeight="1">
      <c r="A555" s="9"/>
      <c r="B555" s="9" t="s">
        <v>371</v>
      </c>
      <c r="C555" s="9"/>
      <c r="D555" s="60" t="s">
        <v>372</v>
      </c>
      <c r="E555" s="27">
        <f>E558+E556</f>
        <v>235415</v>
      </c>
      <c r="F555" s="27">
        <f>F558+F556</f>
        <v>235415</v>
      </c>
      <c r="G555" s="27">
        <f>G558+G556</f>
        <v>0</v>
      </c>
      <c r="H555" s="27">
        <f>H558+H556</f>
        <v>0</v>
      </c>
      <c r="I555" s="27">
        <f>I558+I556</f>
        <v>0</v>
      </c>
      <c r="J555" s="27">
        <f aca="true" t="shared" si="91" ref="J555:O555">J558</f>
        <v>0</v>
      </c>
      <c r="K555" s="27">
        <f t="shared" si="91"/>
        <v>0</v>
      </c>
      <c r="L555" s="27">
        <f t="shared" si="91"/>
        <v>0</v>
      </c>
      <c r="M555" s="27">
        <f t="shared" si="91"/>
        <v>0</v>
      </c>
      <c r="N555" s="27">
        <f t="shared" si="91"/>
        <v>0</v>
      </c>
      <c r="O555" s="27">
        <f t="shared" si="91"/>
        <v>0</v>
      </c>
      <c r="P555" s="27">
        <f t="shared" si="76"/>
        <v>235415</v>
      </c>
      <c r="Q555" s="53"/>
      <c r="W555" s="53">
        <f t="shared" si="78"/>
        <v>0</v>
      </c>
    </row>
    <row r="556" spans="1:23" s="3" customFormat="1" ht="38.25" hidden="1">
      <c r="A556" s="9"/>
      <c r="B556" s="74" t="s">
        <v>305</v>
      </c>
      <c r="C556" s="74" t="s">
        <v>494</v>
      </c>
      <c r="D556" s="73" t="s">
        <v>12</v>
      </c>
      <c r="E556" s="27">
        <f>F556+I556</f>
        <v>0</v>
      </c>
      <c r="F556" s="27"/>
      <c r="G556" s="27"/>
      <c r="H556" s="27"/>
      <c r="I556" s="27"/>
      <c r="J556" s="27"/>
      <c r="K556" s="27"/>
      <c r="L556" s="27"/>
      <c r="M556" s="27"/>
      <c r="N556" s="27"/>
      <c r="O556" s="27"/>
      <c r="P556" s="27">
        <f t="shared" si="76"/>
        <v>0</v>
      </c>
      <c r="Q556" s="53"/>
      <c r="W556" s="53"/>
    </row>
    <row r="557" spans="1:23" s="3" customFormat="1" ht="63.75" hidden="1">
      <c r="A557" s="9"/>
      <c r="B557" s="39"/>
      <c r="C557" s="39"/>
      <c r="D557" s="68" t="s">
        <v>493</v>
      </c>
      <c r="E557" s="27">
        <f>F557+I557</f>
        <v>0</v>
      </c>
      <c r="F557" s="27">
        <f>F556</f>
        <v>0</v>
      </c>
      <c r="G557" s="27">
        <f>G556</f>
        <v>0</v>
      </c>
      <c r="H557" s="27">
        <f>H556</f>
        <v>0</v>
      </c>
      <c r="I557" s="27">
        <f>I556</f>
        <v>0</v>
      </c>
      <c r="J557" s="27"/>
      <c r="K557" s="27"/>
      <c r="L557" s="27"/>
      <c r="M557" s="27"/>
      <c r="N557" s="27"/>
      <c r="O557" s="27"/>
      <c r="P557" s="27">
        <f t="shared" si="76"/>
        <v>0</v>
      </c>
      <c r="Q557" s="53"/>
      <c r="W557" s="53"/>
    </row>
    <row r="558" spans="1:23" s="3" customFormat="1" ht="12.75">
      <c r="A558" s="9"/>
      <c r="B558" s="9" t="s">
        <v>288</v>
      </c>
      <c r="C558" s="9" t="s">
        <v>444</v>
      </c>
      <c r="D558" s="4" t="s">
        <v>316</v>
      </c>
      <c r="E558" s="27">
        <f>SUM(E559:E566)</f>
        <v>235415</v>
      </c>
      <c r="F558" s="27">
        <f>SUM(F559:F566)</f>
        <v>235415</v>
      </c>
      <c r="G558" s="27"/>
      <c r="H558" s="27"/>
      <c r="I558" s="27"/>
      <c r="J558" s="27"/>
      <c r="K558" s="27"/>
      <c r="L558" s="27"/>
      <c r="M558" s="27"/>
      <c r="N558" s="27"/>
      <c r="O558" s="27"/>
      <c r="P558" s="27">
        <f t="shared" si="76"/>
        <v>235415</v>
      </c>
      <c r="Q558" s="53"/>
      <c r="W558" s="53">
        <f t="shared" si="78"/>
        <v>0</v>
      </c>
    </row>
    <row r="559" spans="1:23" s="166" customFormat="1" ht="38.25" hidden="1">
      <c r="A559" s="164"/>
      <c r="B559" s="9"/>
      <c r="C559" s="9"/>
      <c r="D559" s="4" t="s">
        <v>187</v>
      </c>
      <c r="E559" s="27">
        <f>F559+I559</f>
        <v>110240</v>
      </c>
      <c r="F559" s="27">
        <v>110240</v>
      </c>
      <c r="G559" s="27"/>
      <c r="H559" s="27"/>
      <c r="I559" s="27"/>
      <c r="J559" s="27"/>
      <c r="K559" s="27"/>
      <c r="L559" s="27"/>
      <c r="M559" s="27"/>
      <c r="N559" s="27"/>
      <c r="O559" s="27"/>
      <c r="P559" s="27">
        <f t="shared" si="76"/>
        <v>110240</v>
      </c>
      <c r="Q559" s="165"/>
      <c r="W559" s="165">
        <f t="shared" si="78"/>
        <v>0</v>
      </c>
    </row>
    <row r="560" spans="1:23" s="166" customFormat="1" ht="38.25" hidden="1">
      <c r="A560" s="167"/>
      <c r="B560" s="81"/>
      <c r="C560" s="81"/>
      <c r="D560" s="4" t="s">
        <v>189</v>
      </c>
      <c r="E560" s="27">
        <f aca="true" t="shared" si="92" ref="E560:E566">F560+I560</f>
        <v>0</v>
      </c>
      <c r="F560" s="83"/>
      <c r="G560" s="83"/>
      <c r="H560" s="83"/>
      <c r="I560" s="83"/>
      <c r="J560" s="83"/>
      <c r="K560" s="83"/>
      <c r="L560" s="83"/>
      <c r="M560" s="83"/>
      <c r="N560" s="83"/>
      <c r="O560" s="83"/>
      <c r="P560" s="27">
        <f t="shared" si="76"/>
        <v>0</v>
      </c>
      <c r="Q560" s="165"/>
      <c r="W560" s="165">
        <f t="shared" si="78"/>
        <v>0</v>
      </c>
    </row>
    <row r="561" spans="1:23" s="166" customFormat="1" ht="25.5" hidden="1">
      <c r="A561" s="167"/>
      <c r="B561" s="81"/>
      <c r="C561" s="81"/>
      <c r="D561" s="4" t="s">
        <v>207</v>
      </c>
      <c r="E561" s="27">
        <f t="shared" si="92"/>
        <v>37305</v>
      </c>
      <c r="F561" s="83">
        <v>37305</v>
      </c>
      <c r="G561" s="83"/>
      <c r="H561" s="83"/>
      <c r="I561" s="83"/>
      <c r="J561" s="83"/>
      <c r="K561" s="83"/>
      <c r="L561" s="83"/>
      <c r="M561" s="83"/>
      <c r="N561" s="83"/>
      <c r="O561" s="83"/>
      <c r="P561" s="83">
        <f aca="true" t="shared" si="93" ref="P561:P589">E561+J561</f>
        <v>37305</v>
      </c>
      <c r="Q561" s="165"/>
      <c r="W561" s="165">
        <f aca="true" t="shared" si="94" ref="W561:W589">N561-O561</f>
        <v>0</v>
      </c>
    </row>
    <row r="562" spans="1:23" s="166" customFormat="1" ht="25.5" hidden="1">
      <c r="A562" s="167"/>
      <c r="B562" s="81"/>
      <c r="C562" s="81"/>
      <c r="D562" s="6" t="s">
        <v>208</v>
      </c>
      <c r="E562" s="27">
        <f t="shared" si="92"/>
        <v>0</v>
      </c>
      <c r="F562" s="83"/>
      <c r="G562" s="83"/>
      <c r="H562" s="83"/>
      <c r="I562" s="83"/>
      <c r="J562" s="83"/>
      <c r="K562" s="83"/>
      <c r="L562" s="83"/>
      <c r="M562" s="83"/>
      <c r="N562" s="83"/>
      <c r="O562" s="83"/>
      <c r="P562" s="83">
        <f t="shared" si="93"/>
        <v>0</v>
      </c>
      <c r="Q562" s="165"/>
      <c r="W562" s="165">
        <f t="shared" si="94"/>
        <v>0</v>
      </c>
    </row>
    <row r="563" spans="1:23" s="166" customFormat="1" ht="25.5" hidden="1">
      <c r="A563" s="167"/>
      <c r="B563" s="81"/>
      <c r="C563" s="81"/>
      <c r="D563" s="4" t="s">
        <v>111</v>
      </c>
      <c r="E563" s="27">
        <f t="shared" si="92"/>
        <v>0</v>
      </c>
      <c r="F563" s="83"/>
      <c r="G563" s="83"/>
      <c r="H563" s="83"/>
      <c r="I563" s="83"/>
      <c r="J563" s="83"/>
      <c r="K563" s="83"/>
      <c r="L563" s="83"/>
      <c r="M563" s="83"/>
      <c r="N563" s="83"/>
      <c r="O563" s="83"/>
      <c r="P563" s="83">
        <f t="shared" si="93"/>
        <v>0</v>
      </c>
      <c r="Q563" s="165"/>
      <c r="W563" s="165">
        <f t="shared" si="94"/>
        <v>0</v>
      </c>
    </row>
    <row r="564" spans="1:23" s="166" customFormat="1" ht="39.75" customHeight="1" hidden="1">
      <c r="A564" s="167"/>
      <c r="B564" s="81"/>
      <c r="C564" s="81"/>
      <c r="D564" s="4" t="s">
        <v>222</v>
      </c>
      <c r="E564" s="27">
        <f t="shared" si="92"/>
        <v>35503</v>
      </c>
      <c r="F564" s="83">
        <f>25503+10000</f>
        <v>35503</v>
      </c>
      <c r="G564" s="83"/>
      <c r="H564" s="83"/>
      <c r="I564" s="83"/>
      <c r="J564" s="83"/>
      <c r="K564" s="83"/>
      <c r="L564" s="83"/>
      <c r="M564" s="83"/>
      <c r="N564" s="83"/>
      <c r="O564" s="83"/>
      <c r="P564" s="83">
        <f t="shared" si="93"/>
        <v>35503</v>
      </c>
      <c r="Q564" s="165"/>
      <c r="W564" s="165">
        <f t="shared" si="94"/>
        <v>0</v>
      </c>
    </row>
    <row r="565" spans="1:23" s="166" customFormat="1" ht="12.75" hidden="1">
      <c r="A565" s="167"/>
      <c r="B565" s="81"/>
      <c r="C565" s="81"/>
      <c r="D565" s="4" t="s">
        <v>51</v>
      </c>
      <c r="E565" s="27">
        <f t="shared" si="92"/>
        <v>52367</v>
      </c>
      <c r="F565" s="83">
        <f>17280+35087</f>
        <v>52367</v>
      </c>
      <c r="G565" s="83"/>
      <c r="H565" s="83"/>
      <c r="I565" s="83"/>
      <c r="J565" s="83"/>
      <c r="K565" s="83"/>
      <c r="L565" s="83"/>
      <c r="M565" s="83"/>
      <c r="N565" s="83"/>
      <c r="O565" s="83"/>
      <c r="P565" s="83">
        <f t="shared" si="93"/>
        <v>52367</v>
      </c>
      <c r="Q565" s="165"/>
      <c r="W565" s="165">
        <f t="shared" si="94"/>
        <v>0</v>
      </c>
    </row>
    <row r="566" spans="1:23" s="166" customFormat="1" ht="24" hidden="1">
      <c r="A566" s="167"/>
      <c r="B566" s="81"/>
      <c r="C566" s="81"/>
      <c r="D566" s="40" t="s">
        <v>105</v>
      </c>
      <c r="E566" s="27">
        <f t="shared" si="92"/>
        <v>0</v>
      </c>
      <c r="F566" s="83"/>
      <c r="G566" s="83"/>
      <c r="H566" s="83"/>
      <c r="I566" s="83"/>
      <c r="J566" s="83"/>
      <c r="K566" s="83"/>
      <c r="L566" s="83"/>
      <c r="M566" s="83"/>
      <c r="N566" s="83"/>
      <c r="O566" s="83"/>
      <c r="P566" s="83">
        <f t="shared" si="93"/>
        <v>0</v>
      </c>
      <c r="Q566" s="165"/>
      <c r="W566" s="165">
        <f t="shared" si="94"/>
        <v>0</v>
      </c>
    </row>
    <row r="567" spans="1:23" s="19" customFormat="1" ht="32.25" customHeight="1">
      <c r="A567" s="23"/>
      <c r="B567" s="23" t="s">
        <v>168</v>
      </c>
      <c r="C567" s="23"/>
      <c r="D567" s="20" t="s">
        <v>143</v>
      </c>
      <c r="E567" s="31">
        <f>E568+E570+E575+E579+E577</f>
        <v>21367028</v>
      </c>
      <c r="F567" s="31">
        <f>F568+F570+F575+F579+F577</f>
        <v>21367028</v>
      </c>
      <c r="G567" s="31">
        <f aca="true" t="shared" si="95" ref="G567:M567">G568+G570+G575+G579</f>
        <v>3651920</v>
      </c>
      <c r="H567" s="31">
        <f t="shared" si="95"/>
        <v>519410</v>
      </c>
      <c r="I567" s="31"/>
      <c r="J567" s="31">
        <f aca="true" t="shared" si="96" ref="J567:J574">K567+N567</f>
        <v>11813462</v>
      </c>
      <c r="K567" s="31">
        <f t="shared" si="95"/>
        <v>46604</v>
      </c>
      <c r="L567" s="31">
        <f t="shared" si="95"/>
        <v>0</v>
      </c>
      <c r="M567" s="31">
        <f t="shared" si="95"/>
        <v>0</v>
      </c>
      <c r="N567" s="31">
        <f>N568+N570+N575+N579+N573</f>
        <v>11766858</v>
      </c>
      <c r="O567" s="31">
        <f>O568+O570+O575+O579+O573</f>
        <v>11766858</v>
      </c>
      <c r="P567" s="31">
        <f t="shared" si="93"/>
        <v>33180490</v>
      </c>
      <c r="Q567" s="53"/>
      <c r="W567" s="53">
        <f t="shared" si="94"/>
        <v>0</v>
      </c>
    </row>
    <row r="568" spans="1:23" s="3" customFormat="1" ht="12.75">
      <c r="A568" s="69"/>
      <c r="B568" s="69" t="s">
        <v>362</v>
      </c>
      <c r="C568" s="69"/>
      <c r="D568" s="70" t="s">
        <v>363</v>
      </c>
      <c r="E568" s="27">
        <f>E569</f>
        <v>5884100</v>
      </c>
      <c r="F568" s="27">
        <f>F569</f>
        <v>5884100</v>
      </c>
      <c r="G568" s="27">
        <f>G569</f>
        <v>3651920</v>
      </c>
      <c r="H568" s="27">
        <f>H569</f>
        <v>519410</v>
      </c>
      <c r="I568" s="27"/>
      <c r="J568" s="27">
        <f t="shared" si="96"/>
        <v>164239</v>
      </c>
      <c r="K568" s="27">
        <f>K569</f>
        <v>46604</v>
      </c>
      <c r="L568" s="27">
        <f>L569</f>
        <v>0</v>
      </c>
      <c r="M568" s="27">
        <f>M569</f>
        <v>0</v>
      </c>
      <c r="N568" s="27">
        <f>N569</f>
        <v>117635</v>
      </c>
      <c r="O568" s="27">
        <f>O569</f>
        <v>117635</v>
      </c>
      <c r="P568" s="27">
        <f t="shared" si="93"/>
        <v>6048339</v>
      </c>
      <c r="Q568" s="53"/>
      <c r="W568" s="53">
        <f t="shared" si="94"/>
        <v>0</v>
      </c>
    </row>
    <row r="569" spans="1:23" s="5" customFormat="1" ht="12.75">
      <c r="A569" s="7"/>
      <c r="B569" s="7" t="s">
        <v>249</v>
      </c>
      <c r="C569" s="7" t="s">
        <v>441</v>
      </c>
      <c r="D569" s="71" t="s">
        <v>250</v>
      </c>
      <c r="E569" s="25">
        <f>F569+I569</f>
        <v>5884100</v>
      </c>
      <c r="F569" s="25">
        <f>5450997-408203+307467+163650+304887+65412-110</f>
        <v>5884100</v>
      </c>
      <c r="G569" s="25">
        <f>3312764+34360+304887-91</f>
        <v>3651920</v>
      </c>
      <c r="H569" s="25">
        <v>519410</v>
      </c>
      <c r="I569" s="25"/>
      <c r="J569" s="27">
        <f t="shared" si="96"/>
        <v>164239</v>
      </c>
      <c r="K569" s="25">
        <v>46604</v>
      </c>
      <c r="L569" s="25"/>
      <c r="M569" s="25"/>
      <c r="N569" s="25">
        <f>O569</f>
        <v>117635</v>
      </c>
      <c r="O569" s="25">
        <v>117635</v>
      </c>
      <c r="P569" s="27">
        <f t="shared" si="93"/>
        <v>6048339</v>
      </c>
      <c r="Q569" s="53"/>
      <c r="W569" s="53">
        <f t="shared" si="94"/>
        <v>0</v>
      </c>
    </row>
    <row r="570" spans="1:23" s="3" customFormat="1" ht="12.75">
      <c r="A570" s="9"/>
      <c r="B570" s="9" t="s">
        <v>374</v>
      </c>
      <c r="C570" s="9"/>
      <c r="D570" s="4" t="s">
        <v>375</v>
      </c>
      <c r="E570" s="27">
        <f>E572+E571</f>
        <v>15180736</v>
      </c>
      <c r="F570" s="27">
        <f aca="true" t="shared" si="97" ref="F570:O570">F572+F571</f>
        <v>15180736</v>
      </c>
      <c r="G570" s="27">
        <f t="shared" si="97"/>
        <v>0</v>
      </c>
      <c r="H570" s="27">
        <f t="shared" si="97"/>
        <v>0</v>
      </c>
      <c r="I570" s="27">
        <f t="shared" si="97"/>
        <v>0</v>
      </c>
      <c r="J570" s="27">
        <f t="shared" si="97"/>
        <v>198591</v>
      </c>
      <c r="K570" s="27">
        <f t="shared" si="97"/>
        <v>0</v>
      </c>
      <c r="L570" s="27">
        <f t="shared" si="97"/>
        <v>0</v>
      </c>
      <c r="M570" s="27">
        <f t="shared" si="97"/>
        <v>0</v>
      </c>
      <c r="N570" s="27">
        <f t="shared" si="97"/>
        <v>198591</v>
      </c>
      <c r="O570" s="27">
        <f t="shared" si="97"/>
        <v>198591</v>
      </c>
      <c r="P570" s="27">
        <f t="shared" si="93"/>
        <v>15379327</v>
      </c>
      <c r="Q570" s="53"/>
      <c r="W570" s="53">
        <f t="shared" si="94"/>
        <v>0</v>
      </c>
    </row>
    <row r="571" spans="1:23" s="3" customFormat="1" ht="15" customHeight="1">
      <c r="A571" s="9"/>
      <c r="B571" s="74" t="s">
        <v>200</v>
      </c>
      <c r="C571" s="74" t="s">
        <v>473</v>
      </c>
      <c r="D571" s="75" t="s">
        <v>201</v>
      </c>
      <c r="E571" s="27">
        <f>F571</f>
        <v>5007306</v>
      </c>
      <c r="F571" s="27">
        <v>5007306</v>
      </c>
      <c r="G571" s="27"/>
      <c r="H571" s="27"/>
      <c r="I571" s="27"/>
      <c r="J571" s="27"/>
      <c r="K571" s="27"/>
      <c r="L571" s="27"/>
      <c r="M571" s="27"/>
      <c r="N571" s="27"/>
      <c r="O571" s="27"/>
      <c r="P571" s="27">
        <f t="shared" si="93"/>
        <v>5007306</v>
      </c>
      <c r="Q571" s="53"/>
      <c r="W571" s="53"/>
    </row>
    <row r="572" spans="1:23" s="3" customFormat="1" ht="12.75">
      <c r="A572" s="9"/>
      <c r="B572" s="9" t="s">
        <v>102</v>
      </c>
      <c r="C572" s="9" t="s">
        <v>474</v>
      </c>
      <c r="D572" s="4" t="s">
        <v>106</v>
      </c>
      <c r="E572" s="27">
        <f>F572+I572</f>
        <v>10173430</v>
      </c>
      <c r="F572" s="27">
        <f>728081+120000+9325349</f>
        <v>10173430</v>
      </c>
      <c r="G572" s="27"/>
      <c r="H572" s="27"/>
      <c r="I572" s="27"/>
      <c r="J572" s="27">
        <f t="shared" si="96"/>
        <v>198591</v>
      </c>
      <c r="K572" s="27"/>
      <c r="L572" s="27"/>
      <c r="M572" s="27"/>
      <c r="N572" s="27">
        <f>O572</f>
        <v>198591</v>
      </c>
      <c r="O572" s="27">
        <v>198591</v>
      </c>
      <c r="P572" s="27">
        <f t="shared" si="93"/>
        <v>10372021</v>
      </c>
      <c r="Q572" s="53"/>
      <c r="W572" s="53">
        <f t="shared" si="94"/>
        <v>0</v>
      </c>
    </row>
    <row r="573" spans="1:23" s="3" customFormat="1" ht="15" customHeight="1">
      <c r="A573" s="9"/>
      <c r="B573" s="9" t="s">
        <v>366</v>
      </c>
      <c r="C573" s="9"/>
      <c r="D573" s="4" t="s">
        <v>283</v>
      </c>
      <c r="E573" s="27"/>
      <c r="F573" s="27"/>
      <c r="G573" s="27"/>
      <c r="H573" s="27"/>
      <c r="I573" s="27"/>
      <c r="J573" s="27">
        <f t="shared" si="96"/>
        <v>11450632</v>
      </c>
      <c r="K573" s="27"/>
      <c r="L573" s="27"/>
      <c r="M573" s="27"/>
      <c r="N573" s="27">
        <f>O573</f>
        <v>11450632</v>
      </c>
      <c r="O573" s="27">
        <f>O574</f>
        <v>11450632</v>
      </c>
      <c r="P573" s="27">
        <f t="shared" si="93"/>
        <v>11450632</v>
      </c>
      <c r="Q573" s="53"/>
      <c r="W573" s="53"/>
    </row>
    <row r="574" spans="1:23" s="3" customFormat="1" ht="12.75">
      <c r="A574" s="9"/>
      <c r="B574" s="9" t="s">
        <v>338</v>
      </c>
      <c r="C574" s="9" t="s">
        <v>443</v>
      </c>
      <c r="D574" s="4" t="s">
        <v>339</v>
      </c>
      <c r="E574" s="27"/>
      <c r="F574" s="27"/>
      <c r="G574" s="27"/>
      <c r="H574" s="27"/>
      <c r="I574" s="27"/>
      <c r="J574" s="27">
        <f t="shared" si="96"/>
        <v>11450632</v>
      </c>
      <c r="K574" s="27"/>
      <c r="L574" s="27"/>
      <c r="M574" s="27"/>
      <c r="N574" s="27">
        <f>O574</f>
        <v>11450632</v>
      </c>
      <c r="O574" s="27">
        <f>8175965+1708441+1566226</f>
        <v>11450632</v>
      </c>
      <c r="P574" s="27">
        <f t="shared" si="93"/>
        <v>11450632</v>
      </c>
      <c r="Q574" s="53"/>
      <c r="W574" s="53"/>
    </row>
    <row r="575" spans="1:23" s="3" customFormat="1" ht="12.75" hidden="1">
      <c r="A575" s="9"/>
      <c r="B575" s="9" t="s">
        <v>369</v>
      </c>
      <c r="C575" s="9"/>
      <c r="D575" s="4" t="s">
        <v>373</v>
      </c>
      <c r="E575" s="27">
        <f>E576</f>
        <v>0</v>
      </c>
      <c r="F575" s="27"/>
      <c r="G575" s="27">
        <f aca="true" t="shared" si="98" ref="G575:O575">G576</f>
        <v>0</v>
      </c>
      <c r="H575" s="27">
        <f t="shared" si="98"/>
        <v>0</v>
      </c>
      <c r="I575" s="27"/>
      <c r="J575" s="27">
        <f t="shared" si="98"/>
        <v>0</v>
      </c>
      <c r="K575" s="27">
        <f t="shared" si="98"/>
        <v>0</v>
      </c>
      <c r="L575" s="27">
        <f t="shared" si="98"/>
        <v>0</v>
      </c>
      <c r="M575" s="27">
        <f t="shared" si="98"/>
        <v>0</v>
      </c>
      <c r="N575" s="27">
        <f t="shared" si="98"/>
        <v>0</v>
      </c>
      <c r="O575" s="27">
        <f t="shared" si="98"/>
        <v>0</v>
      </c>
      <c r="P575" s="27">
        <f t="shared" si="93"/>
        <v>0</v>
      </c>
      <c r="Q575" s="53"/>
      <c r="W575" s="53">
        <f t="shared" si="94"/>
        <v>0</v>
      </c>
    </row>
    <row r="576" spans="1:23" s="3" customFormat="1" ht="63.75" hidden="1">
      <c r="A576" s="9"/>
      <c r="B576" s="9" t="s">
        <v>287</v>
      </c>
      <c r="C576" s="9"/>
      <c r="D576" s="115" t="s">
        <v>109</v>
      </c>
      <c r="E576" s="27"/>
      <c r="F576" s="27"/>
      <c r="G576" s="27"/>
      <c r="H576" s="27"/>
      <c r="I576" s="27"/>
      <c r="J576" s="27">
        <f>K576+N576</f>
        <v>0</v>
      </c>
      <c r="K576" s="27"/>
      <c r="L576" s="27"/>
      <c r="M576" s="27"/>
      <c r="N576" s="27"/>
      <c r="O576" s="27"/>
      <c r="P576" s="27">
        <f t="shared" si="93"/>
        <v>0</v>
      </c>
      <c r="Q576" s="53"/>
      <c r="W576" s="53">
        <f t="shared" si="94"/>
        <v>0</v>
      </c>
    </row>
    <row r="577" spans="1:23" s="3" customFormat="1" ht="38.25" hidden="1">
      <c r="A577" s="39"/>
      <c r="B577" s="39"/>
      <c r="C577" s="39"/>
      <c r="D577" s="60" t="s">
        <v>351</v>
      </c>
      <c r="E577" s="27">
        <f>E578</f>
        <v>0</v>
      </c>
      <c r="F577" s="27">
        <f>F578</f>
        <v>0</v>
      </c>
      <c r="G577" s="27"/>
      <c r="H577" s="27"/>
      <c r="I577" s="27"/>
      <c r="J577" s="27"/>
      <c r="K577" s="27"/>
      <c r="L577" s="27"/>
      <c r="M577" s="27"/>
      <c r="N577" s="27"/>
      <c r="O577" s="27"/>
      <c r="P577" s="27">
        <f t="shared" si="93"/>
        <v>0</v>
      </c>
      <c r="Q577" s="53"/>
      <c r="W577" s="53">
        <f t="shared" si="94"/>
        <v>0</v>
      </c>
    </row>
    <row r="578" spans="1:23" s="3" customFormat="1" ht="38.25" hidden="1">
      <c r="A578" s="39"/>
      <c r="B578" s="39" t="s">
        <v>285</v>
      </c>
      <c r="C578" s="39"/>
      <c r="D578" s="73" t="s">
        <v>241</v>
      </c>
      <c r="E578" s="27">
        <f>F578+I578</f>
        <v>0</v>
      </c>
      <c r="F578" s="27"/>
      <c r="G578" s="27"/>
      <c r="H578" s="27"/>
      <c r="I578" s="27"/>
      <c r="J578" s="27"/>
      <c r="K578" s="27"/>
      <c r="L578" s="27"/>
      <c r="M578" s="27"/>
      <c r="N578" s="27"/>
      <c r="O578" s="27"/>
      <c r="P578" s="27">
        <f t="shared" si="93"/>
        <v>0</v>
      </c>
      <c r="Q578" s="53"/>
      <c r="W578" s="53">
        <f t="shared" si="94"/>
        <v>0</v>
      </c>
    </row>
    <row r="579" spans="1:23" s="3" customFormat="1" ht="18" customHeight="1">
      <c r="A579" s="9"/>
      <c r="B579" s="9" t="s">
        <v>371</v>
      </c>
      <c r="C579" s="9"/>
      <c r="D579" s="115" t="s">
        <v>372</v>
      </c>
      <c r="E579" s="27">
        <f>E582+E580</f>
        <v>302192</v>
      </c>
      <c r="F579" s="27">
        <f>F582+F580</f>
        <v>302192</v>
      </c>
      <c r="G579" s="27">
        <f>G582+G580</f>
        <v>0</v>
      </c>
      <c r="H579" s="27">
        <f>H582+H580</f>
        <v>0</v>
      </c>
      <c r="I579" s="27">
        <f>I582+I580</f>
        <v>0</v>
      </c>
      <c r="J579" s="27">
        <f aca="true" t="shared" si="99" ref="J579:O579">J582</f>
        <v>0</v>
      </c>
      <c r="K579" s="27">
        <f t="shared" si="99"/>
        <v>0</v>
      </c>
      <c r="L579" s="27">
        <f>L582</f>
        <v>0</v>
      </c>
      <c r="M579" s="27">
        <f t="shared" si="99"/>
        <v>0</v>
      </c>
      <c r="N579" s="27">
        <f t="shared" si="99"/>
        <v>0</v>
      </c>
      <c r="O579" s="27">
        <f t="shared" si="99"/>
        <v>0</v>
      </c>
      <c r="P579" s="27">
        <f t="shared" si="93"/>
        <v>302192</v>
      </c>
      <c r="Q579" s="53"/>
      <c r="W579" s="53">
        <f t="shared" si="94"/>
        <v>0</v>
      </c>
    </row>
    <row r="580" spans="1:23" s="3" customFormat="1" ht="38.25" hidden="1">
      <c r="A580" s="9"/>
      <c r="B580" s="74" t="s">
        <v>305</v>
      </c>
      <c r="C580" s="74" t="s">
        <v>494</v>
      </c>
      <c r="D580" s="73" t="s">
        <v>12</v>
      </c>
      <c r="E580" s="27">
        <f>F580+I580</f>
        <v>0</v>
      </c>
      <c r="F580" s="27"/>
      <c r="G580" s="27"/>
      <c r="H580" s="27"/>
      <c r="I580" s="27"/>
      <c r="J580" s="27"/>
      <c r="K580" s="27"/>
      <c r="L580" s="27"/>
      <c r="M580" s="27"/>
      <c r="N580" s="27"/>
      <c r="O580" s="27"/>
      <c r="P580" s="27">
        <f t="shared" si="93"/>
        <v>0</v>
      </c>
      <c r="Q580" s="53"/>
      <c r="W580" s="53"/>
    </row>
    <row r="581" spans="1:23" s="3" customFormat="1" ht="63.75" hidden="1">
      <c r="A581" s="9"/>
      <c r="B581" s="39"/>
      <c r="C581" s="39"/>
      <c r="D581" s="68" t="s">
        <v>493</v>
      </c>
      <c r="E581" s="27">
        <f>F581+I581</f>
        <v>0</v>
      </c>
      <c r="F581" s="27">
        <f>F580</f>
        <v>0</v>
      </c>
      <c r="G581" s="27">
        <f>G580</f>
        <v>0</v>
      </c>
      <c r="H581" s="27">
        <f>H580</f>
        <v>0</v>
      </c>
      <c r="I581" s="27">
        <f>I580</f>
        <v>0</v>
      </c>
      <c r="J581" s="27"/>
      <c r="K581" s="27"/>
      <c r="L581" s="27"/>
      <c r="M581" s="27"/>
      <c r="N581" s="27"/>
      <c r="O581" s="27"/>
      <c r="P581" s="27">
        <f t="shared" si="93"/>
        <v>0</v>
      </c>
      <c r="Q581" s="53"/>
      <c r="W581" s="53"/>
    </row>
    <row r="582" spans="1:23" s="3" customFormat="1" ht="12.75">
      <c r="A582" s="9"/>
      <c r="B582" s="9" t="s">
        <v>288</v>
      </c>
      <c r="C582" s="9" t="s">
        <v>444</v>
      </c>
      <c r="D582" s="4" t="s">
        <v>316</v>
      </c>
      <c r="E582" s="27">
        <f>E583+E584+E586+E587+E589+E585+E588</f>
        <v>302192</v>
      </c>
      <c r="F582" s="27">
        <f>F583+F584+F586+F587+F589+F585+F588</f>
        <v>302192</v>
      </c>
      <c r="G582" s="27"/>
      <c r="H582" s="27"/>
      <c r="I582" s="27"/>
      <c r="J582" s="27">
        <f aca="true" t="shared" si="100" ref="J582:O582">J583+J584+J586</f>
        <v>0</v>
      </c>
      <c r="K582" s="27">
        <f t="shared" si="100"/>
        <v>0</v>
      </c>
      <c r="L582" s="27">
        <f t="shared" si="100"/>
        <v>0</v>
      </c>
      <c r="M582" s="27">
        <f t="shared" si="100"/>
        <v>0</v>
      </c>
      <c r="N582" s="27">
        <f t="shared" si="100"/>
        <v>0</v>
      </c>
      <c r="O582" s="27">
        <f t="shared" si="100"/>
        <v>0</v>
      </c>
      <c r="P582" s="27">
        <f t="shared" si="93"/>
        <v>302192</v>
      </c>
      <c r="Q582" s="53"/>
      <c r="W582" s="53">
        <f t="shared" si="94"/>
        <v>0</v>
      </c>
    </row>
    <row r="583" spans="1:23" s="166" customFormat="1" ht="38.25" hidden="1">
      <c r="A583" s="164"/>
      <c r="B583" s="9"/>
      <c r="C583" s="9"/>
      <c r="D583" s="4" t="s">
        <v>187</v>
      </c>
      <c r="E583" s="27">
        <f>F583+I583</f>
        <v>154552</v>
      </c>
      <c r="F583" s="27">
        <v>154552</v>
      </c>
      <c r="G583" s="27"/>
      <c r="H583" s="27"/>
      <c r="I583" s="27"/>
      <c r="J583" s="27"/>
      <c r="K583" s="27"/>
      <c r="L583" s="27"/>
      <c r="M583" s="27"/>
      <c r="N583" s="27"/>
      <c r="O583" s="27"/>
      <c r="P583" s="27">
        <f t="shared" si="93"/>
        <v>154552</v>
      </c>
      <c r="Q583" s="165"/>
      <c r="W583" s="165">
        <f t="shared" si="94"/>
        <v>0</v>
      </c>
    </row>
    <row r="584" spans="1:23" s="166" customFormat="1" ht="25.5" hidden="1">
      <c r="A584" s="164"/>
      <c r="B584" s="9"/>
      <c r="C584" s="9"/>
      <c r="D584" s="4" t="s">
        <v>207</v>
      </c>
      <c r="E584" s="27">
        <f aca="true" t="shared" si="101" ref="E584:E589">F584+I584</f>
        <v>80000</v>
      </c>
      <c r="F584" s="27">
        <v>80000</v>
      </c>
      <c r="G584" s="27"/>
      <c r="H584" s="27"/>
      <c r="I584" s="27"/>
      <c r="J584" s="27"/>
      <c r="K584" s="27"/>
      <c r="L584" s="27"/>
      <c r="M584" s="27"/>
      <c r="N584" s="27"/>
      <c r="O584" s="27"/>
      <c r="P584" s="27">
        <f t="shared" si="93"/>
        <v>80000</v>
      </c>
      <c r="Q584" s="165"/>
      <c r="W584" s="165">
        <f t="shared" si="94"/>
        <v>0</v>
      </c>
    </row>
    <row r="585" spans="1:23" s="166" customFormat="1" ht="25.5" hidden="1">
      <c r="A585" s="164"/>
      <c r="B585" s="9"/>
      <c r="C585" s="9"/>
      <c r="D585" s="6" t="s">
        <v>208</v>
      </c>
      <c r="E585" s="27">
        <f t="shared" si="101"/>
        <v>0</v>
      </c>
      <c r="F585" s="27"/>
      <c r="G585" s="27"/>
      <c r="H585" s="27"/>
      <c r="I585" s="27"/>
      <c r="J585" s="27"/>
      <c r="K585" s="27"/>
      <c r="L585" s="27"/>
      <c r="M585" s="27"/>
      <c r="N585" s="27"/>
      <c r="O585" s="27"/>
      <c r="P585" s="27">
        <f t="shared" si="93"/>
        <v>0</v>
      </c>
      <c r="Q585" s="165"/>
      <c r="W585" s="165">
        <f t="shared" si="94"/>
        <v>0</v>
      </c>
    </row>
    <row r="586" spans="1:23" s="166" customFormat="1" ht="25.5" hidden="1">
      <c r="A586" s="164"/>
      <c r="B586" s="9"/>
      <c r="C586" s="9"/>
      <c r="D586" s="4" t="s">
        <v>111</v>
      </c>
      <c r="E586" s="27">
        <f t="shared" si="101"/>
        <v>0</v>
      </c>
      <c r="F586" s="27"/>
      <c r="G586" s="27"/>
      <c r="H586" s="27"/>
      <c r="I586" s="27"/>
      <c r="J586" s="27">
        <f>K586+N586</f>
        <v>0</v>
      </c>
      <c r="K586" s="27"/>
      <c r="L586" s="27"/>
      <c r="M586" s="27"/>
      <c r="N586" s="27"/>
      <c r="O586" s="27"/>
      <c r="P586" s="27">
        <f t="shared" si="93"/>
        <v>0</v>
      </c>
      <c r="Q586" s="165"/>
      <c r="W586" s="165">
        <f t="shared" si="94"/>
        <v>0</v>
      </c>
    </row>
    <row r="587" spans="1:23" s="166" customFormat="1" ht="39.75" customHeight="1" hidden="1">
      <c r="A587" s="164"/>
      <c r="B587" s="9"/>
      <c r="C587" s="9"/>
      <c r="D587" s="4" t="s">
        <v>222</v>
      </c>
      <c r="E587" s="27">
        <f t="shared" si="101"/>
        <v>46500</v>
      </c>
      <c r="F587" s="27">
        <f>20000+26500</f>
        <v>46500</v>
      </c>
      <c r="G587" s="27"/>
      <c r="H587" s="27"/>
      <c r="I587" s="27"/>
      <c r="J587" s="27"/>
      <c r="K587" s="27"/>
      <c r="L587" s="27"/>
      <c r="M587" s="27"/>
      <c r="N587" s="27"/>
      <c r="O587" s="27"/>
      <c r="P587" s="27">
        <f t="shared" si="93"/>
        <v>46500</v>
      </c>
      <c r="Q587" s="165"/>
      <c r="W587" s="165">
        <f t="shared" si="94"/>
        <v>0</v>
      </c>
    </row>
    <row r="588" spans="1:23" s="166" customFormat="1" ht="12.75" hidden="1">
      <c r="A588" s="164"/>
      <c r="B588" s="9"/>
      <c r="C588" s="9"/>
      <c r="D588" s="4" t="s">
        <v>436</v>
      </c>
      <c r="E588" s="27">
        <f t="shared" si="101"/>
        <v>21140</v>
      </c>
      <c r="F588" s="27">
        <v>21140</v>
      </c>
      <c r="G588" s="27"/>
      <c r="H588" s="27"/>
      <c r="I588" s="27"/>
      <c r="J588" s="27"/>
      <c r="K588" s="27"/>
      <c r="L588" s="27"/>
      <c r="M588" s="27"/>
      <c r="N588" s="27"/>
      <c r="O588" s="27"/>
      <c r="P588" s="27">
        <f t="shared" si="93"/>
        <v>21140</v>
      </c>
      <c r="Q588" s="165"/>
      <c r="W588" s="165">
        <f t="shared" si="94"/>
        <v>0</v>
      </c>
    </row>
    <row r="589" spans="1:23" s="166" customFormat="1" ht="24" hidden="1">
      <c r="A589" s="164"/>
      <c r="B589" s="9"/>
      <c r="C589" s="9"/>
      <c r="D589" s="40" t="s">
        <v>105</v>
      </c>
      <c r="E589" s="27">
        <f t="shared" si="101"/>
        <v>0</v>
      </c>
      <c r="F589" s="27">
        <f>2034-2034</f>
        <v>0</v>
      </c>
      <c r="G589" s="27"/>
      <c r="H589" s="27"/>
      <c r="I589" s="27"/>
      <c r="J589" s="27"/>
      <c r="K589" s="27"/>
      <c r="L589" s="27"/>
      <c r="M589" s="27"/>
      <c r="N589" s="27"/>
      <c r="O589" s="27"/>
      <c r="P589" s="27">
        <f t="shared" si="93"/>
        <v>0</v>
      </c>
      <c r="Q589" s="165"/>
      <c r="W589" s="165">
        <f t="shared" si="94"/>
        <v>0</v>
      </c>
    </row>
    <row r="590" spans="1:26" ht="15">
      <c r="A590" s="18"/>
      <c r="B590" s="18"/>
      <c r="C590" s="18"/>
      <c r="D590" s="116" t="s">
        <v>293</v>
      </c>
      <c r="E590" s="31">
        <f aca="true" t="shared" si="102" ref="E590:P590">E11+E416+E441+E465+E490+E515+E543+E567+E215+E37+E92+E122+E208+E364+E298+E240+E218+E344+E309+E328+E320+E395+E409+E372+E323+E256+E237+E253</f>
        <v>4152186973</v>
      </c>
      <c r="F590" s="31">
        <f t="shared" si="102"/>
        <v>4152186973</v>
      </c>
      <c r="G590" s="31">
        <f t="shared" si="102"/>
        <v>1380647756</v>
      </c>
      <c r="H590" s="31">
        <f t="shared" si="102"/>
        <v>340164453</v>
      </c>
      <c r="I590" s="31">
        <f t="shared" si="102"/>
        <v>0</v>
      </c>
      <c r="J590" s="31">
        <f t="shared" si="102"/>
        <v>1153341810</v>
      </c>
      <c r="K590" s="31">
        <f t="shared" si="102"/>
        <v>88884997</v>
      </c>
      <c r="L590" s="31">
        <f t="shared" si="102"/>
        <v>22091874</v>
      </c>
      <c r="M590" s="31">
        <f t="shared" si="102"/>
        <v>3657868</v>
      </c>
      <c r="N590" s="31">
        <f t="shared" si="102"/>
        <v>1064456813</v>
      </c>
      <c r="O590" s="31">
        <f t="shared" si="102"/>
        <v>1039145165</v>
      </c>
      <c r="P590" s="31">
        <f t="shared" si="102"/>
        <v>5305528783</v>
      </c>
      <c r="Q590" s="53"/>
      <c r="S590" s="59"/>
      <c r="W590" s="53">
        <f>N590-O590</f>
        <v>25311648</v>
      </c>
      <c r="X590" s="59"/>
      <c r="Z590" s="59"/>
    </row>
    <row r="591" spans="1:16" ht="15">
      <c r="A591" s="109"/>
      <c r="B591" s="109"/>
      <c r="C591" s="109"/>
      <c r="D591" s="110"/>
      <c r="E591" s="111"/>
      <c r="F591" s="111"/>
      <c r="G591" s="111"/>
      <c r="H591" s="111"/>
      <c r="I591" s="111"/>
      <c r="J591" s="111"/>
      <c r="K591" s="111"/>
      <c r="L591" s="111"/>
      <c r="M591" s="111"/>
      <c r="N591" s="111"/>
      <c r="O591" s="111"/>
      <c r="P591" s="112"/>
    </row>
    <row r="592" spans="1:16" ht="12.75">
      <c r="A592" s="113"/>
      <c r="B592" s="113"/>
      <c r="C592" s="113"/>
      <c r="D592" s="5"/>
      <c r="E592" s="5"/>
      <c r="F592" s="5"/>
      <c r="G592" s="5"/>
      <c r="H592" s="5"/>
      <c r="I592" s="5"/>
      <c r="J592" s="5"/>
      <c r="K592" s="5"/>
      <c r="L592" s="5"/>
      <c r="M592" s="5"/>
      <c r="N592" s="5"/>
      <c r="O592" s="5"/>
      <c r="P592" s="5"/>
    </row>
    <row r="593" spans="1:16" ht="31.5">
      <c r="A593" s="45"/>
      <c r="B593" s="177" t="s">
        <v>191</v>
      </c>
      <c r="C593" s="177"/>
      <c r="D593" s="177"/>
      <c r="E593" s="121"/>
      <c r="F593" s="121"/>
      <c r="G593" s="122"/>
      <c r="H593" s="123"/>
      <c r="I593" s="123"/>
      <c r="K593" s="114"/>
      <c r="L593" s="120"/>
      <c r="M593" s="143" t="s">
        <v>37</v>
      </c>
      <c r="N593" s="114"/>
      <c r="O593" s="114"/>
      <c r="P593" s="114"/>
    </row>
    <row r="594" ht="12.75">
      <c r="O594" s="59"/>
    </row>
    <row r="595" spans="1:22" ht="12.75">
      <c r="A595" s="101"/>
      <c r="B595" s="101" t="s">
        <v>249</v>
      </c>
      <c r="C595" s="101"/>
      <c r="E595" s="59">
        <f aca="true" t="shared" si="103" ref="E595:P595">E13+E39+E94+E124+E210+E217+E220+E258+E300+E311+E322+E325+E330+E346+E366+E374+E397+E418+E443+E467+E492+E517+E545+E569+E242+E255</f>
        <v>179318475</v>
      </c>
      <c r="F595" s="59">
        <f t="shared" si="103"/>
        <v>179318475</v>
      </c>
      <c r="G595" s="59">
        <f t="shared" si="103"/>
        <v>119286352</v>
      </c>
      <c r="H595" s="59">
        <f t="shared" si="103"/>
        <v>9830252</v>
      </c>
      <c r="I595" s="59">
        <f t="shared" si="103"/>
        <v>0</v>
      </c>
      <c r="J595" s="59">
        <f t="shared" si="103"/>
        <v>17726917</v>
      </c>
      <c r="K595" s="59">
        <f t="shared" si="103"/>
        <v>788638</v>
      </c>
      <c r="L595" s="59">
        <f t="shared" si="103"/>
        <v>0</v>
      </c>
      <c r="M595" s="59">
        <f t="shared" si="103"/>
        <v>0</v>
      </c>
      <c r="N595" s="59">
        <f t="shared" si="103"/>
        <v>16938279</v>
      </c>
      <c r="O595" s="59">
        <f t="shared" si="103"/>
        <v>16786290</v>
      </c>
      <c r="P595" s="59">
        <f t="shared" si="103"/>
        <v>197045392</v>
      </c>
      <c r="Q595" s="59">
        <f aca="true" t="shared" si="104" ref="Q595:V595">Q13+Q39+Q94+Q124+Q210+Q217+Q220+Q258+Q300+Q311+Q322+Q325+Q330+Q346+Q366+Q374+Q397+Q418+Q443+Q467+Q492+Q517+Q545+Q569</f>
        <v>0</v>
      </c>
      <c r="R595" s="59">
        <f t="shared" si="104"/>
        <v>0</v>
      </c>
      <c r="S595" s="59">
        <f t="shared" si="104"/>
        <v>0</v>
      </c>
      <c r="T595" s="59">
        <f t="shared" si="104"/>
        <v>0</v>
      </c>
      <c r="U595" s="59">
        <f t="shared" si="104"/>
        <v>0</v>
      </c>
      <c r="V595" s="59">
        <f t="shared" si="104"/>
        <v>0</v>
      </c>
    </row>
    <row r="596" spans="1:16" ht="12.75">
      <c r="A596" s="101"/>
      <c r="B596" s="101" t="s">
        <v>287</v>
      </c>
      <c r="C596" s="101"/>
      <c r="E596" s="59"/>
      <c r="F596" s="59"/>
      <c r="J596" s="59">
        <f>J26+J121+J203+J233+J429+J452+J478+J530+J554+J576+J501+J340+J390</f>
        <v>311569</v>
      </c>
      <c r="K596" s="59">
        <f>K26+K121+K203+K233+K429+K452+K478+K530+K554+K576+K501+K340+K390</f>
        <v>311569</v>
      </c>
      <c r="L596" s="59">
        <f>L26+L121+L203+L233+L429+L452+L478+L530+L554+L576+L501</f>
        <v>0</v>
      </c>
      <c r="M596" s="59">
        <f>M26+M121+M203+M233+M429+M452+M478+M530+M554+M576+M501</f>
        <v>0</v>
      </c>
      <c r="N596" s="59">
        <f>N340</f>
        <v>0</v>
      </c>
      <c r="O596" s="59">
        <f>O26+O121+O203+O233+O429+O452+O478+O530+O554+O576+O501</f>
        <v>0</v>
      </c>
      <c r="P596" s="59">
        <f>P26+P121+P203+P233+P429+P452+P478+P530+P554+P576+P501+P340+P390</f>
        <v>311569</v>
      </c>
    </row>
    <row r="597" spans="1:16" ht="12.75">
      <c r="A597" s="101"/>
      <c r="B597" s="101" t="s">
        <v>288</v>
      </c>
      <c r="C597" s="101"/>
      <c r="E597" s="59">
        <f aca="true" t="shared" si="105" ref="E597:P597">E30+E235+E251+E306+E315+E407+E433+E456+E482+E507+E534+E558+E582+E359+E392+E342+E290</f>
        <v>112972197</v>
      </c>
      <c r="F597" s="59">
        <f t="shared" si="105"/>
        <v>112972197</v>
      </c>
      <c r="G597" s="59">
        <f t="shared" si="105"/>
        <v>2492671</v>
      </c>
      <c r="H597" s="59">
        <f t="shared" si="105"/>
        <v>119625</v>
      </c>
      <c r="I597" s="59">
        <f t="shared" si="105"/>
        <v>0</v>
      </c>
      <c r="J597" s="59">
        <f t="shared" si="105"/>
        <v>616697</v>
      </c>
      <c r="K597" s="59">
        <f t="shared" si="105"/>
        <v>0</v>
      </c>
      <c r="L597" s="59">
        <f t="shared" si="105"/>
        <v>0</v>
      </c>
      <c r="M597" s="59">
        <f t="shared" si="105"/>
        <v>0</v>
      </c>
      <c r="N597" s="59">
        <f t="shared" si="105"/>
        <v>616697</v>
      </c>
      <c r="O597" s="59">
        <f t="shared" si="105"/>
        <v>616697</v>
      </c>
      <c r="P597" s="59">
        <f t="shared" si="105"/>
        <v>113588894</v>
      </c>
    </row>
    <row r="598" spans="5:10" ht="12.75">
      <c r="E598" s="59"/>
      <c r="F598" s="59"/>
      <c r="J598" s="59"/>
    </row>
    <row r="599" spans="1:16" ht="12.75">
      <c r="A599" s="101"/>
      <c r="B599" s="101" t="s">
        <v>337</v>
      </c>
      <c r="C599" s="101"/>
      <c r="E599" s="59">
        <f>E17+E76+E116+E191+E231+E379+E425+E474+E497+E550</f>
        <v>0</v>
      </c>
      <c r="F599" s="59"/>
      <c r="G599" s="59">
        <f>G17+G76+G116+G191+G231+G379+G425+G474+G497+G550</f>
        <v>0</v>
      </c>
      <c r="H599" s="59">
        <f>H17+H76+H116+H191+H231+H379+H425+H474+H497+H550</f>
        <v>0</v>
      </c>
      <c r="I599" s="59"/>
      <c r="J599" s="59">
        <f aca="true" t="shared" si="106" ref="J599:P599">J88+J288+J339</f>
        <v>22900000</v>
      </c>
      <c r="K599" s="59">
        <f t="shared" si="106"/>
        <v>356000</v>
      </c>
      <c r="L599" s="59">
        <f t="shared" si="106"/>
        <v>0</v>
      </c>
      <c r="M599" s="59">
        <f t="shared" si="106"/>
        <v>0</v>
      </c>
      <c r="N599" s="59">
        <f t="shared" si="106"/>
        <v>22544000</v>
      </c>
      <c r="O599" s="59">
        <f t="shared" si="106"/>
        <v>0</v>
      </c>
      <c r="P599" s="59">
        <f t="shared" si="106"/>
        <v>22900000</v>
      </c>
    </row>
    <row r="600" ht="12.75"/>
    <row r="601" ht="12.75"/>
    <row r="602" ht="12.75">
      <c r="E602" s="59">
        <f>E590-F590-I590</f>
        <v>0</v>
      </c>
    </row>
    <row r="603" spans="2:16" ht="12.75">
      <c r="B603" s="101" t="s">
        <v>338</v>
      </c>
      <c r="E603" s="59">
        <f>E76+E116+E191+E231+E244+E275+E352+E379+E448+E474+E497+E526+E550+E574</f>
        <v>0</v>
      </c>
      <c r="F603" s="59">
        <f>F76+F116+F191+F231+F244+F275+F352+F379+F448+F474+F497+F526+F550+F574</f>
        <v>0</v>
      </c>
      <c r="G603" s="59">
        <f>G76+G116+G191+G231+G244+G275+G352+G379+G448+G474+G497+G526+G550+G574</f>
        <v>0</v>
      </c>
      <c r="H603" s="59">
        <f>H76+H116+H191+H231+H244+H275+H352+H379+H448+H474+H497+H526+H550+H574</f>
        <v>0</v>
      </c>
      <c r="I603" s="59">
        <f>I76+I116+I191+I231+I244+I275+I352+I379+I448+I474+I497+I526+I550+I574</f>
        <v>0</v>
      </c>
      <c r="J603" s="59">
        <f>J76+J116+J191+J231+J244+J275+J352+J379+J448+J474+J497+J526+J550+J574+J399+J425</f>
        <v>389900850</v>
      </c>
      <c r="K603" s="59">
        <f aca="true" t="shared" si="107" ref="K603:P603">K76+K116+K191+K231+K244+K275+K352+K379+K448+K474+K497+K526+K550+K574+K399+K425</f>
        <v>0</v>
      </c>
      <c r="L603" s="59">
        <f t="shared" si="107"/>
        <v>0</v>
      </c>
      <c r="M603" s="59">
        <f t="shared" si="107"/>
        <v>0</v>
      </c>
      <c r="N603" s="59">
        <f t="shared" si="107"/>
        <v>389900850</v>
      </c>
      <c r="O603" s="59">
        <f t="shared" si="107"/>
        <v>389900850</v>
      </c>
      <c r="P603" s="59">
        <f t="shared" si="107"/>
        <v>389900850</v>
      </c>
    </row>
    <row r="604" ht="12.75"/>
    <row r="605" ht="12.75"/>
    <row r="606" ht="12.75">
      <c r="B606" s="101" t="s">
        <v>18</v>
      </c>
    </row>
    <row r="607" spans="2:6" ht="12.75">
      <c r="B607" s="101" t="s">
        <v>17</v>
      </c>
      <c r="F607" s="59">
        <f>F130+F137+F142+F150+F170+F174</f>
        <v>422462100</v>
      </c>
    </row>
    <row r="608" spans="2:6" ht="12.75">
      <c r="B608" s="101" t="s">
        <v>19</v>
      </c>
      <c r="F608" s="59">
        <f>F134+F146+F148+F195+F197+F201+F199+J134</f>
        <v>0</v>
      </c>
    </row>
    <row r="609" spans="2:6" ht="12.75">
      <c r="B609" s="101" t="s">
        <v>20</v>
      </c>
      <c r="F609" s="59">
        <f>F132+F140+F144+F152+F171</f>
        <v>457910</v>
      </c>
    </row>
    <row r="610" spans="2:6" ht="12.75">
      <c r="B610" s="101" t="s">
        <v>21</v>
      </c>
      <c r="F610" s="59">
        <f>F154+F156+F158+F160+F162+F164+F166+F168+F178+F189</f>
        <v>636666646</v>
      </c>
    </row>
    <row r="611" spans="2:6" ht="12.75">
      <c r="B611" s="101" t="s">
        <v>22</v>
      </c>
      <c r="F611" s="168">
        <f>F126</f>
        <v>2611950</v>
      </c>
    </row>
    <row r="612" ht="12.75"/>
    <row r="613" ht="12.75"/>
    <row r="614" ht="12.75"/>
    <row r="615" ht="12.75"/>
    <row r="616" ht="12.75"/>
    <row r="617" spans="2:16" ht="12.75">
      <c r="B617" s="101" t="s">
        <v>38</v>
      </c>
      <c r="J617" s="59">
        <f>K617+N617</f>
        <v>90595188</v>
      </c>
      <c r="K617" s="59">
        <f>K13+K40+K69+K95+K128+K221+K367+K418+K446+K467+K470+K492+K517+K545+K569</f>
        <v>87827540</v>
      </c>
      <c r="N617" s="59">
        <f>N40-O40+N69-O69+N95-O95+N124-O124+N221-O221+N311-O311+N470-O470+N517-O517+N367-O367</f>
        <v>2767648</v>
      </c>
      <c r="P617" s="59">
        <f>J617</f>
        <v>90595188</v>
      </c>
    </row>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sheetData>
  <sheetProtection/>
  <mergeCells count="22">
    <mergeCell ref="P7:P9"/>
    <mergeCell ref="A7:A9"/>
    <mergeCell ref="B7:B9"/>
    <mergeCell ref="D7:D9"/>
    <mergeCell ref="E7:I7"/>
    <mergeCell ref="I8:I9"/>
    <mergeCell ref="J7:O7"/>
    <mergeCell ref="F8:F9"/>
    <mergeCell ref="J1:K1"/>
    <mergeCell ref="J2:K2"/>
    <mergeCell ref="L8:M8"/>
    <mergeCell ref="N8:N9"/>
    <mergeCell ref="J3:K3"/>
    <mergeCell ref="B4:P4"/>
    <mergeCell ref="B5:P5"/>
    <mergeCell ref="O6:P6"/>
    <mergeCell ref="B593:D593"/>
    <mergeCell ref="G8:H8"/>
    <mergeCell ref="E8:E9"/>
    <mergeCell ref="K8:K9"/>
    <mergeCell ref="J8:J9"/>
    <mergeCell ref="C7:C9"/>
  </mergeCells>
  <printOptions/>
  <pageMargins left="0.9055118110236221" right="0.35433070866141736" top="1.141732283464567" bottom="0.3937007874015748" header="0.3937007874015748" footer="0.3937007874015748"/>
  <pageSetup fitToHeight="12" fitToWidth="1" horizontalDpi="600" verticalDpi="600" orientation="landscape" paperSize="9" scale="54" r:id="rId1"/>
  <headerFooter alignWithMargins="0">
    <oddHeader>&amp;C&amp;P</oddHeader>
  </headerFooter>
  <rowBreaks count="1" manualBreakCount="1">
    <brk id="164" min="1" max="15" man="1"/>
  </rowBreaks>
  <ignoredErrors>
    <ignoredError sqref="E30" formula="1"/>
    <ignoredError sqref="B25:B28 C26 C28 B30:C30 B37:B40 C39"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AS609"/>
  <sheetViews>
    <sheetView showZeros="0" view="pageBreakPreview" zoomScale="85" zoomScaleNormal="75" zoomScaleSheetLayoutView="85" zoomScalePageLayoutView="0" workbookViewId="0" topLeftCell="B67">
      <selection activeCell="F93" sqref="F93"/>
    </sheetView>
  </sheetViews>
  <sheetFormatPr defaultColWidth="9.1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86"/>
      <c r="K1" s="186"/>
      <c r="L1" s="141" t="s">
        <v>306</v>
      </c>
      <c r="O1" s="136"/>
      <c r="P1" s="136"/>
    </row>
    <row r="2" spans="1:16" ht="33" customHeight="1">
      <c r="A2" s="46"/>
      <c r="B2" s="46"/>
      <c r="C2" s="46"/>
      <c r="D2" s="47"/>
      <c r="E2" s="47"/>
      <c r="F2" s="47"/>
      <c r="G2" s="47"/>
      <c r="H2" s="47"/>
      <c r="I2" s="47"/>
      <c r="J2" s="186"/>
      <c r="K2" s="186"/>
      <c r="L2" s="141" t="s">
        <v>341</v>
      </c>
      <c r="O2" s="138"/>
      <c r="P2" s="138"/>
    </row>
    <row r="3" spans="1:16" ht="33" customHeight="1">
      <c r="A3" s="46"/>
      <c r="B3" s="46"/>
      <c r="C3" s="46"/>
      <c r="D3" s="47"/>
      <c r="E3" s="47"/>
      <c r="F3" s="47"/>
      <c r="G3" s="47"/>
      <c r="H3" s="47"/>
      <c r="I3" s="47"/>
      <c r="J3" s="186"/>
      <c r="K3" s="186"/>
      <c r="L3" s="142" t="s">
        <v>437</v>
      </c>
      <c r="O3" s="135"/>
      <c r="P3" s="135"/>
    </row>
    <row r="4" spans="1:16" ht="33" customHeight="1">
      <c r="A4" s="45"/>
      <c r="B4" s="190" t="s">
        <v>408</v>
      </c>
      <c r="C4" s="191"/>
      <c r="D4" s="191"/>
      <c r="E4" s="191"/>
      <c r="F4" s="191"/>
      <c r="G4" s="191"/>
      <c r="H4" s="191"/>
      <c r="I4" s="191"/>
      <c r="J4" s="191"/>
      <c r="K4" s="191"/>
      <c r="L4" s="191"/>
      <c r="M4" s="191"/>
      <c r="N4" s="191"/>
      <c r="O4" s="191"/>
      <c r="P4" s="192"/>
    </row>
    <row r="5" spans="1:16" ht="33" customHeight="1">
      <c r="A5" s="45"/>
      <c r="B5" s="190" t="s">
        <v>497</v>
      </c>
      <c r="C5" s="191"/>
      <c r="D5" s="191"/>
      <c r="E5" s="191"/>
      <c r="F5" s="191"/>
      <c r="G5" s="191"/>
      <c r="H5" s="191"/>
      <c r="I5" s="191"/>
      <c r="J5" s="191"/>
      <c r="K5" s="191"/>
      <c r="L5" s="191"/>
      <c r="M5" s="191"/>
      <c r="N5" s="191"/>
      <c r="O5" s="191"/>
      <c r="P5" s="192"/>
    </row>
    <row r="6" spans="1:16" ht="33" customHeight="1">
      <c r="A6" s="48"/>
      <c r="B6" s="48"/>
      <c r="C6" s="48"/>
      <c r="D6" s="49"/>
      <c r="E6" s="33"/>
      <c r="F6" s="33"/>
      <c r="G6" s="33"/>
      <c r="H6" s="33"/>
      <c r="I6" s="33"/>
      <c r="J6" s="33"/>
      <c r="K6" s="33"/>
      <c r="L6" s="33"/>
      <c r="M6" s="34"/>
      <c r="N6" s="34"/>
      <c r="O6" s="196" t="s">
        <v>417</v>
      </c>
      <c r="P6" s="197"/>
    </row>
    <row r="7" spans="1:16" ht="33" customHeight="1">
      <c r="A7" s="187" t="s">
        <v>409</v>
      </c>
      <c r="B7" s="187" t="s">
        <v>410</v>
      </c>
      <c r="C7" s="187" t="s">
        <v>411</v>
      </c>
      <c r="D7" s="193" t="s">
        <v>412</v>
      </c>
      <c r="E7" s="184" t="s">
        <v>418</v>
      </c>
      <c r="F7" s="185"/>
      <c r="G7" s="185"/>
      <c r="H7" s="185"/>
      <c r="I7" s="179"/>
      <c r="J7" s="184" t="s">
        <v>419</v>
      </c>
      <c r="K7" s="185"/>
      <c r="L7" s="185"/>
      <c r="M7" s="185"/>
      <c r="N7" s="185"/>
      <c r="O7" s="185"/>
      <c r="P7" s="180" t="s">
        <v>301</v>
      </c>
    </row>
    <row r="8" spans="1:16" ht="33" customHeight="1">
      <c r="A8" s="188"/>
      <c r="B8" s="188"/>
      <c r="C8" s="188"/>
      <c r="D8" s="194"/>
      <c r="E8" s="180" t="s">
        <v>248</v>
      </c>
      <c r="F8" s="182" t="s">
        <v>415</v>
      </c>
      <c r="G8" s="178" t="s">
        <v>359</v>
      </c>
      <c r="H8" s="179"/>
      <c r="I8" s="182" t="s">
        <v>416</v>
      </c>
      <c r="J8" s="180" t="s">
        <v>248</v>
      </c>
      <c r="K8" s="182" t="s">
        <v>415</v>
      </c>
      <c r="L8" s="178" t="s">
        <v>359</v>
      </c>
      <c r="M8" s="179"/>
      <c r="N8" s="182" t="s">
        <v>416</v>
      </c>
      <c r="O8" s="137" t="s">
        <v>359</v>
      </c>
      <c r="P8" s="198"/>
    </row>
    <row r="9" spans="1:16" ht="45" customHeight="1">
      <c r="A9" s="189"/>
      <c r="B9" s="189"/>
      <c r="C9" s="189"/>
      <c r="D9" s="195"/>
      <c r="E9" s="181"/>
      <c r="F9" s="183"/>
      <c r="G9" s="89" t="s">
        <v>360</v>
      </c>
      <c r="H9" s="89" t="s">
        <v>361</v>
      </c>
      <c r="I9" s="183"/>
      <c r="J9" s="181"/>
      <c r="K9" s="183"/>
      <c r="L9" s="89" t="s">
        <v>360</v>
      </c>
      <c r="M9" s="89" t="s">
        <v>361</v>
      </c>
      <c r="N9" s="183"/>
      <c r="O9" s="85" t="s">
        <v>100</v>
      </c>
      <c r="P9" s="181"/>
    </row>
    <row r="10" spans="1:22" ht="12.75">
      <c r="A10" s="74" t="s">
        <v>413</v>
      </c>
      <c r="B10" s="74" t="s">
        <v>438</v>
      </c>
      <c r="C10" s="74" t="s">
        <v>414</v>
      </c>
      <c r="D10" s="50">
        <v>4</v>
      </c>
      <c r="E10" s="74" t="s">
        <v>23</v>
      </c>
      <c r="F10" s="74" t="s">
        <v>24</v>
      </c>
      <c r="G10" s="74" t="s">
        <v>25</v>
      </c>
      <c r="H10" s="74" t="s">
        <v>26</v>
      </c>
      <c r="I10" s="74" t="s">
        <v>27</v>
      </c>
      <c r="J10" s="74" t="s">
        <v>170</v>
      </c>
      <c r="K10" s="74" t="s">
        <v>28</v>
      </c>
      <c r="L10" s="74" t="s">
        <v>29</v>
      </c>
      <c r="M10" s="74" t="s">
        <v>30</v>
      </c>
      <c r="N10" s="74" t="s">
        <v>171</v>
      </c>
      <c r="O10" s="74" t="s">
        <v>172</v>
      </c>
      <c r="P10" s="50">
        <v>16</v>
      </c>
      <c r="Q10" s="74" t="s">
        <v>29</v>
      </c>
      <c r="R10" s="74" t="s">
        <v>30</v>
      </c>
      <c r="S10" s="50">
        <v>9</v>
      </c>
      <c r="T10" s="74" t="s">
        <v>171</v>
      </c>
      <c r="U10" s="74" t="s">
        <v>172</v>
      </c>
      <c r="V10" s="50">
        <v>10</v>
      </c>
    </row>
    <row r="11" spans="1:23" s="54" customFormat="1" ht="33" customHeight="1">
      <c r="A11" s="98"/>
      <c r="B11" s="98" t="s">
        <v>161</v>
      </c>
      <c r="C11" s="98"/>
      <c r="D11" s="104" t="s">
        <v>152</v>
      </c>
      <c r="E11" s="51">
        <f>Місто!E11-'[1]Місто'!E11</f>
        <v>3663863</v>
      </c>
      <c r="F11" s="51">
        <f>Місто!F11-'[1]Місто'!F11</f>
        <v>3663863</v>
      </c>
      <c r="G11" s="51">
        <f>Місто!G11-'[1]Місто'!G11</f>
        <v>2455646</v>
      </c>
      <c r="H11" s="51">
        <f>Місто!H11-'[1]Місто'!H11</f>
        <v>0</v>
      </c>
      <c r="I11" s="51">
        <f>Місто!I11-'[1]Місто'!I11</f>
        <v>0</v>
      </c>
      <c r="J11" s="51">
        <f>Місто!J11-'[1]Місто'!J11</f>
        <v>2525235</v>
      </c>
      <c r="K11" s="51">
        <f>Місто!K11-'[1]Місто'!K11</f>
        <v>104095</v>
      </c>
      <c r="L11" s="51">
        <f>Місто!L11-'[1]Місто'!L11</f>
        <v>0</v>
      </c>
      <c r="M11" s="51">
        <f>Місто!M11-'[1]Місто'!M11</f>
        <v>0</v>
      </c>
      <c r="N11" s="51">
        <f>Місто!N11-'[1]Місто'!N11</f>
        <v>2421140</v>
      </c>
      <c r="O11" s="51">
        <f>Місто!O11-'[1]Місто'!O11</f>
        <v>2421140</v>
      </c>
      <c r="P11" s="52">
        <f>Місто!P11-'[1]Місто'!P11</f>
        <v>6189098</v>
      </c>
      <c r="Q11" s="53"/>
      <c r="R11" s="53"/>
      <c r="W11" s="53">
        <f>N11-O11</f>
        <v>0</v>
      </c>
    </row>
    <row r="12" spans="1:23" s="57" customFormat="1" ht="12.75">
      <c r="A12" s="42"/>
      <c r="B12" s="42" t="s">
        <v>362</v>
      </c>
      <c r="C12" s="42"/>
      <c r="D12" s="43" t="s">
        <v>363</v>
      </c>
      <c r="E12" s="37">
        <f>Місто!E12-'[1]Місто'!E12</f>
        <v>3227859</v>
      </c>
      <c r="F12" s="37">
        <f>Місто!F12-'[1]Місто'!F12</f>
        <v>3227859</v>
      </c>
      <c r="G12" s="37">
        <f>Місто!G12-'[1]Місто'!G12</f>
        <v>2377146</v>
      </c>
      <c r="H12" s="37">
        <f>Місто!H12-'[1]Місто'!H12</f>
        <v>0</v>
      </c>
      <c r="I12" s="37">
        <f>Місто!I12-'[1]Місто'!I12</f>
        <v>0</v>
      </c>
      <c r="J12" s="38">
        <f>Місто!J12-'[1]Місто'!J12</f>
        <v>2421140</v>
      </c>
      <c r="K12" s="37">
        <f>Місто!K12-'[1]Місто'!K12</f>
        <v>0</v>
      </c>
      <c r="L12" s="37">
        <f>Місто!L12-'[1]Місто'!L12</f>
        <v>0</v>
      </c>
      <c r="M12" s="37">
        <f>Місто!M12-'[1]Місто'!M12</f>
        <v>0</v>
      </c>
      <c r="N12" s="37">
        <f>Місто!N12-'[1]Місто'!N12</f>
        <v>2421140</v>
      </c>
      <c r="O12" s="37">
        <f>Місто!O12-'[1]Місто'!O12</f>
        <v>2421140</v>
      </c>
      <c r="P12" s="55">
        <f>Місто!P12-'[1]Місто'!P12</f>
        <v>5648999</v>
      </c>
      <c r="Q12" s="53"/>
      <c r="R12" s="56"/>
      <c r="W12" s="53">
        <f aca="true" t="shared" si="0" ref="W12:W75">N12-O12</f>
        <v>0</v>
      </c>
    </row>
    <row r="13" spans="1:23" ht="12.75">
      <c r="A13" s="39"/>
      <c r="B13" s="39" t="s">
        <v>249</v>
      </c>
      <c r="C13" s="74" t="s">
        <v>441</v>
      </c>
      <c r="D13" s="58" t="s">
        <v>250</v>
      </c>
      <c r="E13" s="37">
        <f>Місто!E13-'[1]Місто'!E13</f>
        <v>3227859</v>
      </c>
      <c r="F13" s="38">
        <f>Місто!F13-'[1]Місто'!F13</f>
        <v>3227859</v>
      </c>
      <c r="G13" s="38">
        <f>Місто!G13-'[1]Місто'!G13</f>
        <v>2377146</v>
      </c>
      <c r="H13" s="38">
        <f>Місто!H13-'[1]Місто'!H13</f>
        <v>0</v>
      </c>
      <c r="I13" s="38">
        <f>Місто!I13-'[1]Місто'!I13</f>
        <v>0</v>
      </c>
      <c r="J13" s="38">
        <f>Місто!J13-'[1]Місто'!J13</f>
        <v>2421140</v>
      </c>
      <c r="K13" s="38">
        <f>Місто!K13-'[1]Місто'!K13</f>
        <v>0</v>
      </c>
      <c r="L13" s="38">
        <f>Місто!L13-'[1]Місто'!L13</f>
        <v>0</v>
      </c>
      <c r="M13" s="38">
        <f>Місто!M13-'[1]Місто'!M13</f>
        <v>0</v>
      </c>
      <c r="N13" s="76">
        <f>Місто!N13-'[1]Місто'!N13</f>
        <v>2421140</v>
      </c>
      <c r="O13" s="140">
        <f>Місто!O13-'[1]Місто'!O13</f>
        <v>2421140</v>
      </c>
      <c r="P13" s="55">
        <f>Місто!P13-'[1]Місто'!P13</f>
        <v>5648999</v>
      </c>
      <c r="Q13" s="53"/>
      <c r="R13" s="59"/>
      <c r="W13" s="53">
        <f t="shared" si="0"/>
        <v>0</v>
      </c>
    </row>
    <row r="14" spans="1:23" ht="12.75">
      <c r="A14" s="39"/>
      <c r="B14" s="39" t="s">
        <v>364</v>
      </c>
      <c r="C14" s="39"/>
      <c r="D14" s="36" t="s">
        <v>365</v>
      </c>
      <c r="E14" s="37">
        <f>Місто!E14-'[1]Місто'!E14</f>
        <v>678904</v>
      </c>
      <c r="F14" s="38">
        <f>Місто!F14-'[1]Місто'!F14</f>
        <v>678904</v>
      </c>
      <c r="G14" s="38">
        <f>Місто!G14-'[1]Місто'!G14</f>
        <v>0</v>
      </c>
      <c r="H14" s="38">
        <f>Місто!H14-'[1]Місто'!H14</f>
        <v>0</v>
      </c>
      <c r="I14" s="38">
        <f>Місто!I14-'[1]Місто'!I14</f>
        <v>0</v>
      </c>
      <c r="J14" s="38">
        <f>Місто!J14-'[1]Місто'!J14</f>
        <v>0</v>
      </c>
      <c r="K14" s="38">
        <f>Місто!K14-'[1]Місто'!K14</f>
        <v>0</v>
      </c>
      <c r="L14" s="38">
        <f>Місто!L14-'[1]Місто'!L14</f>
        <v>0</v>
      </c>
      <c r="M14" s="38">
        <f>Місто!M14-'[1]Місто'!M14</f>
        <v>0</v>
      </c>
      <c r="N14" s="76">
        <f>Місто!N14-'[1]Місто'!N14</f>
        <v>0</v>
      </c>
      <c r="O14" s="76">
        <f>Місто!O14-'[1]Місто'!O14</f>
        <v>0</v>
      </c>
      <c r="P14" s="55">
        <f>Місто!P14-'[1]Місто'!P14</f>
        <v>678904</v>
      </c>
      <c r="Q14" s="53"/>
      <c r="R14" s="59"/>
      <c r="W14" s="53">
        <f t="shared" si="0"/>
        <v>0</v>
      </c>
    </row>
    <row r="15" spans="1:23" ht="25.5">
      <c r="A15" s="39"/>
      <c r="B15" s="74" t="s">
        <v>1</v>
      </c>
      <c r="C15" s="74" t="s">
        <v>442</v>
      </c>
      <c r="D15" s="60" t="s">
        <v>98</v>
      </c>
      <c r="E15" s="37">
        <f>Місто!E15-'[1]Місто'!E15</f>
        <v>678904</v>
      </c>
      <c r="F15" s="38">
        <f>Місто!F15-'[1]Місто'!F15</f>
        <v>678904</v>
      </c>
      <c r="G15" s="38">
        <f>Місто!G15-'[1]Місто'!G15</f>
        <v>0</v>
      </c>
      <c r="H15" s="38">
        <f>Місто!H15-'[1]Місто'!H15</f>
        <v>0</v>
      </c>
      <c r="I15" s="38">
        <f>Місто!I15-'[1]Місто'!I15</f>
        <v>0</v>
      </c>
      <c r="J15" s="38">
        <f>Місто!J15-'[1]Місто'!J15</f>
        <v>0</v>
      </c>
      <c r="K15" s="38">
        <f>Місто!K15-'[1]Місто'!K15</f>
        <v>0</v>
      </c>
      <c r="L15" s="38">
        <f>Місто!L15-'[1]Місто'!L15</f>
        <v>0</v>
      </c>
      <c r="M15" s="38">
        <f>Місто!M15-'[1]Місто'!M15</f>
        <v>0</v>
      </c>
      <c r="N15" s="38">
        <f>Місто!N15-'[1]Місто'!N15</f>
        <v>0</v>
      </c>
      <c r="O15" s="38">
        <f>Місто!O15-'[1]Місто'!O15</f>
        <v>0</v>
      </c>
      <c r="P15" s="55">
        <f>Місто!P15-'[1]Місто'!P15</f>
        <v>678904</v>
      </c>
      <c r="Q15" s="53"/>
      <c r="R15" s="59"/>
      <c r="W15" s="53">
        <f t="shared" si="0"/>
        <v>0</v>
      </c>
    </row>
    <row r="16" spans="1:23" ht="12.75" hidden="1">
      <c r="A16" s="39"/>
      <c r="B16" s="39" t="s">
        <v>366</v>
      </c>
      <c r="C16" s="39"/>
      <c r="D16" s="60" t="s">
        <v>283</v>
      </c>
      <c r="E16" s="37">
        <f>Місто!E16-'[1]Місто'!E16</f>
        <v>0</v>
      </c>
      <c r="F16" s="38">
        <f>Місто!F16-'[1]Місто'!F16</f>
        <v>0</v>
      </c>
      <c r="G16" s="38">
        <f>Місто!G16-'[1]Місто'!G16</f>
        <v>0</v>
      </c>
      <c r="H16" s="38">
        <f>Місто!H16-'[1]Місто'!H16</f>
        <v>0</v>
      </c>
      <c r="I16" s="38">
        <f>Місто!I16-'[1]Місто'!I16</f>
        <v>0</v>
      </c>
      <c r="J16" s="38">
        <f>Місто!J16-'[1]Місто'!J16</f>
        <v>0</v>
      </c>
      <c r="K16" s="38">
        <f>Місто!K16-'[1]Місто'!K16</f>
        <v>0</v>
      </c>
      <c r="L16" s="38">
        <f>Місто!L16-'[1]Місто'!L16</f>
        <v>0</v>
      </c>
      <c r="M16" s="38">
        <f>Місто!M16-'[1]Місто'!M16</f>
        <v>0</v>
      </c>
      <c r="N16" s="38">
        <f>Місто!N16-'[1]Місто'!N16</f>
        <v>0</v>
      </c>
      <c r="O16" s="38">
        <f>Місто!O16-'[1]Місто'!O16</f>
        <v>0</v>
      </c>
      <c r="P16" s="55">
        <f>Місто!P16-'[1]Місто'!P16</f>
        <v>0</v>
      </c>
      <c r="Q16" s="53"/>
      <c r="R16" s="59"/>
      <c r="W16" s="53">
        <f t="shared" si="0"/>
        <v>0</v>
      </c>
    </row>
    <row r="17" spans="1:23" ht="12.75" hidden="1">
      <c r="A17" s="39"/>
      <c r="B17" s="39" t="s">
        <v>338</v>
      </c>
      <c r="C17" s="39"/>
      <c r="D17" s="58" t="s">
        <v>339</v>
      </c>
      <c r="E17" s="37">
        <f>Місто!E17-'[1]Місто'!E17</f>
        <v>0</v>
      </c>
      <c r="F17" s="38">
        <f>Місто!F17-'[1]Місто'!F17</f>
        <v>0</v>
      </c>
      <c r="G17" s="38">
        <f>Місто!G17-'[1]Місто'!G17</f>
        <v>0</v>
      </c>
      <c r="H17" s="38">
        <f>Місто!H17-'[1]Місто'!H17</f>
        <v>0</v>
      </c>
      <c r="I17" s="38">
        <f>Місто!I17-'[1]Місто'!I17</f>
        <v>0</v>
      </c>
      <c r="J17" s="38">
        <f>Місто!J17-'[1]Місто'!J17</f>
        <v>0</v>
      </c>
      <c r="K17" s="38">
        <f>Місто!K17-'[1]Місто'!K17</f>
        <v>0</v>
      </c>
      <c r="L17" s="38">
        <f>Місто!L17-'[1]Місто'!L17</f>
        <v>0</v>
      </c>
      <c r="M17" s="38">
        <f>Місто!M17-'[1]Місто'!M17</f>
        <v>0</v>
      </c>
      <c r="N17" s="38">
        <f>Місто!N17-'[1]Місто'!N17</f>
        <v>0</v>
      </c>
      <c r="O17" s="128">
        <f>Місто!O17-'[1]Місто'!O17</f>
        <v>0</v>
      </c>
      <c r="P17" s="55">
        <f>Місто!P17-'[1]Місто'!P17</f>
        <v>0</v>
      </c>
      <c r="Q17" s="53"/>
      <c r="R17" s="59"/>
      <c r="W17" s="53">
        <f t="shared" si="0"/>
        <v>0</v>
      </c>
    </row>
    <row r="18" spans="1:23" ht="51" hidden="1">
      <c r="A18" s="39"/>
      <c r="B18" s="39"/>
      <c r="C18" s="39"/>
      <c r="D18" s="68" t="s">
        <v>157</v>
      </c>
      <c r="E18" s="37">
        <f>Місто!E18-'[1]Місто'!E18</f>
        <v>0</v>
      </c>
      <c r="F18" s="38">
        <f>Місто!F18-'[1]Місто'!F18</f>
        <v>0</v>
      </c>
      <c r="G18" s="38">
        <f>Місто!G18-'[1]Місто'!G18</f>
        <v>0</v>
      </c>
      <c r="H18" s="38">
        <f>Місто!H18-'[1]Місто'!H18</f>
        <v>0</v>
      </c>
      <c r="I18" s="38">
        <f>Місто!I18-'[1]Місто'!I18</f>
        <v>0</v>
      </c>
      <c r="J18" s="38" t="e">
        <f>Місто!J18-'[1]Місто'!J18</f>
        <v>#REF!</v>
      </c>
      <c r="K18" s="38">
        <f>Місто!K18-'[1]Місто'!K18</f>
        <v>0</v>
      </c>
      <c r="L18" s="38">
        <f>Місто!L18-'[1]Місто'!L18</f>
        <v>0</v>
      </c>
      <c r="M18" s="38">
        <f>Місто!M18-'[1]Місто'!M18</f>
        <v>0</v>
      </c>
      <c r="N18" s="38" t="e">
        <f>Місто!N18-'[1]Місто'!N18</f>
        <v>#REF!</v>
      </c>
      <c r="O18" s="38" t="e">
        <f>Місто!O18-'[1]Місто'!O18</f>
        <v>#REF!</v>
      </c>
      <c r="P18" s="55" t="e">
        <f>Місто!P18-'[1]Місто'!P18</f>
        <v>#REF!</v>
      </c>
      <c r="Q18" s="53"/>
      <c r="R18" s="59"/>
      <c r="W18" s="53" t="e">
        <f t="shared" si="0"/>
        <v>#REF!</v>
      </c>
    </row>
    <row r="19" spans="1:23" ht="33" customHeight="1" hidden="1">
      <c r="A19" s="39"/>
      <c r="B19" s="39" t="s">
        <v>82</v>
      </c>
      <c r="C19" s="39"/>
      <c r="D19" s="118" t="s">
        <v>388</v>
      </c>
      <c r="E19" s="37">
        <f>Місто!E19-'[1]Місто'!E19</f>
        <v>0</v>
      </c>
      <c r="F19" s="38">
        <f>Місто!F19-'[1]Місто'!F19</f>
        <v>0</v>
      </c>
      <c r="G19" s="38">
        <f>Місто!G19-'[1]Місто'!G19</f>
        <v>0</v>
      </c>
      <c r="H19" s="38">
        <f>Місто!H19-'[1]Місто'!H19</f>
        <v>0</v>
      </c>
      <c r="I19" s="38">
        <f>Місто!I19-'[1]Місто'!I19</f>
        <v>0</v>
      </c>
      <c r="J19" s="38">
        <f>Місто!J19-'[1]Місто'!J19</f>
        <v>0</v>
      </c>
      <c r="K19" s="38">
        <f>Місто!K19-'[1]Місто'!K19</f>
        <v>0</v>
      </c>
      <c r="L19" s="38">
        <f>Місто!L19-'[1]Місто'!L19</f>
        <v>0</v>
      </c>
      <c r="M19" s="38">
        <f>Місто!M19-'[1]Місто'!M19</f>
        <v>0</v>
      </c>
      <c r="N19" s="76">
        <f>Місто!N19-'[1]Місто'!N19</f>
        <v>0</v>
      </c>
      <c r="O19" s="76">
        <f>Місто!O19-'[1]Місто'!O19</f>
        <v>0</v>
      </c>
      <c r="P19" s="55">
        <f>Місто!P19-'[1]Місто'!P19</f>
        <v>0</v>
      </c>
      <c r="Q19" s="53"/>
      <c r="R19" s="59"/>
      <c r="W19" s="53">
        <f t="shared" si="0"/>
        <v>0</v>
      </c>
    </row>
    <row r="20" spans="1:23" ht="33" customHeight="1" hidden="1">
      <c r="A20" s="39"/>
      <c r="B20" s="39"/>
      <c r="C20" s="39"/>
      <c r="D20" s="36" t="s">
        <v>381</v>
      </c>
      <c r="E20" s="37">
        <f>Місто!E20-'[1]Місто'!E20</f>
        <v>0</v>
      </c>
      <c r="F20" s="38">
        <f>Місто!F20-'[1]Місто'!F20</f>
        <v>0</v>
      </c>
      <c r="G20" s="38">
        <f>Місто!G20-'[1]Місто'!G20</f>
        <v>0</v>
      </c>
      <c r="H20" s="38">
        <f>Місто!H20-'[1]Місто'!H20</f>
        <v>0</v>
      </c>
      <c r="I20" s="38">
        <f>Місто!I20-'[1]Місто'!I20</f>
        <v>0</v>
      </c>
      <c r="J20" s="38">
        <f>Місто!J20-'[1]Місто'!J20</f>
        <v>0</v>
      </c>
      <c r="K20" s="38">
        <f>Місто!K20-'[1]Місто'!K20</f>
        <v>0</v>
      </c>
      <c r="L20" s="38">
        <f>Місто!L20-'[1]Місто'!L20</f>
        <v>0</v>
      </c>
      <c r="M20" s="38">
        <f>Місто!M20-'[1]Місто'!M20</f>
        <v>0</v>
      </c>
      <c r="N20" s="38">
        <f>Місто!N20-'[1]Місто'!N20</f>
        <v>0</v>
      </c>
      <c r="O20" s="38">
        <f>Місто!O20-'[1]Місто'!O20</f>
        <v>0</v>
      </c>
      <c r="P20" s="55">
        <f>Місто!P20-'[1]Місто'!P20</f>
        <v>0</v>
      </c>
      <c r="Q20" s="53"/>
      <c r="R20" s="59"/>
      <c r="W20" s="53">
        <f t="shared" si="0"/>
        <v>0</v>
      </c>
    </row>
    <row r="21" spans="1:23" ht="38.25" hidden="1">
      <c r="A21" s="74"/>
      <c r="B21" s="74" t="s">
        <v>123</v>
      </c>
      <c r="C21" s="74"/>
      <c r="D21" s="68" t="s">
        <v>124</v>
      </c>
      <c r="E21" s="37">
        <f>Місто!E21-'[1]Місто'!E21</f>
        <v>0</v>
      </c>
      <c r="F21" s="38">
        <f>Місто!F21-'[1]Місто'!F21</f>
        <v>0</v>
      </c>
      <c r="G21" s="38">
        <f>Місто!G21-'[1]Місто'!G21</f>
        <v>0</v>
      </c>
      <c r="H21" s="38">
        <f>Місто!H21-'[1]Місто'!H21</f>
        <v>0</v>
      </c>
      <c r="I21" s="38">
        <f>Місто!I21-'[1]Місто'!I21</f>
        <v>0</v>
      </c>
      <c r="J21" s="38">
        <f>Місто!J21-'[1]Місто'!J21</f>
        <v>0</v>
      </c>
      <c r="K21" s="38">
        <f>Місто!K21-'[1]Місто'!K21</f>
        <v>0</v>
      </c>
      <c r="L21" s="38">
        <f>Місто!L21-'[1]Місто'!L21</f>
        <v>0</v>
      </c>
      <c r="M21" s="38">
        <f>Місто!M21-'[1]Місто'!M21</f>
        <v>0</v>
      </c>
      <c r="N21" s="38">
        <f>Місто!N21-'[1]Місто'!N21</f>
        <v>0</v>
      </c>
      <c r="O21" s="38">
        <f>Місто!O21-'[1]Місто'!O21</f>
        <v>0</v>
      </c>
      <c r="P21" s="55">
        <f>Місто!P21-'[1]Місто'!P21</f>
        <v>0</v>
      </c>
      <c r="Q21" s="53"/>
      <c r="R21" s="59"/>
      <c r="W21" s="53">
        <f t="shared" si="0"/>
        <v>0</v>
      </c>
    </row>
    <row r="22" spans="1:23" ht="25.5" hidden="1">
      <c r="A22" s="39"/>
      <c r="B22" s="39" t="s">
        <v>376</v>
      </c>
      <c r="C22" s="39"/>
      <c r="D22" s="58" t="s">
        <v>377</v>
      </c>
      <c r="E22" s="37">
        <f>Місто!E22-'[1]Місто'!E22</f>
        <v>0</v>
      </c>
      <c r="F22" s="38">
        <f>Місто!F22-'[1]Місто'!F22</f>
        <v>0</v>
      </c>
      <c r="G22" s="38">
        <f>Місто!G22-'[1]Місто'!G22</f>
        <v>0</v>
      </c>
      <c r="H22" s="38">
        <f>Місто!H22-'[1]Місто'!H22</f>
        <v>0</v>
      </c>
      <c r="I22" s="38">
        <f>Місто!I22-'[1]Місто'!I22</f>
        <v>0</v>
      </c>
      <c r="J22" s="38">
        <f>Місто!J22-'[1]Місто'!J22</f>
        <v>0</v>
      </c>
      <c r="K22" s="38">
        <f>Місто!K22-'[1]Місто'!K22</f>
        <v>0</v>
      </c>
      <c r="L22" s="38">
        <f>Місто!L22-'[1]Місто'!L22</f>
        <v>0</v>
      </c>
      <c r="M22" s="38">
        <f>Місто!M22-'[1]Місто'!M22</f>
        <v>0</v>
      </c>
      <c r="N22" s="38">
        <f>Місто!N22-'[1]Місто'!N22</f>
        <v>0</v>
      </c>
      <c r="O22" s="38">
        <f>Місто!O22-'[1]Місто'!O22</f>
        <v>0</v>
      </c>
      <c r="P22" s="55">
        <f>Місто!P22-'[1]Місто'!P22</f>
        <v>0</v>
      </c>
      <c r="Q22" s="53"/>
      <c r="R22" s="59"/>
      <c r="W22" s="53">
        <f t="shared" si="0"/>
        <v>0</v>
      </c>
    </row>
    <row r="23" spans="1:23" ht="51" hidden="1">
      <c r="A23" s="39"/>
      <c r="B23" s="39" t="s">
        <v>355</v>
      </c>
      <c r="C23" s="74" t="s">
        <v>443</v>
      </c>
      <c r="D23" s="68" t="s">
        <v>8</v>
      </c>
      <c r="E23" s="37">
        <f>Місто!E23-'[1]Місто'!E23</f>
        <v>0</v>
      </c>
      <c r="F23" s="38">
        <f>Місто!F23-'[1]Місто'!F23</f>
        <v>0</v>
      </c>
      <c r="G23" s="38">
        <f>Місто!G23-'[1]Місто'!G23</f>
        <v>0</v>
      </c>
      <c r="H23" s="38">
        <f>Місто!H23-'[1]Місто'!H23</f>
        <v>0</v>
      </c>
      <c r="I23" s="38">
        <f>Місто!I23-'[1]Місто'!I23</f>
        <v>0</v>
      </c>
      <c r="J23" s="38">
        <f>Місто!J23-'[1]Місто'!J23</f>
        <v>0</v>
      </c>
      <c r="K23" s="38">
        <f>Місто!K23-'[1]Місто'!K23</f>
        <v>0</v>
      </c>
      <c r="L23" s="38">
        <f>Місто!L23-'[1]Місто'!L23</f>
        <v>0</v>
      </c>
      <c r="M23" s="38">
        <f>Місто!M23-'[1]Місто'!M23</f>
        <v>0</v>
      </c>
      <c r="N23" s="38">
        <f>Місто!N23-'[1]Місто'!N23</f>
        <v>0</v>
      </c>
      <c r="O23" s="38">
        <f>Місто!O23-'[1]Місто'!O23</f>
        <v>0</v>
      </c>
      <c r="P23" s="55">
        <f>Місто!P23-'[1]Місто'!P23</f>
        <v>0</v>
      </c>
      <c r="Q23" s="53"/>
      <c r="R23" s="59"/>
      <c r="W23" s="53">
        <f t="shared" si="0"/>
        <v>0</v>
      </c>
    </row>
    <row r="24" spans="1:23" ht="25.5" hidden="1">
      <c r="A24" s="39"/>
      <c r="B24" s="39"/>
      <c r="C24" s="39"/>
      <c r="D24" s="68" t="s">
        <v>31</v>
      </c>
      <c r="E24" s="37">
        <f>Місто!E24-'[1]Місто'!E24</f>
        <v>0</v>
      </c>
      <c r="F24" s="38">
        <f>Місто!F24-'[1]Місто'!F24</f>
        <v>0</v>
      </c>
      <c r="G24" s="38">
        <f>Місто!G24-'[1]Місто'!G24</f>
        <v>0</v>
      </c>
      <c r="H24" s="38">
        <f>Місто!H24-'[1]Місто'!H24</f>
        <v>0</v>
      </c>
      <c r="I24" s="38">
        <f>Місто!I24-'[1]Місто'!I24</f>
        <v>0</v>
      </c>
      <c r="J24" s="38">
        <f>Місто!J24-'[1]Місто'!J24</f>
        <v>0</v>
      </c>
      <c r="K24" s="38">
        <f>Місто!K24-'[1]Місто'!K24</f>
        <v>0</v>
      </c>
      <c r="L24" s="38">
        <f>Місто!L24-'[1]Місто'!L24</f>
        <v>0</v>
      </c>
      <c r="M24" s="38">
        <f>Місто!M24-'[1]Місто'!M24</f>
        <v>0</v>
      </c>
      <c r="N24" s="38">
        <f>Місто!N24-'[1]Місто'!N24</f>
        <v>0</v>
      </c>
      <c r="O24" s="38">
        <f>Місто!O24-'[1]Місто'!O24</f>
        <v>0</v>
      </c>
      <c r="P24" s="55">
        <f>Місто!P24-'[1]Місто'!P24</f>
        <v>0</v>
      </c>
      <c r="Q24" s="53"/>
      <c r="R24" s="59"/>
      <c r="W24" s="53"/>
    </row>
    <row r="25" spans="1:23" ht="12.75">
      <c r="A25" s="39"/>
      <c r="B25" s="39" t="s">
        <v>369</v>
      </c>
      <c r="C25" s="39"/>
      <c r="D25" s="36" t="s">
        <v>370</v>
      </c>
      <c r="E25" s="37">
        <f>Місто!E25-'[1]Місто'!E25</f>
        <v>0</v>
      </c>
      <c r="F25" s="38">
        <f>Місто!F25-'[1]Місто'!F25</f>
        <v>0</v>
      </c>
      <c r="G25" s="38">
        <f>Місто!G25-'[1]Місто'!G25</f>
        <v>0</v>
      </c>
      <c r="H25" s="38">
        <f>Місто!H25-'[1]Місто'!H25</f>
        <v>0</v>
      </c>
      <c r="I25" s="38">
        <f>Місто!I25-'[1]Місто'!I25</f>
        <v>0</v>
      </c>
      <c r="J25" s="38">
        <f>Місто!J25-'[1]Місто'!J25</f>
        <v>104095</v>
      </c>
      <c r="K25" s="38">
        <f>Місто!K25-'[1]Місто'!K25</f>
        <v>104095</v>
      </c>
      <c r="L25" s="38">
        <f>Місто!L25-'[1]Місто'!L25</f>
        <v>0</v>
      </c>
      <c r="M25" s="38">
        <f>Місто!M25-'[1]Місто'!M25</f>
        <v>0</v>
      </c>
      <c r="N25" s="38">
        <f>Місто!N25-'[1]Місто'!N25</f>
        <v>0</v>
      </c>
      <c r="O25" s="38">
        <f>Місто!O25-'[1]Місто'!O25</f>
        <v>0</v>
      </c>
      <c r="P25" s="55">
        <f>Місто!P25-'[1]Місто'!P25</f>
        <v>104095</v>
      </c>
      <c r="Q25" s="53"/>
      <c r="R25" s="59"/>
      <c r="W25" s="53">
        <f t="shared" si="0"/>
        <v>0</v>
      </c>
    </row>
    <row r="26" spans="1:23" ht="63.75">
      <c r="A26" s="39"/>
      <c r="B26" s="39" t="s">
        <v>287</v>
      </c>
      <c r="C26" s="74" t="s">
        <v>444</v>
      </c>
      <c r="D26" s="73" t="s">
        <v>109</v>
      </c>
      <c r="E26" s="37">
        <f>Місто!E26-'[1]Місто'!E26</f>
        <v>0</v>
      </c>
      <c r="F26" s="38">
        <f>Місто!F26-'[1]Місто'!F26</f>
        <v>0</v>
      </c>
      <c r="G26" s="38">
        <f>Місто!G26-'[1]Місто'!G26</f>
        <v>0</v>
      </c>
      <c r="H26" s="38">
        <f>Місто!H26-'[1]Місто'!H26</f>
        <v>0</v>
      </c>
      <c r="I26" s="38">
        <f>Місто!I26-'[1]Місто'!I26</f>
        <v>0</v>
      </c>
      <c r="J26" s="38">
        <f>Місто!J26-'[1]Місто'!J26</f>
        <v>104095</v>
      </c>
      <c r="K26" s="76">
        <f>Місто!K26-'[1]Місто'!K26</f>
        <v>104095</v>
      </c>
      <c r="L26" s="38">
        <f>Місто!L26-'[1]Місто'!L26</f>
        <v>0</v>
      </c>
      <c r="M26" s="38">
        <f>Місто!M26-'[1]Місто'!M26</f>
        <v>0</v>
      </c>
      <c r="N26" s="38">
        <f>Місто!N26-'[1]Місто'!N26</f>
        <v>0</v>
      </c>
      <c r="O26" s="38">
        <f>Місто!O26-'[1]Місто'!O26</f>
        <v>0</v>
      </c>
      <c r="P26" s="55">
        <f>Місто!P26-'[1]Місто'!P26</f>
        <v>104095</v>
      </c>
      <c r="Q26" s="53"/>
      <c r="R26" s="59"/>
      <c r="W26" s="53">
        <f t="shared" si="0"/>
        <v>0</v>
      </c>
    </row>
    <row r="27" spans="1:23" ht="12" customHeight="1">
      <c r="A27" s="39"/>
      <c r="B27" s="39" t="s">
        <v>371</v>
      </c>
      <c r="C27" s="39"/>
      <c r="D27" s="68" t="s">
        <v>372</v>
      </c>
      <c r="E27" s="37">
        <f>Місто!E27-'[1]Місто'!E27</f>
        <v>-242900</v>
      </c>
      <c r="F27" s="37">
        <f>Місто!F27-'[1]Місто'!F27</f>
        <v>-242900</v>
      </c>
      <c r="G27" s="37">
        <f>Місто!G27-'[1]Місто'!G27</f>
        <v>78500</v>
      </c>
      <c r="H27" s="37">
        <f>Місто!H27-'[1]Місто'!H27</f>
        <v>0</v>
      </c>
      <c r="I27" s="37">
        <f>Місто!I27-'[1]Місто'!I27</f>
        <v>0</v>
      </c>
      <c r="J27" s="38">
        <f>Місто!J27-'[1]Місто'!J27</f>
        <v>0</v>
      </c>
      <c r="K27" s="38">
        <f>Місто!K27-'[1]Місто'!K27</f>
        <v>0</v>
      </c>
      <c r="L27" s="38">
        <f>Місто!L27-'[1]Місто'!L27</f>
        <v>0</v>
      </c>
      <c r="M27" s="38">
        <f>Місто!M27-'[1]Місто'!M27</f>
        <v>0</v>
      </c>
      <c r="N27" s="38">
        <f>Місто!N27-'[1]Місто'!N27</f>
        <v>0</v>
      </c>
      <c r="O27" s="38">
        <f>Місто!O27-'[1]Місто'!O27</f>
        <v>0</v>
      </c>
      <c r="P27" s="55">
        <f>Місто!P27-'[1]Місто'!P27</f>
        <v>-242900</v>
      </c>
      <c r="Q27" s="53"/>
      <c r="R27" s="59"/>
      <c r="W27" s="53">
        <f t="shared" si="0"/>
        <v>0</v>
      </c>
    </row>
    <row r="28" spans="1:23" ht="38.25" hidden="1">
      <c r="A28" s="74"/>
      <c r="B28" s="74" t="s">
        <v>305</v>
      </c>
      <c r="C28" s="74" t="s">
        <v>494</v>
      </c>
      <c r="D28" s="73" t="s">
        <v>9</v>
      </c>
      <c r="E28" s="37">
        <f>Місто!E28-'[1]Місто'!E28</f>
        <v>0</v>
      </c>
      <c r="F28" s="38">
        <f>Місто!F28-'[1]Місто'!F28</f>
        <v>0</v>
      </c>
      <c r="G28" s="38">
        <f>Місто!G28-'[1]Місто'!G28</f>
        <v>0</v>
      </c>
      <c r="H28" s="38">
        <f>Місто!H28-'[1]Місто'!H28</f>
        <v>0</v>
      </c>
      <c r="I28" s="38">
        <f>Місто!I28-'[1]Місто'!I28</f>
        <v>0</v>
      </c>
      <c r="J28" s="38">
        <f>Місто!J28-'[1]Місто'!J28</f>
        <v>0</v>
      </c>
      <c r="K28" s="38">
        <f>Місто!K28-'[1]Місто'!K28</f>
        <v>0</v>
      </c>
      <c r="L28" s="38">
        <f>Місто!L28-'[1]Місто'!L28</f>
        <v>0</v>
      </c>
      <c r="M28" s="38">
        <f>Місто!M28-'[1]Місто'!M28</f>
        <v>0</v>
      </c>
      <c r="N28" s="38">
        <f>Місто!N28-'[1]Місто'!N28</f>
        <v>0</v>
      </c>
      <c r="O28" s="38">
        <f>Місто!O28-'[1]Місто'!O28</f>
        <v>0</v>
      </c>
      <c r="P28" s="55">
        <f>Місто!P28-'[1]Місто'!P28</f>
        <v>0</v>
      </c>
      <c r="Q28" s="53"/>
      <c r="R28" s="59"/>
      <c r="W28" s="53">
        <f t="shared" si="0"/>
        <v>0</v>
      </c>
    </row>
    <row r="29" spans="1:23" ht="63.75" hidden="1">
      <c r="A29" s="39"/>
      <c r="B29" s="39"/>
      <c r="C29" s="39"/>
      <c r="D29" s="68" t="s">
        <v>493</v>
      </c>
      <c r="E29" s="37">
        <f>Місто!E29-'[1]Місто'!E29</f>
        <v>0</v>
      </c>
      <c r="F29" s="38">
        <f>Місто!F29-'[1]Місто'!F29</f>
        <v>0</v>
      </c>
      <c r="G29" s="38">
        <f>Місто!G29-'[1]Місто'!G29</f>
        <v>0</v>
      </c>
      <c r="H29" s="38">
        <f>Місто!H29-'[1]Місто'!H29</f>
        <v>0</v>
      </c>
      <c r="I29" s="38">
        <f>Місто!I29-'[1]Місто'!I29</f>
        <v>0</v>
      </c>
      <c r="J29" s="38">
        <f>Місто!J29-'[1]Місто'!J29</f>
        <v>0</v>
      </c>
      <c r="K29" s="38">
        <f>Місто!K29-'[1]Місто'!K29</f>
        <v>0</v>
      </c>
      <c r="L29" s="38">
        <f>Місто!L29-'[1]Місто'!L29</f>
        <v>0</v>
      </c>
      <c r="M29" s="38">
        <f>Місто!M29-'[1]Місто'!M29</f>
        <v>0</v>
      </c>
      <c r="N29" s="38">
        <f>Місто!N29-'[1]Місто'!N29</f>
        <v>0</v>
      </c>
      <c r="O29" s="38">
        <f>Місто!O29-'[1]Місто'!O29</f>
        <v>0</v>
      </c>
      <c r="P29" s="55">
        <f>Місто!P29-'[1]Місто'!P29</f>
        <v>0</v>
      </c>
      <c r="Q29" s="53"/>
      <c r="R29" s="59"/>
      <c r="W29" s="53">
        <f t="shared" si="0"/>
        <v>0</v>
      </c>
    </row>
    <row r="30" spans="1:23" ht="12.75">
      <c r="A30" s="39"/>
      <c r="B30" s="39" t="s">
        <v>288</v>
      </c>
      <c r="C30" s="74" t="s">
        <v>444</v>
      </c>
      <c r="D30" s="36" t="s">
        <v>316</v>
      </c>
      <c r="E30" s="37">
        <f>Місто!E30-'[1]Місто'!E30</f>
        <v>-242900</v>
      </c>
      <c r="F30" s="37">
        <f>Місто!F30-'[1]Місто'!F30</f>
        <v>-242900</v>
      </c>
      <c r="G30" s="38">
        <f>Місто!G30-'[1]Місто'!G30</f>
        <v>78500</v>
      </c>
      <c r="H30" s="38">
        <f>Місто!H30-'[1]Місто'!H30</f>
        <v>0</v>
      </c>
      <c r="I30" s="38">
        <f>Місто!I30-'[1]Місто'!I30</f>
        <v>0</v>
      </c>
      <c r="J30" s="38">
        <f>Місто!J30-'[1]Місто'!J30</f>
        <v>0</v>
      </c>
      <c r="K30" s="38">
        <f>Місто!K30-'[1]Місто'!K30</f>
        <v>0</v>
      </c>
      <c r="L30" s="38">
        <f>Місто!L30-'[1]Місто'!L30</f>
        <v>0</v>
      </c>
      <c r="M30" s="38">
        <f>Місто!M30-'[1]Місто'!M30</f>
        <v>0</v>
      </c>
      <c r="N30" s="38">
        <f>Місто!N30-'[1]Місто'!N30</f>
        <v>0</v>
      </c>
      <c r="O30" s="38">
        <f>Місто!O30-'[1]Місто'!O30</f>
        <v>0</v>
      </c>
      <c r="P30" s="55">
        <f>Місто!P30-'[1]Місто'!P30</f>
        <v>-242900</v>
      </c>
      <c r="Q30" s="53"/>
      <c r="R30" s="59"/>
      <c r="W30" s="53">
        <f t="shared" si="0"/>
        <v>0</v>
      </c>
    </row>
    <row r="31" spans="1:23" s="158" customFormat="1" ht="12.75" hidden="1">
      <c r="A31" s="152"/>
      <c r="B31" s="39"/>
      <c r="C31" s="39"/>
      <c r="D31" s="36" t="s">
        <v>214</v>
      </c>
      <c r="E31" s="37">
        <f>Місто!E31-'[1]Місто'!E31</f>
        <v>0</v>
      </c>
      <c r="F31" s="38">
        <f>Місто!F31-'[1]Місто'!F31</f>
        <v>0</v>
      </c>
      <c r="G31" s="38">
        <f>Місто!G31-'[1]Місто'!G31</f>
        <v>0</v>
      </c>
      <c r="H31" s="38">
        <f>Місто!H31-'[1]Місто'!H31</f>
        <v>0</v>
      </c>
      <c r="I31" s="38">
        <f>Місто!I31-'[1]Місто'!I31</f>
        <v>0</v>
      </c>
      <c r="J31" s="38">
        <f>Місто!J31-'[1]Місто'!J31</f>
        <v>0</v>
      </c>
      <c r="K31" s="38">
        <f>Місто!K31-'[1]Місто'!K31</f>
        <v>0</v>
      </c>
      <c r="L31" s="38">
        <f>Місто!L31-'[1]Місто'!L31</f>
        <v>0</v>
      </c>
      <c r="M31" s="38">
        <f>Місто!M31-'[1]Місто'!M31</f>
        <v>0</v>
      </c>
      <c r="N31" s="38">
        <f>Місто!N31-'[1]Місто'!N31</f>
        <v>0</v>
      </c>
      <c r="O31" s="38">
        <f>Місто!O31-'[1]Місто'!O31</f>
        <v>0</v>
      </c>
      <c r="P31" s="55">
        <f>Місто!P31-'[1]Місто'!P31</f>
        <v>0</v>
      </c>
      <c r="Q31" s="156"/>
      <c r="R31" s="157"/>
      <c r="W31" s="156">
        <f t="shared" si="0"/>
        <v>0</v>
      </c>
    </row>
    <row r="32" spans="1:23" s="158" customFormat="1" ht="23.25" customHeight="1" hidden="1">
      <c r="A32" s="152"/>
      <c r="B32" s="39"/>
      <c r="C32" s="39"/>
      <c r="D32" s="68" t="s">
        <v>35</v>
      </c>
      <c r="E32" s="37">
        <f>Місто!E32-'[1]Місто'!E32</f>
        <v>0</v>
      </c>
      <c r="F32" s="38">
        <f>Місто!F32-'[1]Місто'!F32</f>
        <v>0</v>
      </c>
      <c r="G32" s="38">
        <f>Місто!G32-'[1]Місто'!G32</f>
        <v>0</v>
      </c>
      <c r="H32" s="38">
        <f>Місто!H32-'[1]Місто'!H32</f>
        <v>0</v>
      </c>
      <c r="I32" s="38">
        <f>Місто!I32-'[1]Місто'!I32</f>
        <v>0</v>
      </c>
      <c r="J32" s="38">
        <f>Місто!J32-'[1]Місто'!J32</f>
        <v>0</v>
      </c>
      <c r="K32" s="38">
        <f>Місто!K32-'[1]Місто'!K32</f>
        <v>0</v>
      </c>
      <c r="L32" s="38">
        <f>Місто!L32-'[1]Місто'!L32</f>
        <v>0</v>
      </c>
      <c r="M32" s="38">
        <f>Місто!M32-'[1]Місто'!M32</f>
        <v>0</v>
      </c>
      <c r="N32" s="38">
        <f>Місто!N32-'[1]Місто'!N32</f>
        <v>0</v>
      </c>
      <c r="O32" s="38">
        <f>Місто!O32-'[1]Місто'!O32</f>
        <v>0</v>
      </c>
      <c r="P32" s="55">
        <f>Місто!P32-'[1]Місто'!P32</f>
        <v>0</v>
      </c>
      <c r="Q32" s="156"/>
      <c r="R32" s="157"/>
      <c r="W32" s="156">
        <f t="shared" si="0"/>
        <v>0</v>
      </c>
    </row>
    <row r="33" spans="1:23" s="158" customFormat="1" ht="51" hidden="1">
      <c r="A33" s="152"/>
      <c r="B33" s="39"/>
      <c r="C33" s="39"/>
      <c r="D33" s="36" t="s">
        <v>157</v>
      </c>
      <c r="E33" s="37">
        <f>Місто!E33-'[1]Місто'!E33</f>
        <v>0</v>
      </c>
      <c r="F33" s="38">
        <f>Місто!F33-'[1]Місто'!F33</f>
        <v>0</v>
      </c>
      <c r="G33" s="38">
        <f>Місто!G33-'[1]Місто'!G33</f>
        <v>0</v>
      </c>
      <c r="H33" s="38">
        <f>Місто!H33-'[1]Місто'!H33</f>
        <v>0</v>
      </c>
      <c r="I33" s="38">
        <f>Місто!I33-'[1]Місто'!I33</f>
        <v>0</v>
      </c>
      <c r="J33" s="38">
        <f>Місто!J33-'[1]Місто'!J33</f>
        <v>0</v>
      </c>
      <c r="K33" s="38">
        <f>Місто!K33-'[1]Місто'!K33</f>
        <v>0</v>
      </c>
      <c r="L33" s="38">
        <f>Місто!L33-'[1]Місто'!L33</f>
        <v>0</v>
      </c>
      <c r="M33" s="38">
        <f>Місто!M33-'[1]Місто'!M33</f>
        <v>0</v>
      </c>
      <c r="N33" s="38">
        <f>Місто!N33-'[1]Місто'!N33</f>
        <v>0</v>
      </c>
      <c r="O33" s="38">
        <f>Місто!O33-'[1]Місто'!O33</f>
        <v>0</v>
      </c>
      <c r="P33" s="55">
        <f>Місто!P33-'[1]Місто'!P33</f>
        <v>0</v>
      </c>
      <c r="Q33" s="156"/>
      <c r="R33" s="157"/>
      <c r="W33" s="156">
        <f t="shared" si="0"/>
        <v>0</v>
      </c>
    </row>
    <row r="34" spans="1:23" s="158" customFormat="1" ht="38.25" hidden="1">
      <c r="A34" s="152"/>
      <c r="B34" s="39"/>
      <c r="C34" s="39"/>
      <c r="D34" s="36" t="s">
        <v>32</v>
      </c>
      <c r="E34" s="37">
        <f>Місто!E34-'[1]Місто'!E34</f>
        <v>0</v>
      </c>
      <c r="F34" s="38">
        <f>Місто!F34-'[1]Місто'!F34</f>
        <v>0</v>
      </c>
      <c r="G34" s="38">
        <f>Місто!G34-'[1]Місто'!G34</f>
        <v>0</v>
      </c>
      <c r="H34" s="38">
        <f>Місто!H34-'[1]Місто'!H34</f>
        <v>0</v>
      </c>
      <c r="I34" s="38">
        <f>Місто!I34-'[1]Місто'!I34</f>
        <v>0</v>
      </c>
      <c r="J34" s="38">
        <f>Місто!J34-'[1]Місто'!J34</f>
        <v>0</v>
      </c>
      <c r="K34" s="38">
        <f>Місто!K34-'[1]Місто'!K34</f>
        <v>0</v>
      </c>
      <c r="L34" s="38">
        <f>Місто!L34-'[1]Місто'!L34</f>
        <v>0</v>
      </c>
      <c r="M34" s="38">
        <f>Місто!M34-'[1]Місто'!M34</f>
        <v>0</v>
      </c>
      <c r="N34" s="38">
        <f>Місто!N34-'[1]Місто'!N34</f>
        <v>0</v>
      </c>
      <c r="O34" s="38">
        <f>Місто!O34-'[1]Місто'!O34</f>
        <v>0</v>
      </c>
      <c r="P34" s="55">
        <f>Місто!P34-'[1]Місто'!P34</f>
        <v>0</v>
      </c>
      <c r="Q34" s="156"/>
      <c r="R34" s="157"/>
      <c r="W34" s="156">
        <f t="shared" si="0"/>
        <v>0</v>
      </c>
    </row>
    <row r="35" spans="1:23" s="158" customFormat="1" ht="51" hidden="1">
      <c r="A35" s="152"/>
      <c r="B35" s="39"/>
      <c r="C35" s="39"/>
      <c r="D35" s="36" t="s">
        <v>160</v>
      </c>
      <c r="E35" s="37">
        <f>Місто!E35-'[1]Місто'!E35</f>
        <v>-242900</v>
      </c>
      <c r="F35" s="38">
        <f>Місто!F35-'[1]Місто'!F35</f>
        <v>-242900</v>
      </c>
      <c r="G35" s="38">
        <f>Місто!G35-'[1]Місто'!G35</f>
        <v>78500</v>
      </c>
      <c r="H35" s="38">
        <f>Місто!H35-'[1]Місто'!H35</f>
        <v>0</v>
      </c>
      <c r="I35" s="38">
        <f>Місто!I35-'[1]Місто'!I35</f>
        <v>0</v>
      </c>
      <c r="J35" s="38">
        <f>Місто!J35-'[1]Місто'!J35</f>
        <v>0</v>
      </c>
      <c r="K35" s="38">
        <f>Місто!K35-'[1]Місто'!K35</f>
        <v>0</v>
      </c>
      <c r="L35" s="38">
        <f>Місто!L35-'[1]Місто'!L35</f>
        <v>0</v>
      </c>
      <c r="M35" s="38">
        <f>Місто!M35-'[1]Місто'!M35</f>
        <v>0</v>
      </c>
      <c r="N35" s="38">
        <f>Місто!N35-'[1]Місто'!N35</f>
        <v>0</v>
      </c>
      <c r="O35" s="38">
        <f>Місто!O35-'[1]Місто'!O35</f>
        <v>0</v>
      </c>
      <c r="P35" s="55">
        <f>Місто!P35-'[1]Місто'!P35</f>
        <v>-242900</v>
      </c>
      <c r="Q35" s="156"/>
      <c r="R35" s="157"/>
      <c r="W35" s="156">
        <f t="shared" si="0"/>
        <v>0</v>
      </c>
    </row>
    <row r="36" spans="1:23" s="158" customFormat="1" ht="38.25" hidden="1">
      <c r="A36" s="152"/>
      <c r="B36" s="39"/>
      <c r="C36" s="39"/>
      <c r="D36" s="36" t="s">
        <v>483</v>
      </c>
      <c r="E36" s="37">
        <f>Місто!E36-'[1]Місто'!E36</f>
        <v>0</v>
      </c>
      <c r="F36" s="38">
        <f>Місто!F36-'[1]Місто'!F36</f>
        <v>0</v>
      </c>
      <c r="G36" s="38">
        <f>Місто!G36-'[1]Місто'!G36</f>
        <v>0</v>
      </c>
      <c r="H36" s="38">
        <f>Місто!H36-'[1]Місто'!H36</f>
        <v>0</v>
      </c>
      <c r="I36" s="38">
        <f>Місто!I36-'[1]Місто'!I36</f>
        <v>0</v>
      </c>
      <c r="J36" s="38">
        <f>Місто!J36-'[1]Місто'!J36</f>
        <v>0</v>
      </c>
      <c r="K36" s="38">
        <f>Місто!K36-'[1]Місто'!K36</f>
        <v>0</v>
      </c>
      <c r="L36" s="38">
        <f>Місто!L36-'[1]Місто'!L36</f>
        <v>0</v>
      </c>
      <c r="M36" s="38">
        <f>Місто!M36-'[1]Місто'!M36</f>
        <v>0</v>
      </c>
      <c r="N36" s="38">
        <f>Місто!N36-'[1]Місто'!N36</f>
        <v>0</v>
      </c>
      <c r="O36" s="38">
        <f>Місто!O36-'[1]Місто'!O36</f>
        <v>0</v>
      </c>
      <c r="P36" s="55">
        <f>Місто!P36-'[1]Місто'!P36</f>
        <v>0</v>
      </c>
      <c r="Q36" s="156"/>
      <c r="R36" s="157"/>
      <c r="W36" s="156">
        <f t="shared" si="0"/>
        <v>0</v>
      </c>
    </row>
    <row r="37" spans="1:23" s="54" customFormat="1" ht="25.5">
      <c r="A37" s="98"/>
      <c r="B37" s="98" t="s">
        <v>170</v>
      </c>
      <c r="C37" s="98"/>
      <c r="D37" s="99" t="s">
        <v>127</v>
      </c>
      <c r="E37" s="51">
        <f>Місто!E37-'[1]Місто'!E37</f>
        <v>133773548</v>
      </c>
      <c r="F37" s="51">
        <f>Місто!F37-'[1]Місто'!F37</f>
        <v>133773548</v>
      </c>
      <c r="G37" s="51">
        <f>Місто!G37-'[1]Місто'!G37</f>
        <v>113899079</v>
      </c>
      <c r="H37" s="51">
        <f>Місто!H37-'[1]Місто'!H37</f>
        <v>17784110</v>
      </c>
      <c r="I37" s="51">
        <f>Місто!I37-'[1]Місто'!I37</f>
        <v>0</v>
      </c>
      <c r="J37" s="51">
        <f>Місто!J37-'[1]Місто'!J37</f>
        <v>51531753</v>
      </c>
      <c r="K37" s="51">
        <f>Місто!K37-'[1]Місто'!K37</f>
        <v>-6000</v>
      </c>
      <c r="L37" s="51">
        <f>Місто!L37-'[1]Місто'!L37</f>
        <v>0</v>
      </c>
      <c r="M37" s="51">
        <f>Місто!M37-'[1]Місто'!M37</f>
        <v>0</v>
      </c>
      <c r="N37" s="51">
        <f>Місто!N37-'[1]Місто'!N37</f>
        <v>51537753</v>
      </c>
      <c r="O37" s="51">
        <f>Місто!O37-'[1]Місто'!O37</f>
        <v>51531753</v>
      </c>
      <c r="P37" s="52">
        <f>Місто!P37-'[1]Місто'!P37</f>
        <v>185305301</v>
      </c>
      <c r="Q37" s="53"/>
      <c r="R37" s="53"/>
      <c r="W37" s="53">
        <f t="shared" si="0"/>
        <v>6000</v>
      </c>
    </row>
    <row r="38" spans="1:23" s="57" customFormat="1" ht="12.75">
      <c r="A38" s="42"/>
      <c r="B38" s="42" t="s">
        <v>362</v>
      </c>
      <c r="C38" s="42"/>
      <c r="D38" s="43" t="s">
        <v>363</v>
      </c>
      <c r="E38" s="37">
        <f>Місто!E38-'[1]Місто'!E38</f>
        <v>318440</v>
      </c>
      <c r="F38" s="37">
        <f>Місто!F38-'[1]Місто'!F38</f>
        <v>318440</v>
      </c>
      <c r="G38" s="37">
        <f>Місто!G38-'[1]Місто'!G38</f>
        <v>642919</v>
      </c>
      <c r="H38" s="37">
        <f>Місто!H38-'[1]Місто'!H38</f>
        <v>0</v>
      </c>
      <c r="I38" s="37">
        <f>Місто!I38-'[1]Місто'!I38</f>
        <v>0</v>
      </c>
      <c r="J38" s="38">
        <f>Місто!J38-'[1]Місто'!J38</f>
        <v>90000</v>
      </c>
      <c r="K38" s="37">
        <f>Місто!K38-'[1]Місто'!K38</f>
        <v>0</v>
      </c>
      <c r="L38" s="37">
        <f>Місто!L38-'[1]Місто'!L38</f>
        <v>0</v>
      </c>
      <c r="M38" s="37">
        <f>Місто!M38-'[1]Місто'!M38</f>
        <v>0</v>
      </c>
      <c r="N38" s="37">
        <f>Місто!N38-'[1]Місто'!N38</f>
        <v>90000</v>
      </c>
      <c r="O38" s="37">
        <f>Місто!O38-'[1]Місто'!O38</f>
        <v>90000</v>
      </c>
      <c r="P38" s="55">
        <f>Місто!P38-'[1]Місто'!P38</f>
        <v>408440</v>
      </c>
      <c r="Q38" s="53"/>
      <c r="R38" s="56"/>
      <c r="W38" s="53">
        <f t="shared" si="0"/>
        <v>0</v>
      </c>
    </row>
    <row r="39" spans="1:23" ht="12.75">
      <c r="A39" s="39"/>
      <c r="B39" s="39" t="s">
        <v>249</v>
      </c>
      <c r="C39" s="74" t="s">
        <v>441</v>
      </c>
      <c r="D39" s="58" t="s">
        <v>250</v>
      </c>
      <c r="E39" s="38">
        <f>Місто!E39-'[1]Місто'!E39</f>
        <v>318440</v>
      </c>
      <c r="F39" s="38">
        <f>Місто!F39-'[1]Місто'!F39</f>
        <v>318440</v>
      </c>
      <c r="G39" s="38">
        <f>Місто!G39-'[1]Місто'!G39</f>
        <v>642919</v>
      </c>
      <c r="H39" s="38">
        <f>Місто!H39-'[1]Місто'!H39</f>
        <v>0</v>
      </c>
      <c r="I39" s="38">
        <f>Місто!I39-'[1]Місто'!I39</f>
        <v>0</v>
      </c>
      <c r="J39" s="38">
        <f>Місто!J39-'[1]Місто'!J39</f>
        <v>90000</v>
      </c>
      <c r="K39" s="38">
        <f>Місто!K39-'[1]Місто'!K39</f>
        <v>0</v>
      </c>
      <c r="L39" s="38">
        <f>Місто!L39-'[1]Місто'!L39</f>
        <v>0</v>
      </c>
      <c r="M39" s="38">
        <f>Місто!M39-'[1]Місто'!M39</f>
        <v>0</v>
      </c>
      <c r="N39" s="38">
        <f>Місто!N39-'[1]Місто'!N39</f>
        <v>90000</v>
      </c>
      <c r="O39" s="38">
        <f>Місто!O39-'[1]Місто'!O39</f>
        <v>90000</v>
      </c>
      <c r="P39" s="55">
        <f>Місто!P39-'[1]Місто'!P39</f>
        <v>408440</v>
      </c>
      <c r="Q39" s="53"/>
      <c r="R39" s="59"/>
      <c r="W39" s="53">
        <f t="shared" si="0"/>
        <v>0</v>
      </c>
    </row>
    <row r="40" spans="1:23" ht="12.75">
      <c r="A40" s="39"/>
      <c r="B40" s="39" t="s">
        <v>251</v>
      </c>
      <c r="C40" s="39"/>
      <c r="D40" s="58" t="s">
        <v>252</v>
      </c>
      <c r="E40" s="38">
        <f>Місто!E40-'[1]Місто'!E40</f>
        <v>129414288</v>
      </c>
      <c r="F40" s="38">
        <f>Місто!F40-'[1]Місто'!F40</f>
        <v>129414288</v>
      </c>
      <c r="G40" s="38">
        <f>Місто!G40-'[1]Місто'!G40</f>
        <v>111057070</v>
      </c>
      <c r="H40" s="38">
        <f>Місто!H40-'[1]Місто'!H40</f>
        <v>17784110</v>
      </c>
      <c r="I40" s="38">
        <f>Місто!I40-'[1]Місто'!I40</f>
        <v>0</v>
      </c>
      <c r="J40" s="38">
        <f>Місто!J40-'[1]Місто'!J40</f>
        <v>40850276</v>
      </c>
      <c r="K40" s="38">
        <f>Місто!K40-'[1]Місто'!K40</f>
        <v>0</v>
      </c>
      <c r="L40" s="38">
        <f>Місто!L40-'[1]Місто'!L40</f>
        <v>0</v>
      </c>
      <c r="M40" s="38">
        <f>Місто!M40-'[1]Місто'!M40</f>
        <v>0</v>
      </c>
      <c r="N40" s="38">
        <f>Місто!N40-'[1]Місто'!N40</f>
        <v>40850276</v>
      </c>
      <c r="O40" s="38">
        <f>Місто!O40-'[1]Місто'!O40</f>
        <v>40850276</v>
      </c>
      <c r="P40" s="55">
        <f>Місто!P40-'[1]Місто'!P40</f>
        <v>170264564</v>
      </c>
      <c r="Q40" s="53"/>
      <c r="R40" s="59"/>
      <c r="W40" s="53">
        <f t="shared" si="0"/>
        <v>0</v>
      </c>
    </row>
    <row r="41" spans="1:23" ht="12.75">
      <c r="A41" s="39"/>
      <c r="B41" s="39" t="s">
        <v>294</v>
      </c>
      <c r="C41" s="74" t="s">
        <v>445</v>
      </c>
      <c r="D41" s="62" t="s">
        <v>291</v>
      </c>
      <c r="E41" s="38">
        <f>Місто!E41-'[1]Місто'!E41</f>
        <v>-15249973</v>
      </c>
      <c r="F41" s="150">
        <f>Місто!F41-'[1]Місто'!F41</f>
        <v>-15249973</v>
      </c>
      <c r="G41" s="38">
        <f>Місто!G41-'[1]Місто'!G41</f>
        <v>4698458</v>
      </c>
      <c r="H41" s="38">
        <f>Місто!H41-'[1]Місто'!H41</f>
        <v>0</v>
      </c>
      <c r="I41" s="38">
        <f>Місто!I41-'[1]Місто'!I41</f>
        <v>0</v>
      </c>
      <c r="J41" s="38">
        <f>Місто!J41-'[1]Місто'!J41</f>
        <v>23548642</v>
      </c>
      <c r="K41" s="38">
        <f>Місто!K41-'[1]Місто'!K41</f>
        <v>0</v>
      </c>
      <c r="L41" s="38">
        <f>Місто!L41-'[1]Місто'!L41</f>
        <v>0</v>
      </c>
      <c r="M41" s="38">
        <f>Місто!M41-'[1]Місто'!M41</f>
        <v>0</v>
      </c>
      <c r="N41" s="38">
        <f>Місто!N41-'[1]Місто'!N41</f>
        <v>23548642</v>
      </c>
      <c r="O41" s="76">
        <f>Місто!O41-'[1]Місто'!O41</f>
        <v>23548642</v>
      </c>
      <c r="P41" s="55">
        <f>Місто!P41-'[1]Місто'!P41</f>
        <v>8298669</v>
      </c>
      <c r="Q41" s="53"/>
      <c r="R41" s="59"/>
      <c r="W41" s="53">
        <f t="shared" si="0"/>
        <v>0</v>
      </c>
    </row>
    <row r="42" spans="1:23" ht="45" hidden="1">
      <c r="A42" s="39"/>
      <c r="B42" s="39"/>
      <c r="C42" s="39"/>
      <c r="D42" s="94" t="s">
        <v>118</v>
      </c>
      <c r="E42" s="38">
        <f>Місто!E42-'[1]Місто'!E42</f>
        <v>0</v>
      </c>
      <c r="F42" s="38">
        <f>Місто!F42-'[1]Місто'!F42</f>
        <v>0</v>
      </c>
      <c r="G42" s="38">
        <f>Місто!G42-'[1]Місто'!G42</f>
        <v>0</v>
      </c>
      <c r="H42" s="38">
        <f>Місто!H42-'[1]Місто'!H42</f>
        <v>0</v>
      </c>
      <c r="I42" s="38">
        <f>Місто!I42-'[1]Місто'!I42</f>
        <v>0</v>
      </c>
      <c r="J42" s="38">
        <f>Місто!J42-'[1]Місто'!J42</f>
        <v>0</v>
      </c>
      <c r="K42" s="38">
        <f>Місто!K42-'[1]Місто'!K42</f>
        <v>0</v>
      </c>
      <c r="L42" s="38">
        <f>Місто!L42-'[1]Місто'!L42</f>
        <v>0</v>
      </c>
      <c r="M42" s="38">
        <f>Місто!M42-'[1]Місто'!M42</f>
        <v>0</v>
      </c>
      <c r="N42" s="38">
        <f>Місто!N42-'[1]Місто'!N42</f>
        <v>0</v>
      </c>
      <c r="O42" s="76">
        <f>Місто!O42-'[1]Місто'!O42</f>
        <v>0</v>
      </c>
      <c r="P42" s="55">
        <f>Місто!P42-'[1]Місто'!P42</f>
        <v>0</v>
      </c>
      <c r="Q42" s="53"/>
      <c r="R42" s="59"/>
      <c r="W42" s="53">
        <f t="shared" si="0"/>
        <v>0</v>
      </c>
    </row>
    <row r="43" spans="1:23" ht="51">
      <c r="A43" s="39"/>
      <c r="B43" s="39" t="s">
        <v>253</v>
      </c>
      <c r="C43" s="74" t="s">
        <v>446</v>
      </c>
      <c r="D43" s="75" t="s">
        <v>108</v>
      </c>
      <c r="E43" s="38">
        <f>Місто!E43-'[1]Місто'!E43</f>
        <v>-2680852</v>
      </c>
      <c r="F43" s="76">
        <f>Місто!F43-'[1]Місто'!F43</f>
        <v>-2680852</v>
      </c>
      <c r="G43" s="38">
        <f>Місто!G43-'[1]Місто'!G43</f>
        <v>37200345</v>
      </c>
      <c r="H43" s="38">
        <f>Місто!H43-'[1]Місто'!H43</f>
        <v>0</v>
      </c>
      <c r="I43" s="38">
        <f>Місто!I43-'[1]Місто'!I43</f>
        <v>0</v>
      </c>
      <c r="J43" s="38">
        <f>Місто!J43-'[1]Місто'!J43</f>
        <v>16659824</v>
      </c>
      <c r="K43" s="38">
        <f>Місто!K43-'[1]Місто'!K43</f>
        <v>0</v>
      </c>
      <c r="L43" s="38">
        <f>Місто!L43-'[1]Місто'!L43</f>
        <v>0</v>
      </c>
      <c r="M43" s="38">
        <f>Місто!M43-'[1]Місто'!M43</f>
        <v>0</v>
      </c>
      <c r="N43" s="38">
        <f>Місто!N43-'[1]Місто'!N43</f>
        <v>16659824</v>
      </c>
      <c r="O43" s="38">
        <f>Місто!O43-'[1]Місто'!O43</f>
        <v>16659824</v>
      </c>
      <c r="P43" s="55">
        <f>Місто!P43-'[1]Місто'!P43</f>
        <v>13978972</v>
      </c>
      <c r="Q43" s="53"/>
      <c r="R43" s="59"/>
      <c r="W43" s="53">
        <f t="shared" si="0"/>
        <v>0</v>
      </c>
    </row>
    <row r="44" spans="1:23" ht="45" hidden="1">
      <c r="A44" s="39"/>
      <c r="B44" s="39"/>
      <c r="C44" s="39"/>
      <c r="D44" s="94" t="s">
        <v>118</v>
      </c>
      <c r="E44" s="38">
        <f>Місто!E44-'[1]Місто'!E44</f>
        <v>0</v>
      </c>
      <c r="F44" s="76">
        <f>Місто!F44-'[1]Місто'!F44</f>
        <v>0</v>
      </c>
      <c r="G44" s="38">
        <f>Місто!G44-'[1]Місто'!G44</f>
        <v>0</v>
      </c>
      <c r="H44" s="38">
        <f>Місто!H44-'[1]Місто'!H44</f>
        <v>0</v>
      </c>
      <c r="I44" s="38">
        <f>Місто!I44-'[1]Місто'!I44</f>
        <v>0</v>
      </c>
      <c r="J44" s="38">
        <f>Місто!J44-'[1]Місто'!J44</f>
        <v>0</v>
      </c>
      <c r="K44" s="38">
        <f>Місто!K44-'[1]Місто'!K44</f>
        <v>0</v>
      </c>
      <c r="L44" s="38">
        <f>Місто!L44-'[1]Місто'!L44</f>
        <v>0</v>
      </c>
      <c r="M44" s="38">
        <f>Місто!M44-'[1]Місто'!M44</f>
        <v>0</v>
      </c>
      <c r="N44" s="38">
        <f>Місто!N44-'[1]Місто'!N44</f>
        <v>0</v>
      </c>
      <c r="O44" s="38">
        <f>Місто!O44-'[1]Місто'!O44</f>
        <v>0</v>
      </c>
      <c r="P44" s="55">
        <f>Місто!P44-'[1]Місто'!P44</f>
        <v>0</v>
      </c>
      <c r="Q44" s="53"/>
      <c r="R44" s="59"/>
      <c r="W44" s="53">
        <f t="shared" si="0"/>
        <v>0</v>
      </c>
    </row>
    <row r="45" spans="1:23" ht="12.75">
      <c r="A45" s="39"/>
      <c r="B45" s="39"/>
      <c r="C45" s="39"/>
      <c r="D45" s="94" t="s">
        <v>424</v>
      </c>
      <c r="E45" s="38">
        <f>Місто!E45-'[1]Місто'!E45</f>
        <v>14144034</v>
      </c>
      <c r="F45" s="76">
        <f>Місто!F45-'[1]Місто'!F45</f>
        <v>14144034</v>
      </c>
      <c r="G45" s="38">
        <f>Місто!G45-'[1]Місто'!G45</f>
        <v>42936113</v>
      </c>
      <c r="H45" s="38">
        <f>Місто!H45-'[1]Місто'!H45</f>
        <v>6977201</v>
      </c>
      <c r="I45" s="38">
        <f>Місто!I45-'[1]Місто'!I45</f>
        <v>0</v>
      </c>
      <c r="J45" s="38">
        <f>Місто!J45-'[1]Місто'!J45</f>
        <v>1939524</v>
      </c>
      <c r="K45" s="38">
        <f>Місто!K45-'[1]Місто'!K45</f>
        <v>0</v>
      </c>
      <c r="L45" s="38">
        <f>Місто!L45-'[1]Місто'!L45</f>
        <v>0</v>
      </c>
      <c r="M45" s="38">
        <f>Місто!M45-'[1]Місто'!M45</f>
        <v>0</v>
      </c>
      <c r="N45" s="38">
        <f>Місто!N45-'[1]Місто'!N45</f>
        <v>1939524</v>
      </c>
      <c r="O45" s="38">
        <f>Місто!O45-'[1]Місто'!O45</f>
        <v>1939524</v>
      </c>
      <c r="P45" s="55">
        <f>Місто!P45-'[1]Місто'!P45</f>
        <v>16083558</v>
      </c>
      <c r="Q45" s="53"/>
      <c r="R45" s="59"/>
      <c r="W45" s="53">
        <f t="shared" si="0"/>
        <v>0</v>
      </c>
    </row>
    <row r="46" spans="1:23" ht="12.75">
      <c r="A46" s="87"/>
      <c r="B46" s="87" t="s">
        <v>295</v>
      </c>
      <c r="C46" s="74" t="s">
        <v>446</v>
      </c>
      <c r="D46" s="88" t="s">
        <v>302</v>
      </c>
      <c r="E46" s="38">
        <f>Місто!E46-'[1]Місто'!E46</f>
        <v>-175681</v>
      </c>
      <c r="F46" s="76">
        <f>Місто!F46-'[1]Місто'!F46</f>
        <v>-175681</v>
      </c>
      <c r="G46" s="38">
        <f>Місто!G46-'[1]Місто'!G46</f>
        <v>513249</v>
      </c>
      <c r="H46" s="38">
        <f>Місто!H46-'[1]Місто'!H46</f>
        <v>0</v>
      </c>
      <c r="I46" s="38">
        <f>Місто!I46-'[1]Місто'!I46</f>
        <v>0</v>
      </c>
      <c r="J46" s="38">
        <f>Місто!J46-'[1]Місто'!J46</f>
        <v>0</v>
      </c>
      <c r="K46" s="38">
        <f>Місто!K46-'[1]Місто'!K46</f>
        <v>0</v>
      </c>
      <c r="L46" s="38">
        <f>Місто!L46-'[1]Місто'!L46</f>
        <v>0</v>
      </c>
      <c r="M46" s="38">
        <f>Місто!M46-'[1]Місто'!M46</f>
        <v>0</v>
      </c>
      <c r="N46" s="38">
        <f>Місто!N46-'[1]Місто'!N46</f>
        <v>0</v>
      </c>
      <c r="O46" s="38">
        <f>Місто!O46-'[1]Місто'!O46</f>
        <v>0</v>
      </c>
      <c r="P46" s="55">
        <f>Місто!P46-'[1]Місто'!P46</f>
        <v>-175681</v>
      </c>
      <c r="Q46" s="53"/>
      <c r="R46" s="59"/>
      <c r="W46" s="53">
        <f t="shared" si="0"/>
        <v>0</v>
      </c>
    </row>
    <row r="47" spans="1:23" ht="12.75">
      <c r="A47" s="87"/>
      <c r="B47" s="87"/>
      <c r="C47" s="87"/>
      <c r="D47" s="94" t="s">
        <v>424</v>
      </c>
      <c r="E47" s="38">
        <f>Місто!E47-'[1]Місто'!E47</f>
        <v>-200320</v>
      </c>
      <c r="F47" s="76">
        <f>Місто!F47-'[1]Місто'!F47</f>
        <v>-200320</v>
      </c>
      <c r="G47" s="38">
        <f>Місто!G47-'[1]Місто'!G47</f>
        <v>513249</v>
      </c>
      <c r="H47" s="38">
        <f>Місто!H47-'[1]Місто'!H47</f>
        <v>0</v>
      </c>
      <c r="I47" s="38">
        <f>Місто!I47-'[1]Місто'!I47</f>
        <v>0</v>
      </c>
      <c r="J47" s="38">
        <f>Місто!J47-'[1]Місто'!J47</f>
        <v>0</v>
      </c>
      <c r="K47" s="38">
        <f>Місто!K47-'[1]Місто'!K47</f>
        <v>0</v>
      </c>
      <c r="L47" s="38">
        <f>Місто!L47-'[1]Місто'!L47</f>
        <v>0</v>
      </c>
      <c r="M47" s="38">
        <f>Місто!M47-'[1]Місто'!M47</f>
        <v>0</v>
      </c>
      <c r="N47" s="38">
        <f>Місто!N47-'[1]Місто'!N47</f>
        <v>0</v>
      </c>
      <c r="O47" s="38">
        <f>Місто!O47-'[1]Місто'!O47</f>
        <v>0</v>
      </c>
      <c r="P47" s="55">
        <f>Місто!P47-'[1]Місто'!P47</f>
        <v>-200320</v>
      </c>
      <c r="Q47" s="53"/>
      <c r="R47" s="59"/>
      <c r="W47" s="53">
        <f t="shared" si="0"/>
        <v>0</v>
      </c>
    </row>
    <row r="48" spans="1:23" s="3" customFormat="1" ht="51">
      <c r="A48" s="8"/>
      <c r="B48" s="8" t="s">
        <v>296</v>
      </c>
      <c r="C48" s="8" t="s">
        <v>447</v>
      </c>
      <c r="D48" s="2" t="s">
        <v>297</v>
      </c>
      <c r="E48" s="38">
        <f>Місто!E48-'[1]Місто'!E48</f>
        <v>128857</v>
      </c>
      <c r="F48" s="125">
        <f>Місто!F48-'[1]Місто'!F48</f>
        <v>128857</v>
      </c>
      <c r="G48" s="27">
        <f>Місто!G48-'[1]Місто'!G48</f>
        <v>625436</v>
      </c>
      <c r="H48" s="27">
        <f>Місто!H48-'[1]Місто'!H48</f>
        <v>0</v>
      </c>
      <c r="I48" s="27">
        <f>Місто!I48-'[1]Місто'!I48</f>
        <v>0</v>
      </c>
      <c r="J48" s="27">
        <f>Місто!J48-'[1]Місто'!J48</f>
        <v>0</v>
      </c>
      <c r="K48" s="27">
        <f>Місто!K48-'[1]Місто'!K48</f>
        <v>0</v>
      </c>
      <c r="L48" s="27">
        <f>Місто!L48-'[1]Місто'!L48</f>
        <v>0</v>
      </c>
      <c r="M48" s="27">
        <f>Місто!M48-'[1]Місто'!M48</f>
        <v>0</v>
      </c>
      <c r="N48" s="27">
        <f>Місто!N48-'[1]Місто'!N48</f>
        <v>0</v>
      </c>
      <c r="O48" s="27">
        <f>Місто!O48-'[1]Місто'!O48</f>
        <v>0</v>
      </c>
      <c r="P48" s="26">
        <f>Місто!P48-'[1]Місто'!P48</f>
        <v>128857</v>
      </c>
      <c r="Q48" s="53"/>
      <c r="W48" s="53">
        <f t="shared" si="0"/>
        <v>0</v>
      </c>
    </row>
    <row r="49" spans="1:23" s="3" customFormat="1" ht="12.75">
      <c r="A49" s="8"/>
      <c r="B49" s="8"/>
      <c r="C49" s="8"/>
      <c r="D49" s="94" t="s">
        <v>424</v>
      </c>
      <c r="E49" s="38">
        <f>Місто!E49-'[1]Місто'!E49</f>
        <v>128857</v>
      </c>
      <c r="F49" s="125">
        <f>Місто!F49-'[1]Місто'!F49</f>
        <v>128857</v>
      </c>
      <c r="G49" s="27">
        <f>Місто!G49-'[1]Місто'!G49</f>
        <v>625436</v>
      </c>
      <c r="H49" s="27">
        <f>Місто!H49-'[1]Місто'!H49</f>
        <v>0</v>
      </c>
      <c r="I49" s="27">
        <f>Місто!I49-'[1]Місто'!I49</f>
        <v>0</v>
      </c>
      <c r="J49" s="27">
        <f>Місто!J49-'[1]Місто'!J49</f>
        <v>0</v>
      </c>
      <c r="K49" s="27">
        <f>Місто!K49-'[1]Місто'!K49</f>
        <v>0</v>
      </c>
      <c r="L49" s="27">
        <f>Місто!L49-'[1]Місто'!L49</f>
        <v>0</v>
      </c>
      <c r="M49" s="27">
        <f>Місто!M49-'[1]Місто'!M49</f>
        <v>0</v>
      </c>
      <c r="N49" s="27">
        <f>Місто!N49-'[1]Місто'!N49</f>
        <v>0</v>
      </c>
      <c r="O49" s="27">
        <f>Місто!O49-'[1]Місто'!O49</f>
        <v>0</v>
      </c>
      <c r="P49" s="26">
        <f>Місто!P49-'[1]Місто'!P49</f>
        <v>128857</v>
      </c>
      <c r="Q49" s="53"/>
      <c r="W49" s="53">
        <f t="shared" si="0"/>
        <v>0</v>
      </c>
    </row>
    <row r="50" spans="1:23" ht="25.5">
      <c r="A50" s="127"/>
      <c r="B50" s="127" t="s">
        <v>254</v>
      </c>
      <c r="C50" s="86" t="s">
        <v>448</v>
      </c>
      <c r="D50" s="58" t="s">
        <v>255</v>
      </c>
      <c r="E50" s="38">
        <f>Місто!E50-'[1]Місто'!E50</f>
        <v>-1652510</v>
      </c>
      <c r="F50" s="76">
        <f>Місто!F50-'[1]Місто'!F50</f>
        <v>-1652510</v>
      </c>
      <c r="G50" s="38">
        <f>Місто!G50-'[1]Місто'!G50</f>
        <v>864073</v>
      </c>
      <c r="H50" s="38">
        <f>Місто!H50-'[1]Місто'!H50</f>
        <v>0</v>
      </c>
      <c r="I50" s="38">
        <f>Місто!I50-'[1]Місто'!I50</f>
        <v>0</v>
      </c>
      <c r="J50" s="38">
        <f>Місто!J50-'[1]Місто'!J50</f>
        <v>10900</v>
      </c>
      <c r="K50" s="38">
        <f>Місто!K50-'[1]Місто'!K50</f>
        <v>0</v>
      </c>
      <c r="L50" s="38">
        <f>Місто!L50-'[1]Місто'!L50</f>
        <v>0</v>
      </c>
      <c r="M50" s="38">
        <f>Місто!M50-'[1]Місто'!M50</f>
        <v>0</v>
      </c>
      <c r="N50" s="38">
        <f>Місто!N50-'[1]Місто'!N50</f>
        <v>10900</v>
      </c>
      <c r="O50" s="38">
        <f>Місто!O50-'[1]Місто'!O50</f>
        <v>10900</v>
      </c>
      <c r="P50" s="55">
        <f>Місто!P50-'[1]Місто'!P50</f>
        <v>-1641610</v>
      </c>
      <c r="Q50" s="53"/>
      <c r="R50" s="59"/>
      <c r="W50" s="53">
        <f t="shared" si="0"/>
        <v>0</v>
      </c>
    </row>
    <row r="51" spans="1:23" ht="45" hidden="1">
      <c r="A51" s="39"/>
      <c r="B51" s="39"/>
      <c r="C51" s="39"/>
      <c r="D51" s="94" t="s">
        <v>118</v>
      </c>
      <c r="E51" s="38">
        <f>Місто!E51-'[1]Місто'!E51</f>
        <v>0</v>
      </c>
      <c r="F51" s="76">
        <f>Місто!F51-'[1]Місто'!F51</f>
        <v>0</v>
      </c>
      <c r="G51" s="38">
        <f>Місто!G51-'[1]Місто'!G51</f>
        <v>0</v>
      </c>
      <c r="H51" s="38">
        <f>Місто!H51-'[1]Місто'!H51</f>
        <v>0</v>
      </c>
      <c r="I51" s="38">
        <f>Місто!I51-'[1]Місто'!I51</f>
        <v>0</v>
      </c>
      <c r="J51" s="38">
        <f>Місто!J51-'[1]Місто'!J51</f>
        <v>0</v>
      </c>
      <c r="K51" s="38">
        <f>Місто!K51-'[1]Місто'!K51</f>
        <v>0</v>
      </c>
      <c r="L51" s="38">
        <f>Місто!L51-'[1]Місто'!L51</f>
        <v>0</v>
      </c>
      <c r="M51" s="38">
        <f>Місто!M51-'[1]Місто'!M51</f>
        <v>0</v>
      </c>
      <c r="N51" s="38">
        <f>Місто!N51-'[1]Місто'!N51</f>
        <v>0</v>
      </c>
      <c r="O51" s="38">
        <f>Місто!O51-'[1]Місто'!O51</f>
        <v>0</v>
      </c>
      <c r="P51" s="55">
        <f>Місто!P51-'[1]Місто'!P51</f>
        <v>0</v>
      </c>
      <c r="Q51" s="53"/>
      <c r="R51" s="59"/>
      <c r="W51" s="53">
        <f t="shared" si="0"/>
        <v>0</v>
      </c>
    </row>
    <row r="52" spans="1:23" ht="12.75">
      <c r="A52" s="39"/>
      <c r="B52" s="74" t="s">
        <v>39</v>
      </c>
      <c r="C52" s="74" t="s">
        <v>40</v>
      </c>
      <c r="D52" s="75" t="s">
        <v>41</v>
      </c>
      <c r="E52" s="38">
        <f>Місто!E52</f>
        <v>150422467</v>
      </c>
      <c r="F52" s="38">
        <f>Місто!F52</f>
        <v>150422467</v>
      </c>
      <c r="G52" s="38">
        <f>Місто!G52</f>
        <v>66278250</v>
      </c>
      <c r="H52" s="38">
        <f>Місто!H52</f>
        <v>17784110</v>
      </c>
      <c r="I52" s="38">
        <f>Місто!I52</f>
        <v>0</v>
      </c>
      <c r="J52" s="38">
        <f>Місто!J52</f>
        <v>32000</v>
      </c>
      <c r="K52" s="38">
        <f>Місто!K52</f>
        <v>0</v>
      </c>
      <c r="L52" s="38">
        <f>Місто!L52</f>
        <v>0</v>
      </c>
      <c r="M52" s="38">
        <f>Місто!M52</f>
        <v>0</v>
      </c>
      <c r="N52" s="38">
        <f>Місто!N52</f>
        <v>32000</v>
      </c>
      <c r="O52" s="38">
        <f>Місто!O52</f>
        <v>32000</v>
      </c>
      <c r="P52" s="55">
        <f>Місто!P52</f>
        <v>150454467</v>
      </c>
      <c r="Q52" s="53">
        <f>Місто!Q52</f>
        <v>0</v>
      </c>
      <c r="R52" s="59">
        <f>Місто!R52</f>
        <v>0</v>
      </c>
      <c r="S52" s="45">
        <f>Місто!S52</f>
        <v>0</v>
      </c>
      <c r="T52" s="45">
        <f>Місто!T52</f>
        <v>0</v>
      </c>
      <c r="U52" s="45">
        <f>Місто!U52</f>
        <v>0</v>
      </c>
      <c r="V52" s="45">
        <f>Місто!V52</f>
        <v>0</v>
      </c>
      <c r="W52" s="53"/>
    </row>
    <row r="53" spans="1:23" ht="25.5">
      <c r="A53" s="39"/>
      <c r="B53" s="39" t="s">
        <v>256</v>
      </c>
      <c r="C53" s="74" t="s">
        <v>449</v>
      </c>
      <c r="D53" s="75" t="s">
        <v>345</v>
      </c>
      <c r="E53" s="38">
        <f>Місто!E55-'[1]Місто'!E52</f>
        <v>-80504</v>
      </c>
      <c r="F53" s="76">
        <f>Місто!F55-'[1]Місто'!F52</f>
        <v>-80504</v>
      </c>
      <c r="G53" s="38">
        <f>Місто!G55-'[1]Місто'!G52</f>
        <v>262929</v>
      </c>
      <c r="H53" s="38">
        <f>Місто!H55-'[1]Місто'!H52</f>
        <v>0</v>
      </c>
      <c r="I53" s="38">
        <f>Місто!I55-'[1]Місто'!I52</f>
        <v>0</v>
      </c>
      <c r="J53" s="38">
        <f>Місто!J55-'[1]Місто'!J52</f>
        <v>0</v>
      </c>
      <c r="K53" s="38">
        <f>Місто!K55-'[1]Місто'!K52</f>
        <v>0</v>
      </c>
      <c r="L53" s="38">
        <f>Місто!L55-'[1]Місто'!L52</f>
        <v>0</v>
      </c>
      <c r="M53" s="38">
        <f>Місто!M55-'[1]Місто'!M52</f>
        <v>0</v>
      </c>
      <c r="N53" s="38">
        <f>Місто!N55-'[1]Місто'!N52</f>
        <v>0</v>
      </c>
      <c r="O53" s="38">
        <f>Місто!O55-'[1]Місто'!O52</f>
        <v>0</v>
      </c>
      <c r="P53" s="55">
        <f>Місто!P55-'[1]Місто'!P52</f>
        <v>-80504</v>
      </c>
      <c r="Q53" s="53"/>
      <c r="R53" s="59"/>
      <c r="W53" s="53">
        <f t="shared" si="0"/>
        <v>0</v>
      </c>
    </row>
    <row r="54" spans="1:23" ht="25.5">
      <c r="A54" s="39"/>
      <c r="B54" s="39" t="s">
        <v>87</v>
      </c>
      <c r="C54" s="74" t="s">
        <v>449</v>
      </c>
      <c r="D54" s="68" t="s">
        <v>64</v>
      </c>
      <c r="E54" s="38">
        <f>Місто!E56-'[1]Місто'!E53</f>
        <v>-21070</v>
      </c>
      <c r="F54" s="38">
        <f>Місто!F56-'[1]Місто'!F53</f>
        <v>-21070</v>
      </c>
      <c r="G54" s="38">
        <f>Місто!G56-'[1]Місто'!G53</f>
        <v>29104</v>
      </c>
      <c r="H54" s="38">
        <f>Місто!H56-'[1]Місто'!H53</f>
        <v>0</v>
      </c>
      <c r="I54" s="38">
        <f>Місто!I56-'[1]Місто'!I53</f>
        <v>0</v>
      </c>
      <c r="J54" s="38">
        <f>Місто!J56-'[1]Місто'!J53</f>
        <v>0</v>
      </c>
      <c r="K54" s="38">
        <f>Місто!K56-'[1]Місто'!K53</f>
        <v>0</v>
      </c>
      <c r="L54" s="38">
        <f>Місто!L56-'[1]Місто'!L53</f>
        <v>0</v>
      </c>
      <c r="M54" s="38">
        <f>Місто!M56-'[1]Місто'!M53</f>
        <v>0</v>
      </c>
      <c r="N54" s="38">
        <f>Місто!N56-'[1]Місто'!N53</f>
        <v>0</v>
      </c>
      <c r="O54" s="38">
        <f>Місто!O56-'[1]Місто'!O53</f>
        <v>0</v>
      </c>
      <c r="P54" s="55">
        <f>Місто!P56-'[1]Місто'!P53</f>
        <v>-21070</v>
      </c>
      <c r="Q54" s="53"/>
      <c r="R54" s="59"/>
      <c r="W54" s="53">
        <f t="shared" si="0"/>
        <v>0</v>
      </c>
    </row>
    <row r="55" spans="1:23" ht="25.5">
      <c r="A55" s="39"/>
      <c r="B55" s="39" t="s">
        <v>257</v>
      </c>
      <c r="C55" s="74" t="s">
        <v>449</v>
      </c>
      <c r="D55" s="36" t="s">
        <v>346</v>
      </c>
      <c r="E55" s="38">
        <f>Місто!E57-'[1]Місто'!E54</f>
        <v>-941025</v>
      </c>
      <c r="F55" s="76">
        <f>Місто!F57-'[1]Місто'!F54</f>
        <v>-941025</v>
      </c>
      <c r="G55" s="38">
        <f>Місто!G57-'[1]Місто'!G54</f>
        <v>321595</v>
      </c>
      <c r="H55" s="38">
        <f>Місто!H57-'[1]Місто'!H54</f>
        <v>0</v>
      </c>
      <c r="I55" s="38">
        <f>Місто!I57-'[1]Місто'!I54</f>
        <v>0</v>
      </c>
      <c r="J55" s="38">
        <f>Місто!J57-'[1]Місто'!J54</f>
        <v>598910</v>
      </c>
      <c r="K55" s="38">
        <f>Місто!K57-'[1]Місто'!K54</f>
        <v>0</v>
      </c>
      <c r="L55" s="38">
        <f>Місто!L57-'[1]Місто'!L54</f>
        <v>0</v>
      </c>
      <c r="M55" s="38">
        <f>Місто!M57-'[1]Місто'!M54</f>
        <v>0</v>
      </c>
      <c r="N55" s="38">
        <f>Місто!N57-'[1]Місто'!N54</f>
        <v>598910</v>
      </c>
      <c r="O55" s="38">
        <f>Місто!O57-'[1]Місто'!O54</f>
        <v>598910</v>
      </c>
      <c r="P55" s="55">
        <f>Місто!P57-'[1]Місто'!P54</f>
        <v>-342115</v>
      </c>
      <c r="Q55" s="53"/>
      <c r="R55" s="59"/>
      <c r="W55" s="53">
        <f t="shared" si="0"/>
        <v>0</v>
      </c>
    </row>
    <row r="56" spans="1:23" ht="25.5">
      <c r="A56" s="39"/>
      <c r="B56" s="39" t="s">
        <v>258</v>
      </c>
      <c r="C56" s="74" t="s">
        <v>449</v>
      </c>
      <c r="D56" s="68" t="s">
        <v>347</v>
      </c>
      <c r="E56" s="38">
        <f>Місто!E58-'[1]Місто'!E55</f>
        <v>-125948</v>
      </c>
      <c r="F56" s="38">
        <f>Місто!F58-'[1]Місто'!F55</f>
        <v>-125948</v>
      </c>
      <c r="G56" s="38">
        <f>Місто!G58-'[1]Місто'!G55</f>
        <v>29722</v>
      </c>
      <c r="H56" s="38">
        <f>Місто!H58-'[1]Місто'!H55</f>
        <v>0</v>
      </c>
      <c r="I56" s="38">
        <f>Місто!I58-'[1]Місто'!I55</f>
        <v>0</v>
      </c>
      <c r="J56" s="38">
        <f>Місто!J58-'[1]Місто'!J55</f>
        <v>0</v>
      </c>
      <c r="K56" s="38">
        <f>Місто!K58-'[1]Місто'!K55</f>
        <v>0</v>
      </c>
      <c r="L56" s="38">
        <f>Місто!L58-'[1]Місто'!L55</f>
        <v>0</v>
      </c>
      <c r="M56" s="38">
        <f>Місто!M58-'[1]Місто'!M55</f>
        <v>0</v>
      </c>
      <c r="N56" s="38">
        <f>Місто!N58-'[1]Місто'!N55</f>
        <v>0</v>
      </c>
      <c r="O56" s="38">
        <f>Місто!O58-'[1]Місто'!O55</f>
        <v>0</v>
      </c>
      <c r="P56" s="55">
        <f>Місто!P58-'[1]Місто'!P55</f>
        <v>-125948</v>
      </c>
      <c r="Q56" s="53"/>
      <c r="R56" s="59"/>
      <c r="W56" s="53">
        <f t="shared" si="0"/>
        <v>0</v>
      </c>
    </row>
    <row r="57" spans="1:23" ht="12.75">
      <c r="A57" s="74"/>
      <c r="B57" s="74" t="s">
        <v>103</v>
      </c>
      <c r="C57" s="74" t="s">
        <v>449</v>
      </c>
      <c r="D57" s="68" t="s">
        <v>104</v>
      </c>
      <c r="E57" s="38">
        <f>Місто!E59-'[1]Місто'!E56</f>
        <v>-209473</v>
      </c>
      <c r="F57" s="38">
        <f>Місто!F59-'[1]Місто'!F56</f>
        <v>-209473</v>
      </c>
      <c r="G57" s="38">
        <f>Місто!G59-'[1]Місто'!G56</f>
        <v>233909</v>
      </c>
      <c r="H57" s="38">
        <f>Місто!H59-'[1]Місто'!H56</f>
        <v>0</v>
      </c>
      <c r="I57" s="38">
        <f>Місто!I59-'[1]Місто'!I56</f>
        <v>0</v>
      </c>
      <c r="J57" s="38">
        <f>Місто!J59-'[1]Місто'!J56</f>
        <v>0</v>
      </c>
      <c r="K57" s="38">
        <f>Місто!K59-'[1]Місто'!K56</f>
        <v>0</v>
      </c>
      <c r="L57" s="38">
        <f>Місто!L59-'[1]Місто'!L56</f>
        <v>0</v>
      </c>
      <c r="M57" s="38">
        <f>Місто!M59-'[1]Місто'!M56</f>
        <v>0</v>
      </c>
      <c r="N57" s="38">
        <f>Місто!N59-'[1]Місто'!N56</f>
        <v>0</v>
      </c>
      <c r="O57" s="38">
        <f>Місто!O59-'[1]Місто'!O56</f>
        <v>0</v>
      </c>
      <c r="P57" s="55">
        <f>Місто!P59-'[1]Місто'!P56</f>
        <v>-209473</v>
      </c>
      <c r="Q57" s="53"/>
      <c r="R57" s="59"/>
      <c r="W57" s="53">
        <f t="shared" si="0"/>
        <v>0</v>
      </c>
    </row>
    <row r="58" spans="1:23" ht="43.5" customHeight="1">
      <c r="A58" s="39"/>
      <c r="B58" s="39" t="s">
        <v>75</v>
      </c>
      <c r="C58" s="74" t="s">
        <v>449</v>
      </c>
      <c r="D58" s="36" t="s">
        <v>76</v>
      </c>
      <c r="E58" s="38">
        <f>Місто!E60-'[1]Місто'!E57</f>
        <v>0</v>
      </c>
      <c r="F58" s="38">
        <f>Місто!F60-'[1]Місто'!F57</f>
        <v>0</v>
      </c>
      <c r="G58" s="38">
        <f>Місто!G60-'[1]Місто'!G57</f>
        <v>0</v>
      </c>
      <c r="H58" s="38">
        <f>Місто!H60-'[1]Місто'!H57</f>
        <v>0</v>
      </c>
      <c r="I58" s="38">
        <f>Місто!I60-'[1]Місто'!I57</f>
        <v>0</v>
      </c>
      <c r="J58" s="38">
        <f>Місто!J60-'[1]Місто'!J57</f>
        <v>0</v>
      </c>
      <c r="K58" s="38">
        <f>Місто!K60-'[1]Місто'!K57</f>
        <v>0</v>
      </c>
      <c r="L58" s="38">
        <f>Місто!L60-'[1]Місто'!L57</f>
        <v>0</v>
      </c>
      <c r="M58" s="38">
        <f>Місто!M60-'[1]Місто'!M57</f>
        <v>0</v>
      </c>
      <c r="N58" s="38">
        <f>Місто!N60-'[1]Місто'!N57</f>
        <v>0</v>
      </c>
      <c r="O58" s="38">
        <f>Місто!O60-'[1]Місто'!O57</f>
        <v>0</v>
      </c>
      <c r="P58" s="55">
        <f>Місто!P60-'[1]Місто'!P57</f>
        <v>0</v>
      </c>
      <c r="Q58" s="53"/>
      <c r="R58" s="59"/>
      <c r="W58" s="53">
        <f t="shared" si="0"/>
        <v>0</v>
      </c>
    </row>
    <row r="59" spans="1:23" ht="102" hidden="1">
      <c r="A59" s="39"/>
      <c r="B59" s="39" t="s">
        <v>83</v>
      </c>
      <c r="C59" s="39"/>
      <c r="D59" s="36" t="s">
        <v>84</v>
      </c>
      <c r="E59" s="38">
        <f>Місто!E61-'[1]Місто'!E58</f>
        <v>0</v>
      </c>
      <c r="F59" s="38">
        <f>Місто!F61-'[1]Місто'!F58</f>
        <v>0</v>
      </c>
      <c r="G59" s="38">
        <f>Місто!G61-'[1]Місто'!G58</f>
        <v>0</v>
      </c>
      <c r="H59" s="38">
        <f>Місто!H61-'[1]Місто'!H58</f>
        <v>0</v>
      </c>
      <c r="I59" s="38">
        <f>Місто!I61-'[1]Місто'!I58</f>
        <v>0</v>
      </c>
      <c r="J59" s="38">
        <f>Місто!J61-'[1]Місто'!J58</f>
        <v>0</v>
      </c>
      <c r="K59" s="38">
        <f>Місто!K61-'[1]Місто'!K58</f>
        <v>0</v>
      </c>
      <c r="L59" s="38">
        <f>Місто!L61-'[1]Місто'!L58</f>
        <v>0</v>
      </c>
      <c r="M59" s="38">
        <f>Місто!M61-'[1]Місто'!M58</f>
        <v>0</v>
      </c>
      <c r="N59" s="38">
        <f>Місто!N61-'[1]Місто'!N58</f>
        <v>0</v>
      </c>
      <c r="O59" s="38">
        <f>Місто!O61-'[1]Місто'!O58</f>
        <v>0</v>
      </c>
      <c r="P59" s="55">
        <f>Місто!P61-'[1]Місто'!P58</f>
        <v>0</v>
      </c>
      <c r="Q59" s="53"/>
      <c r="R59" s="59"/>
      <c r="W59" s="53">
        <f t="shared" si="0"/>
        <v>0</v>
      </c>
    </row>
    <row r="60" spans="1:23" ht="25.5" hidden="1">
      <c r="A60" s="39"/>
      <c r="B60" s="39"/>
      <c r="C60" s="39"/>
      <c r="D60" s="36" t="s">
        <v>381</v>
      </c>
      <c r="E60" s="38">
        <f>Місто!E62-'[1]Місто'!E59</f>
        <v>0</v>
      </c>
      <c r="F60" s="38">
        <f>Місто!F62-'[1]Місто'!F59</f>
        <v>0</v>
      </c>
      <c r="G60" s="38">
        <f>Місто!G62-'[1]Місто'!G59</f>
        <v>0</v>
      </c>
      <c r="H60" s="38">
        <f>Місто!H62-'[1]Місто'!H59</f>
        <v>0</v>
      </c>
      <c r="I60" s="38">
        <f>Місто!I62-'[1]Місто'!I59</f>
        <v>0</v>
      </c>
      <c r="J60" s="38">
        <f>Місто!J62-'[1]Місто'!J59</f>
        <v>0</v>
      </c>
      <c r="K60" s="38">
        <f>Місто!K62-'[1]Місто'!K59</f>
        <v>0</v>
      </c>
      <c r="L60" s="38">
        <f>Місто!L62-'[1]Місто'!L59</f>
        <v>0</v>
      </c>
      <c r="M60" s="38">
        <f>Місто!M62-'[1]Місто'!M59</f>
        <v>0</v>
      </c>
      <c r="N60" s="38">
        <f>Місто!N62-'[1]Місто'!N59</f>
        <v>0</v>
      </c>
      <c r="O60" s="38">
        <f>Місто!O62-'[1]Місто'!O59</f>
        <v>0</v>
      </c>
      <c r="P60" s="55">
        <f>Місто!P62-'[1]Місто'!P59</f>
        <v>0</v>
      </c>
      <c r="Q60" s="53"/>
      <c r="R60" s="59"/>
      <c r="W60" s="53">
        <f t="shared" si="0"/>
        <v>0</v>
      </c>
    </row>
    <row r="61" spans="1:23" ht="25.5">
      <c r="A61" s="39"/>
      <c r="B61" s="39" t="s">
        <v>271</v>
      </c>
      <c r="C61" s="39"/>
      <c r="D61" s="36" t="s">
        <v>317</v>
      </c>
      <c r="E61" s="38">
        <f>Місто!E63-'[1]Місто'!E60</f>
        <v>61873</v>
      </c>
      <c r="F61" s="38">
        <f>Місто!F63-'[1]Місто'!F60</f>
        <v>61873</v>
      </c>
      <c r="G61" s="38">
        <f>Місто!G63-'[1]Місто'!G60</f>
        <v>50716</v>
      </c>
      <c r="H61" s="38">
        <f>Місто!H63-'[1]Місто'!H60</f>
        <v>0</v>
      </c>
      <c r="I61" s="38">
        <f>Місто!I63-'[1]Місто'!I60</f>
        <v>0</v>
      </c>
      <c r="J61" s="38">
        <f>Місто!J63-'[1]Місто'!J60</f>
        <v>0</v>
      </c>
      <c r="K61" s="38">
        <f>Місто!K63-'[1]Місто'!K60</f>
        <v>0</v>
      </c>
      <c r="L61" s="38">
        <f>Місто!L63-'[1]Місто'!L60</f>
        <v>0</v>
      </c>
      <c r="M61" s="38">
        <f>Місто!M63-'[1]Місто'!M60</f>
        <v>0</v>
      </c>
      <c r="N61" s="38">
        <f>Місто!N63-'[1]Місто'!N60</f>
        <v>0</v>
      </c>
      <c r="O61" s="38">
        <f>Місто!O63-'[1]Місто'!O60</f>
        <v>0</v>
      </c>
      <c r="P61" s="55">
        <f>Місто!P63-'[1]Місто'!P60</f>
        <v>61873</v>
      </c>
      <c r="Q61" s="53"/>
      <c r="R61" s="59"/>
      <c r="W61" s="53">
        <f t="shared" si="0"/>
        <v>0</v>
      </c>
    </row>
    <row r="62" spans="1:23" ht="25.5" hidden="1">
      <c r="A62" s="39"/>
      <c r="B62" s="39" t="s">
        <v>343</v>
      </c>
      <c r="C62" s="39"/>
      <c r="D62" s="60" t="s">
        <v>74</v>
      </c>
      <c r="E62" s="38">
        <f>Місто!E65-'[1]Місто'!E61</f>
        <v>0</v>
      </c>
      <c r="F62" s="38">
        <f>Місто!F65-'[1]Місто'!F61</f>
        <v>0</v>
      </c>
      <c r="G62" s="38">
        <f>Місто!G65-'[1]Місто'!G61</f>
        <v>0</v>
      </c>
      <c r="H62" s="38">
        <f>Місто!H65-'[1]Місто'!H61</f>
        <v>0</v>
      </c>
      <c r="I62" s="38">
        <f>Місто!I65-'[1]Місто'!I61</f>
        <v>0</v>
      </c>
      <c r="J62" s="38">
        <f>Місто!J65-'[1]Місто'!J61</f>
        <v>0</v>
      </c>
      <c r="K62" s="38">
        <f>Місто!K65-'[1]Місто'!K61</f>
        <v>0</v>
      </c>
      <c r="L62" s="38">
        <f>Місто!L65-'[1]Місто'!L61</f>
        <v>0</v>
      </c>
      <c r="M62" s="38">
        <f>Місто!M65-'[1]Місто'!M61</f>
        <v>0</v>
      </c>
      <c r="N62" s="124">
        <f>Місто!N65-'[1]Місто'!N61</f>
        <v>0</v>
      </c>
      <c r="O62" s="124">
        <f>Місто!O65-'[1]Місто'!O61</f>
        <v>0</v>
      </c>
      <c r="P62" s="55">
        <f>Місто!P65-'[1]Місто'!P61</f>
        <v>0</v>
      </c>
      <c r="Q62" s="53"/>
      <c r="R62" s="59"/>
      <c r="W62" s="53">
        <f t="shared" si="0"/>
        <v>0</v>
      </c>
    </row>
    <row r="63" spans="1:23" ht="25.5" hidden="1">
      <c r="A63" s="39"/>
      <c r="B63" s="39" t="s">
        <v>344</v>
      </c>
      <c r="C63" s="39"/>
      <c r="D63" s="60" t="s">
        <v>80</v>
      </c>
      <c r="E63" s="38">
        <f>Місто!E66-'[1]Місто'!E62</f>
        <v>0</v>
      </c>
      <c r="F63" s="38">
        <f>Місто!F66-'[1]Місто'!F62</f>
        <v>0</v>
      </c>
      <c r="G63" s="38">
        <f>Місто!G66-'[1]Місто'!G62</f>
        <v>0</v>
      </c>
      <c r="H63" s="38">
        <f>Місто!H66-'[1]Місто'!H62</f>
        <v>0</v>
      </c>
      <c r="I63" s="38">
        <f>Місто!I66-'[1]Місто'!I62</f>
        <v>0</v>
      </c>
      <c r="J63" s="38">
        <f>Місто!J66-'[1]Місто'!J62</f>
        <v>0</v>
      </c>
      <c r="K63" s="38">
        <f>Місто!K66-'[1]Місто'!K62</f>
        <v>0</v>
      </c>
      <c r="L63" s="38">
        <f>Місто!L66-'[1]Місто'!L62</f>
        <v>0</v>
      </c>
      <c r="M63" s="38">
        <f>Місто!M66-'[1]Місто'!M62</f>
        <v>0</v>
      </c>
      <c r="N63" s="38">
        <f>Місто!N66-'[1]Місто'!N62</f>
        <v>0</v>
      </c>
      <c r="O63" s="38">
        <f>Місто!O66-'[1]Місто'!O62</f>
        <v>0</v>
      </c>
      <c r="P63" s="55">
        <f>Місто!P66-'[1]Місто'!P62</f>
        <v>0</v>
      </c>
      <c r="Q63" s="53"/>
      <c r="R63" s="59"/>
      <c r="W63" s="53">
        <f t="shared" si="0"/>
        <v>0</v>
      </c>
    </row>
    <row r="64" spans="1:23" ht="25.5">
      <c r="A64" s="39"/>
      <c r="B64" s="39" t="s">
        <v>273</v>
      </c>
      <c r="C64" s="74" t="s">
        <v>450</v>
      </c>
      <c r="D64" s="60" t="s">
        <v>382</v>
      </c>
      <c r="E64" s="38">
        <f>Місто!E67-'[1]Місто'!E63</f>
        <v>0</v>
      </c>
      <c r="F64" s="38">
        <f>Місто!F67-'[1]Місто'!F63</f>
        <v>0</v>
      </c>
      <c r="G64" s="38">
        <f>Місто!G67-'[1]Місто'!G63</f>
        <v>0</v>
      </c>
      <c r="H64" s="38">
        <f>Місто!H67-'[1]Місто'!H63</f>
        <v>0</v>
      </c>
      <c r="I64" s="38">
        <f>Місто!I67-'[1]Місто'!I63</f>
        <v>0</v>
      </c>
      <c r="J64" s="38">
        <f>Місто!J67-'[1]Місто'!J63</f>
        <v>0</v>
      </c>
      <c r="K64" s="38">
        <f>Місто!K67-'[1]Місто'!K63</f>
        <v>0</v>
      </c>
      <c r="L64" s="38">
        <f>Місто!L67-'[1]Місто'!L63</f>
        <v>0</v>
      </c>
      <c r="M64" s="38">
        <f>Місто!M67-'[1]Місто'!M63</f>
        <v>0</v>
      </c>
      <c r="N64" s="38">
        <f>Місто!N67-'[1]Місто'!N63</f>
        <v>0</v>
      </c>
      <c r="O64" s="38">
        <f>Місто!O67-'[1]Місто'!O63</f>
        <v>0</v>
      </c>
      <c r="P64" s="55">
        <f>Місто!P67-'[1]Місто'!P63</f>
        <v>0</v>
      </c>
      <c r="Q64" s="53"/>
      <c r="R64" s="59"/>
      <c r="W64" s="53">
        <f t="shared" si="0"/>
        <v>0</v>
      </c>
    </row>
    <row r="65" spans="1:23" ht="76.5">
      <c r="A65" s="39"/>
      <c r="B65" s="39" t="s">
        <v>356</v>
      </c>
      <c r="C65" s="74" t="s">
        <v>450</v>
      </c>
      <c r="D65" s="36" t="s">
        <v>88</v>
      </c>
      <c r="E65" s="38">
        <f>Місто!E68-'[1]Місто'!E64</f>
        <v>0</v>
      </c>
      <c r="F65" s="38">
        <f>Місто!F68-'[1]Місто'!F64</f>
        <v>0</v>
      </c>
      <c r="G65" s="38">
        <f>Місто!G68-'[1]Місто'!G64</f>
        <v>0</v>
      </c>
      <c r="H65" s="38">
        <f>Місто!H68-'[1]Місто'!H64</f>
        <v>0</v>
      </c>
      <c r="I65" s="38">
        <f>Місто!I68-'[1]Місто'!I64</f>
        <v>0</v>
      </c>
      <c r="J65" s="38">
        <f>Місто!J68-'[1]Місто'!J64</f>
        <v>0</v>
      </c>
      <c r="K65" s="38">
        <f>Місто!K68-'[1]Місто'!K64</f>
        <v>0</v>
      </c>
      <c r="L65" s="38">
        <f>Місто!L68-'[1]Місто'!L64</f>
        <v>0</v>
      </c>
      <c r="M65" s="38">
        <f>Місто!M68-'[1]Місто'!M64</f>
        <v>0</v>
      </c>
      <c r="N65" s="38">
        <f>Місто!N68-'[1]Місто'!N64</f>
        <v>0</v>
      </c>
      <c r="O65" s="38">
        <f>Місто!O68-'[1]Місто'!O64</f>
        <v>0</v>
      </c>
      <c r="P65" s="55">
        <f>Місто!P68-'[1]Місто'!P64</f>
        <v>0</v>
      </c>
      <c r="Q65" s="53"/>
      <c r="R65" s="59"/>
      <c r="W65" s="53">
        <f t="shared" si="0"/>
        <v>0</v>
      </c>
    </row>
    <row r="66" spans="1:23" ht="12.75">
      <c r="A66" s="39"/>
      <c r="B66" s="39" t="s">
        <v>378</v>
      </c>
      <c r="C66" s="39"/>
      <c r="D66" s="36" t="s">
        <v>292</v>
      </c>
      <c r="E66" s="38">
        <f>Місто!E69-'[1]Місто'!E65</f>
        <v>3866947</v>
      </c>
      <c r="F66" s="38">
        <f>Місто!F69-'[1]Місто'!F65</f>
        <v>3866947</v>
      </c>
      <c r="G66" s="38">
        <f>Місто!G69-'[1]Місто'!G65</f>
        <v>2148374</v>
      </c>
      <c r="H66" s="38">
        <f>Місто!H69-'[1]Місто'!H65</f>
        <v>0</v>
      </c>
      <c r="I66" s="38">
        <f>Місто!I69-'[1]Місто'!I65</f>
        <v>0</v>
      </c>
      <c r="J66" s="38">
        <f>Місто!J69-'[1]Місто'!J65</f>
        <v>3358128</v>
      </c>
      <c r="K66" s="38">
        <f>Місто!K69-'[1]Місто'!K65</f>
        <v>0</v>
      </c>
      <c r="L66" s="38">
        <f>Місто!L69-'[1]Місто'!L65</f>
        <v>0</v>
      </c>
      <c r="M66" s="38">
        <f>Місто!M69-'[1]Місто'!M65</f>
        <v>0</v>
      </c>
      <c r="N66" s="38">
        <f>Місто!N69-'[1]Місто'!N65</f>
        <v>3358128</v>
      </c>
      <c r="O66" s="38">
        <f>Місто!O69-'[1]Місто'!O65</f>
        <v>3358128</v>
      </c>
      <c r="P66" s="55">
        <f>Місто!P69-'[1]Місто'!P65</f>
        <v>7225075</v>
      </c>
      <c r="Q66" s="53"/>
      <c r="R66" s="59"/>
      <c r="W66" s="53">
        <f t="shared" si="0"/>
        <v>0</v>
      </c>
    </row>
    <row r="67" spans="1:23" ht="25.5">
      <c r="A67" s="39"/>
      <c r="B67" s="74" t="s">
        <v>14</v>
      </c>
      <c r="C67" s="74" t="s">
        <v>451</v>
      </c>
      <c r="D67" s="73" t="s">
        <v>280</v>
      </c>
      <c r="E67" s="38">
        <f>Місто!E70-'[1]Місто'!E66</f>
        <v>0</v>
      </c>
      <c r="F67" s="38">
        <f>Місто!F70-'[1]Місто'!F66</f>
        <v>0</v>
      </c>
      <c r="G67" s="38">
        <f>Місто!G70-'[1]Місто'!G66</f>
        <v>0</v>
      </c>
      <c r="H67" s="38">
        <f>Місто!H70-'[1]Місто'!H66</f>
        <v>0</v>
      </c>
      <c r="I67" s="38">
        <f>Місто!I70-'[1]Місто'!I66</f>
        <v>0</v>
      </c>
      <c r="J67" s="38">
        <f>Місто!J70-'[1]Місто'!J66</f>
        <v>0</v>
      </c>
      <c r="K67" s="38">
        <f>Місто!K70-'[1]Місто'!K66</f>
        <v>0</v>
      </c>
      <c r="L67" s="38">
        <f>Місто!L70-'[1]Місто'!L66</f>
        <v>0</v>
      </c>
      <c r="M67" s="38">
        <f>Місто!M70-'[1]Місто'!M66</f>
        <v>0</v>
      </c>
      <c r="N67" s="38">
        <f>Місто!N70-'[1]Місто'!N66</f>
        <v>0</v>
      </c>
      <c r="O67" s="38">
        <f>Місто!O70-'[1]Місто'!O66</f>
        <v>0</v>
      </c>
      <c r="P67" s="55">
        <f>Місто!P70-'[1]Місто'!P66</f>
        <v>0</v>
      </c>
      <c r="Q67" s="53"/>
      <c r="R67" s="59"/>
      <c r="W67" s="53">
        <f t="shared" si="0"/>
        <v>0</v>
      </c>
    </row>
    <row r="68" spans="1:23" ht="38.25">
      <c r="A68" s="74"/>
      <c r="B68" s="74" t="s">
        <v>218</v>
      </c>
      <c r="C68" s="74" t="s">
        <v>451</v>
      </c>
      <c r="D68" s="73" t="s">
        <v>219</v>
      </c>
      <c r="E68" s="38">
        <f>Місто!E71-'[1]Місто'!E67</f>
        <v>0</v>
      </c>
      <c r="F68" s="38">
        <f>Місто!F71-'[1]Місто'!F67</f>
        <v>0</v>
      </c>
      <c r="G68" s="38">
        <f>Місто!G71-'[1]Місто'!G67</f>
        <v>0</v>
      </c>
      <c r="H68" s="38">
        <f>Місто!H71-'[1]Місто'!H67</f>
        <v>0</v>
      </c>
      <c r="I68" s="38">
        <f>Місто!I71-'[1]Місто'!I67</f>
        <v>0</v>
      </c>
      <c r="J68" s="38">
        <f>Місто!J71-'[1]Місто'!J67</f>
        <v>0</v>
      </c>
      <c r="K68" s="38">
        <f>Місто!K71-'[1]Місто'!K67</f>
        <v>0</v>
      </c>
      <c r="L68" s="38">
        <f>Місто!L71-'[1]Місто'!L67</f>
        <v>0</v>
      </c>
      <c r="M68" s="38">
        <f>Місто!M71-'[1]Місто'!M67</f>
        <v>0</v>
      </c>
      <c r="N68" s="38">
        <f>Місто!N71-'[1]Місто'!N67</f>
        <v>0</v>
      </c>
      <c r="O68" s="38">
        <f>Місто!O71-'[1]Місто'!O67</f>
        <v>0</v>
      </c>
      <c r="P68" s="55">
        <f>Місто!P71-'[1]Місто'!P67</f>
        <v>0</v>
      </c>
      <c r="Q68" s="53"/>
      <c r="R68" s="59"/>
      <c r="W68" s="53">
        <f t="shared" si="0"/>
        <v>0</v>
      </c>
    </row>
    <row r="69" spans="1:23" ht="38.25">
      <c r="A69" s="39"/>
      <c r="B69" s="74" t="s">
        <v>15</v>
      </c>
      <c r="C69" s="74" t="s">
        <v>451</v>
      </c>
      <c r="D69" s="60" t="s">
        <v>281</v>
      </c>
      <c r="E69" s="38">
        <f>Місто!E72-'[1]Місто'!E68</f>
        <v>1267129</v>
      </c>
      <c r="F69" s="150">
        <f>Місто!F72-'[1]Місто'!F68</f>
        <v>1267129</v>
      </c>
      <c r="G69" s="38">
        <f>Місто!G72-'[1]Місто'!G68</f>
        <v>2100129</v>
      </c>
      <c r="H69" s="38">
        <f>Місто!H72-'[1]Місто'!H68</f>
        <v>0</v>
      </c>
      <c r="I69" s="38">
        <f>Місто!I72-'[1]Місто'!I68</f>
        <v>0</v>
      </c>
      <c r="J69" s="38">
        <f>Місто!J72-'[1]Місто'!J68</f>
        <v>3358128</v>
      </c>
      <c r="K69" s="38">
        <f>Місто!K72-'[1]Місто'!K68</f>
        <v>0</v>
      </c>
      <c r="L69" s="38">
        <f>Місто!L72-'[1]Місто'!L68</f>
        <v>0</v>
      </c>
      <c r="M69" s="38">
        <f>Місто!M72-'[1]Місто'!M68</f>
        <v>0</v>
      </c>
      <c r="N69" s="38">
        <f>Місто!N72-'[1]Місто'!N68</f>
        <v>3358128</v>
      </c>
      <c r="O69" s="38">
        <f>Місто!O72-'[1]Місто'!O68</f>
        <v>3358128</v>
      </c>
      <c r="P69" s="55">
        <f>Місто!P72-'[1]Місто'!P68</f>
        <v>4625257</v>
      </c>
      <c r="Q69" s="53"/>
      <c r="R69" s="59"/>
      <c r="W69" s="53">
        <f t="shared" si="0"/>
        <v>0</v>
      </c>
    </row>
    <row r="70" spans="1:23" ht="25.5">
      <c r="A70" s="39"/>
      <c r="B70" s="74" t="s">
        <v>16</v>
      </c>
      <c r="C70" s="74" t="s">
        <v>451</v>
      </c>
      <c r="D70" s="60" t="s">
        <v>282</v>
      </c>
      <c r="E70" s="38">
        <f>Місто!E73-'[1]Місто'!E69</f>
        <v>7358</v>
      </c>
      <c r="F70" s="76">
        <f>Місто!F73-'[1]Місто'!F69</f>
        <v>7358</v>
      </c>
      <c r="G70" s="38">
        <f>Місто!G73-'[1]Місто'!G69</f>
        <v>48245</v>
      </c>
      <c r="H70" s="38">
        <f>Місто!H73-'[1]Місто'!H69</f>
        <v>0</v>
      </c>
      <c r="I70" s="38">
        <f>Місто!I73-'[1]Місто'!I69</f>
        <v>0</v>
      </c>
      <c r="J70" s="38">
        <f>Місто!J73-'[1]Місто'!J69</f>
        <v>0</v>
      </c>
      <c r="K70" s="38">
        <f>Місто!K73-'[1]Місто'!K69</f>
        <v>0</v>
      </c>
      <c r="L70" s="38">
        <f>Місто!L73-'[1]Місто'!L69</f>
        <v>0</v>
      </c>
      <c r="M70" s="38">
        <f>Місто!M73-'[1]Місто'!M69</f>
        <v>0</v>
      </c>
      <c r="N70" s="38">
        <f>Місто!N73-'[1]Місто'!N69</f>
        <v>0</v>
      </c>
      <c r="O70" s="38">
        <f>Місто!O73-'[1]Місто'!O69</f>
        <v>0</v>
      </c>
      <c r="P70" s="55">
        <f>Місто!P73-'[1]Місто'!P69</f>
        <v>7358</v>
      </c>
      <c r="Q70" s="53"/>
      <c r="R70" s="59"/>
      <c r="W70" s="53">
        <f t="shared" si="0"/>
        <v>0</v>
      </c>
    </row>
    <row r="71" spans="1:23" ht="12.75">
      <c r="A71" s="39"/>
      <c r="B71" s="39" t="s">
        <v>340</v>
      </c>
      <c r="C71" s="74" t="s">
        <v>451</v>
      </c>
      <c r="D71" s="60" t="s">
        <v>289</v>
      </c>
      <c r="E71" s="38">
        <f>Місто!E74-'[1]Місто'!E70</f>
        <v>2592460</v>
      </c>
      <c r="F71" s="38">
        <f>Місто!F74-'[1]Місто'!F70</f>
        <v>2592460</v>
      </c>
      <c r="G71" s="38">
        <f>Місто!G74-'[1]Місто'!G70</f>
        <v>0</v>
      </c>
      <c r="H71" s="38">
        <f>Місто!H74-'[1]Місто'!H70</f>
        <v>0</v>
      </c>
      <c r="I71" s="38">
        <f>Місто!I74-'[1]Місто'!I70</f>
        <v>0</v>
      </c>
      <c r="J71" s="38">
        <f>Місто!J74-'[1]Місто'!J70</f>
        <v>0</v>
      </c>
      <c r="K71" s="38">
        <f>Місто!K74-'[1]Місто'!K70</f>
        <v>0</v>
      </c>
      <c r="L71" s="38">
        <f>Місто!L74-'[1]Місто'!L70</f>
        <v>0</v>
      </c>
      <c r="M71" s="38">
        <f>Місто!M74-'[1]Місто'!M70</f>
        <v>0</v>
      </c>
      <c r="N71" s="38">
        <f>Місто!N74-'[1]Місто'!N70</f>
        <v>0</v>
      </c>
      <c r="O71" s="38">
        <f>Місто!O74-'[1]Місто'!O70</f>
        <v>0</v>
      </c>
      <c r="P71" s="55">
        <f>Місто!P74-'[1]Місто'!P70</f>
        <v>2592460</v>
      </c>
      <c r="Q71" s="53"/>
      <c r="R71" s="59"/>
      <c r="W71" s="53">
        <f t="shared" si="0"/>
        <v>0</v>
      </c>
    </row>
    <row r="72" spans="1:23" ht="12.75">
      <c r="A72" s="39"/>
      <c r="B72" s="39" t="s">
        <v>366</v>
      </c>
      <c r="C72" s="39"/>
      <c r="D72" s="60" t="s">
        <v>283</v>
      </c>
      <c r="E72" s="38">
        <f>Місто!E75-'[1]Місто'!E71</f>
        <v>0</v>
      </c>
      <c r="F72" s="38">
        <f>Місто!F75-'[1]Місто'!F71</f>
        <v>0</v>
      </c>
      <c r="G72" s="38">
        <f>Місто!G75-'[1]Місто'!G71</f>
        <v>0</v>
      </c>
      <c r="H72" s="38">
        <f>Місто!H75-'[1]Місто'!H71</f>
        <v>0</v>
      </c>
      <c r="I72" s="38">
        <f>Місто!I75-'[1]Місто'!I71</f>
        <v>0</v>
      </c>
      <c r="J72" s="38">
        <f>Місто!J75-'[1]Місто'!J71</f>
        <v>7233349</v>
      </c>
      <c r="K72" s="38">
        <f>Місто!K75-'[1]Місто'!K71</f>
        <v>0</v>
      </c>
      <c r="L72" s="38">
        <f>Місто!L75-'[1]Місто'!L71</f>
        <v>0</v>
      </c>
      <c r="M72" s="38">
        <f>Місто!M75-'[1]Місто'!M71</f>
        <v>0</v>
      </c>
      <c r="N72" s="38">
        <f>Місто!N75-'[1]Місто'!N71</f>
        <v>7233349</v>
      </c>
      <c r="O72" s="38">
        <f>Місто!O75-'[1]Місто'!O71</f>
        <v>7233349</v>
      </c>
      <c r="P72" s="55">
        <f>Місто!P75-'[1]Місто'!P71</f>
        <v>7233349</v>
      </c>
      <c r="Q72" s="53"/>
      <c r="R72" s="59"/>
      <c r="W72" s="53">
        <f t="shared" si="0"/>
        <v>0</v>
      </c>
    </row>
    <row r="73" spans="1:23" s="54" customFormat="1" ht="12.75">
      <c r="A73" s="39"/>
      <c r="B73" s="39" t="s">
        <v>338</v>
      </c>
      <c r="C73" s="74" t="s">
        <v>443</v>
      </c>
      <c r="D73" s="60" t="s">
        <v>339</v>
      </c>
      <c r="E73" s="38">
        <f>Місто!E76-'[1]Місто'!E72</f>
        <v>0</v>
      </c>
      <c r="F73" s="38">
        <f>Місто!F76-'[1]Місто'!F72</f>
        <v>0</v>
      </c>
      <c r="G73" s="38">
        <f>Місто!G76-'[1]Місто'!G72</f>
        <v>0</v>
      </c>
      <c r="H73" s="38">
        <f>Місто!H76-'[1]Місто'!H72</f>
        <v>0</v>
      </c>
      <c r="I73" s="38">
        <f>Місто!I76-'[1]Місто'!I72</f>
        <v>0</v>
      </c>
      <c r="J73" s="38">
        <f>Місто!J76-'[1]Місто'!J72</f>
        <v>6233804</v>
      </c>
      <c r="K73" s="38">
        <f>Місто!K76-'[1]Місто'!K72</f>
        <v>0</v>
      </c>
      <c r="L73" s="38">
        <f>Місто!L76-'[1]Місто'!L72</f>
        <v>0</v>
      </c>
      <c r="M73" s="38">
        <f>Місто!M76-'[1]Місто'!M72</f>
        <v>0</v>
      </c>
      <c r="N73" s="38">
        <f>Місто!N76-'[1]Місто'!N72</f>
        <v>6233804</v>
      </c>
      <c r="O73" s="38">
        <f>Місто!O76-'[1]Місто'!O72</f>
        <v>6233804</v>
      </c>
      <c r="P73" s="55">
        <f>Місто!P76-'[1]Місто'!P72</f>
        <v>6233804</v>
      </c>
      <c r="Q73" s="53"/>
      <c r="R73" s="53"/>
      <c r="W73" s="53">
        <f t="shared" si="0"/>
        <v>0</v>
      </c>
    </row>
    <row r="74" spans="1:23" s="54" customFormat="1" ht="45" hidden="1">
      <c r="A74" s="39"/>
      <c r="B74" s="39"/>
      <c r="C74" s="39"/>
      <c r="D74" s="91" t="s">
        <v>235</v>
      </c>
      <c r="E74" s="38">
        <f>Місто!E77-'[1]Місто'!E73</f>
        <v>0</v>
      </c>
      <c r="F74" s="38">
        <f>Місто!F77-'[1]Місто'!F73</f>
        <v>0</v>
      </c>
      <c r="G74" s="38">
        <f>Місто!G77-'[1]Місто'!G73</f>
        <v>0</v>
      </c>
      <c r="H74" s="38">
        <f>Місто!H77-'[1]Місто'!H73</f>
        <v>0</v>
      </c>
      <c r="I74" s="38">
        <f>Місто!I77-'[1]Місто'!I73</f>
        <v>0</v>
      </c>
      <c r="J74" s="38">
        <f>Місто!J77-'[1]Місто'!J73</f>
        <v>0</v>
      </c>
      <c r="K74" s="38">
        <f>Місто!K77-'[1]Місто'!K73</f>
        <v>0</v>
      </c>
      <c r="L74" s="38">
        <f>Місто!L77-'[1]Місто'!L73</f>
        <v>0</v>
      </c>
      <c r="M74" s="38">
        <f>Місто!M77-'[1]Місто'!M73</f>
        <v>0</v>
      </c>
      <c r="N74" s="38">
        <f>Місто!N77-'[1]Місто'!N73</f>
        <v>0</v>
      </c>
      <c r="O74" s="76">
        <f>Місто!O77-'[1]Місто'!O73</f>
        <v>0</v>
      </c>
      <c r="P74" s="55">
        <f>Місто!P77-'[1]Місто'!P73</f>
        <v>0</v>
      </c>
      <c r="Q74" s="53"/>
      <c r="R74" s="53"/>
      <c r="W74" s="53">
        <f t="shared" si="0"/>
        <v>0</v>
      </c>
    </row>
    <row r="75" spans="1:23" s="57" customFormat="1" ht="12.75" hidden="1">
      <c r="A75" s="39"/>
      <c r="B75" s="39" t="s">
        <v>357</v>
      </c>
      <c r="C75" s="39"/>
      <c r="D75" s="60" t="s">
        <v>358</v>
      </c>
      <c r="E75" s="38">
        <f>Місто!E78-'[1]Місто'!E74</f>
        <v>0</v>
      </c>
      <c r="F75" s="38">
        <f>Місто!F78-'[1]Місто'!F74</f>
        <v>0</v>
      </c>
      <c r="G75" s="38">
        <f>Місто!G78-'[1]Місто'!G74</f>
        <v>0</v>
      </c>
      <c r="H75" s="38">
        <f>Місто!H78-'[1]Місто'!H74</f>
        <v>0</v>
      </c>
      <c r="I75" s="38">
        <f>Місто!I78-'[1]Місто'!I74</f>
        <v>0</v>
      </c>
      <c r="J75" s="38">
        <f>Місто!J78-'[1]Місто'!J74</f>
        <v>0</v>
      </c>
      <c r="K75" s="38">
        <f>Місто!K78-'[1]Місто'!K74</f>
        <v>0</v>
      </c>
      <c r="L75" s="38">
        <f>Місто!L78-'[1]Місто'!L74</f>
        <v>0</v>
      </c>
      <c r="M75" s="38">
        <f>Місто!M78-'[1]Місто'!M74</f>
        <v>0</v>
      </c>
      <c r="N75" s="38">
        <f>Місто!N78-'[1]Місто'!N74</f>
        <v>0</v>
      </c>
      <c r="O75" s="38">
        <f>Місто!O78-'[1]Місто'!O74</f>
        <v>0</v>
      </c>
      <c r="P75" s="55">
        <f>Місто!P78-'[1]Місто'!P74</f>
        <v>0</v>
      </c>
      <c r="Q75" s="53"/>
      <c r="R75" s="56"/>
      <c r="W75" s="53">
        <f t="shared" si="0"/>
        <v>0</v>
      </c>
    </row>
    <row r="76" spans="1:23" ht="25.5" hidden="1">
      <c r="A76" s="39"/>
      <c r="B76" s="39"/>
      <c r="C76" s="39"/>
      <c r="D76" s="60" t="s">
        <v>381</v>
      </c>
      <c r="E76" s="38">
        <f>Місто!E79-'[1]Місто'!E75</f>
        <v>0</v>
      </c>
      <c r="F76" s="38">
        <f>Місто!F79-'[1]Місто'!F75</f>
        <v>0</v>
      </c>
      <c r="G76" s="38">
        <f>Місто!G79-'[1]Місто'!G75</f>
        <v>0</v>
      </c>
      <c r="H76" s="38">
        <f>Місто!H79-'[1]Місто'!H75</f>
        <v>0</v>
      </c>
      <c r="I76" s="38">
        <f>Місто!I79-'[1]Місто'!I75</f>
        <v>0</v>
      </c>
      <c r="J76" s="38">
        <f>Місто!J79-'[1]Місто'!J75</f>
        <v>0</v>
      </c>
      <c r="K76" s="38">
        <f>Місто!K79-'[1]Місто'!K75</f>
        <v>0</v>
      </c>
      <c r="L76" s="38">
        <f>Місто!L79-'[1]Місто'!L75</f>
        <v>0</v>
      </c>
      <c r="M76" s="38">
        <f>Місто!M79-'[1]Місто'!M75</f>
        <v>0</v>
      </c>
      <c r="N76" s="38">
        <f>Місто!N79-'[1]Місто'!N75</f>
        <v>0</v>
      </c>
      <c r="O76" s="38">
        <f>Місто!O79-'[1]Місто'!O75</f>
        <v>0</v>
      </c>
      <c r="P76" s="55">
        <f>Місто!P79-'[1]Місто'!P75</f>
        <v>0</v>
      </c>
      <c r="Q76" s="53"/>
      <c r="R76" s="59"/>
      <c r="W76" s="53">
        <f aca="true" t="shared" si="1" ref="W76:W143">N76-O76</f>
        <v>0</v>
      </c>
    </row>
    <row r="77" spans="1:23" ht="51">
      <c r="A77" s="39"/>
      <c r="B77" s="74" t="s">
        <v>485</v>
      </c>
      <c r="C77" s="74" t="s">
        <v>446</v>
      </c>
      <c r="D77" s="73" t="s">
        <v>488</v>
      </c>
      <c r="E77" s="38">
        <f>Місто!E80-'[1]Місто'!E76</f>
        <v>0</v>
      </c>
      <c r="F77" s="38">
        <f>Місто!F80-'[1]Місто'!F76</f>
        <v>0</v>
      </c>
      <c r="G77" s="38">
        <f>Місто!G80-'[1]Місто'!G76</f>
        <v>0</v>
      </c>
      <c r="H77" s="38">
        <f>Місто!H80-'[1]Місто'!H76</f>
        <v>0</v>
      </c>
      <c r="I77" s="38">
        <f>Місто!I80-'[1]Місто'!I76</f>
        <v>0</v>
      </c>
      <c r="J77" s="38">
        <f>Місто!J80-'[1]Місто'!J76</f>
        <v>999545</v>
      </c>
      <c r="K77" s="38">
        <f>Місто!K80-'[1]Місто'!K76</f>
        <v>0</v>
      </c>
      <c r="L77" s="38">
        <f>Місто!L80-'[1]Місто'!L76</f>
        <v>0</v>
      </c>
      <c r="M77" s="38">
        <f>Місто!M80-'[1]Місто'!M76</f>
        <v>0</v>
      </c>
      <c r="N77" s="38">
        <f>Місто!N80-'[1]Місто'!N76</f>
        <v>999545</v>
      </c>
      <c r="O77" s="38">
        <f>Місто!O80-'[1]Місто'!O76</f>
        <v>999545</v>
      </c>
      <c r="P77" s="55">
        <f>Місто!P80-'[1]Місто'!P76</f>
        <v>999545</v>
      </c>
      <c r="Q77" s="53"/>
      <c r="R77" s="59"/>
      <c r="W77" s="53"/>
    </row>
    <row r="78" spans="1:23" ht="51" hidden="1">
      <c r="A78" s="39"/>
      <c r="B78" s="74" t="s">
        <v>33</v>
      </c>
      <c r="C78" s="74" t="s">
        <v>447</v>
      </c>
      <c r="D78" s="73" t="s">
        <v>34</v>
      </c>
      <c r="E78" s="38">
        <f>Місто!E81-'[1]Місто'!E77</f>
        <v>0</v>
      </c>
      <c r="F78" s="38">
        <f>Місто!F81-'[1]Місто'!F77</f>
        <v>0</v>
      </c>
      <c r="G78" s="38">
        <f>Місто!G81-'[1]Місто'!G77</f>
        <v>0</v>
      </c>
      <c r="H78" s="38">
        <f>Місто!H81-'[1]Місто'!H77</f>
        <v>0</v>
      </c>
      <c r="I78" s="38">
        <f>Місто!I81-'[1]Місто'!I77</f>
        <v>0</v>
      </c>
      <c r="J78" s="38">
        <f>Місто!J81-'[1]Місто'!J77</f>
        <v>0</v>
      </c>
      <c r="K78" s="38">
        <f>Місто!K81-'[1]Місто'!K77</f>
        <v>0</v>
      </c>
      <c r="L78" s="38">
        <f>Місто!L81-'[1]Місто'!L77</f>
        <v>0</v>
      </c>
      <c r="M78" s="38">
        <f>Місто!M81-'[1]Місто'!M77</f>
        <v>0</v>
      </c>
      <c r="N78" s="38">
        <f>Місто!N81-'[1]Місто'!N77</f>
        <v>0</v>
      </c>
      <c r="O78" s="38">
        <f>Місто!O81-'[1]Місто'!O77</f>
        <v>0</v>
      </c>
      <c r="P78" s="55">
        <f>Місто!P81-'[1]Місто'!P77</f>
        <v>0</v>
      </c>
      <c r="Q78" s="53"/>
      <c r="R78" s="59"/>
      <c r="W78" s="53"/>
    </row>
    <row r="79" spans="1:23" ht="51">
      <c r="A79" s="39"/>
      <c r="B79" s="74" t="s">
        <v>486</v>
      </c>
      <c r="C79" s="74" t="s">
        <v>448</v>
      </c>
      <c r="D79" s="73" t="s">
        <v>487</v>
      </c>
      <c r="E79" s="38">
        <f>Місто!E82-'[1]Місто'!E78</f>
        <v>0</v>
      </c>
      <c r="F79" s="38">
        <f>Місто!F82-'[1]Місто'!F78</f>
        <v>0</v>
      </c>
      <c r="G79" s="38">
        <f>Місто!G82-'[1]Місто'!G78</f>
        <v>0</v>
      </c>
      <c r="H79" s="38">
        <f>Місто!H82-'[1]Місто'!H78</f>
        <v>0</v>
      </c>
      <c r="I79" s="38">
        <f>Місто!I82-'[1]Місто'!I78</f>
        <v>0</v>
      </c>
      <c r="J79" s="38">
        <f>Місто!J82-'[1]Місто'!J78</f>
        <v>0</v>
      </c>
      <c r="K79" s="38">
        <f>Місто!K82-'[1]Місто'!K78</f>
        <v>0</v>
      </c>
      <c r="L79" s="38">
        <f>Місто!L82-'[1]Місто'!L78</f>
        <v>0</v>
      </c>
      <c r="M79" s="38">
        <f>Місто!M82-'[1]Місто'!M78</f>
        <v>0</v>
      </c>
      <c r="N79" s="38">
        <f>Місто!N82-'[1]Місто'!N78</f>
        <v>0</v>
      </c>
      <c r="O79" s="38">
        <f>Місто!O82-'[1]Місто'!O78</f>
        <v>0</v>
      </c>
      <c r="P79" s="55">
        <f>Місто!P82-'[1]Місто'!P78</f>
        <v>0</v>
      </c>
      <c r="Q79" s="53"/>
      <c r="R79" s="59"/>
      <c r="W79" s="53"/>
    </row>
    <row r="80" spans="1:23" ht="25.5" hidden="1">
      <c r="A80" s="74"/>
      <c r="B80" s="74" t="s">
        <v>376</v>
      </c>
      <c r="C80" s="74"/>
      <c r="D80" s="131" t="s">
        <v>377</v>
      </c>
      <c r="E80" s="38">
        <f>Місто!E83-'[1]Місто'!E79</f>
        <v>0</v>
      </c>
      <c r="F80" s="38">
        <f>Місто!F83-'[1]Місто'!F79</f>
        <v>0</v>
      </c>
      <c r="G80" s="38">
        <f>Місто!G83-'[1]Місто'!G79</f>
        <v>0</v>
      </c>
      <c r="H80" s="38">
        <f>Місто!H83-'[1]Місто'!H79</f>
        <v>0</v>
      </c>
      <c r="I80" s="38">
        <f>Місто!I83-'[1]Місто'!I79</f>
        <v>0</v>
      </c>
      <c r="J80" s="38">
        <f>Місто!J83-'[1]Місто'!J79</f>
        <v>0</v>
      </c>
      <c r="K80" s="38">
        <f>Місто!K83-'[1]Місто'!K79</f>
        <v>0</v>
      </c>
      <c r="L80" s="38">
        <f>Місто!L83-'[1]Місто'!L79</f>
        <v>0</v>
      </c>
      <c r="M80" s="38">
        <f>Місто!M83-'[1]Місто'!M79</f>
        <v>0</v>
      </c>
      <c r="N80" s="38">
        <f>Місто!N83-'[1]Місто'!N79</f>
        <v>0</v>
      </c>
      <c r="O80" s="38">
        <f>Місто!O83-'[1]Місто'!O79</f>
        <v>0</v>
      </c>
      <c r="P80" s="55">
        <f>Місто!P83-'[1]Місто'!P79</f>
        <v>0</v>
      </c>
      <c r="Q80" s="53"/>
      <c r="R80" s="59"/>
      <c r="W80" s="53">
        <f t="shared" si="1"/>
        <v>0</v>
      </c>
    </row>
    <row r="81" spans="1:23" ht="25.5" hidden="1">
      <c r="A81" s="74"/>
      <c r="B81" s="74" t="s">
        <v>303</v>
      </c>
      <c r="C81" s="74" t="s">
        <v>452</v>
      </c>
      <c r="D81" s="132" t="s">
        <v>304</v>
      </c>
      <c r="E81" s="38">
        <f>Місто!E84-'[1]Місто'!E80</f>
        <v>0</v>
      </c>
      <c r="F81" s="38">
        <f>Місто!F84-'[1]Місто'!F80</f>
        <v>0</v>
      </c>
      <c r="G81" s="38">
        <f>Місто!G84-'[1]Місто'!G80</f>
        <v>0</v>
      </c>
      <c r="H81" s="38">
        <f>Місто!H84-'[1]Місто'!H80</f>
        <v>0</v>
      </c>
      <c r="I81" s="38">
        <f>Місто!I84-'[1]Місто'!I80</f>
        <v>0</v>
      </c>
      <c r="J81" s="38">
        <f>Місто!J84-'[1]Місто'!J80</f>
        <v>0</v>
      </c>
      <c r="K81" s="38">
        <f>Місто!K84-'[1]Місто'!K80</f>
        <v>0</v>
      </c>
      <c r="L81" s="38">
        <f>Місто!L84-'[1]Місто'!L80</f>
        <v>0</v>
      </c>
      <c r="M81" s="38">
        <f>Місто!M84-'[1]Місто'!M80</f>
        <v>0</v>
      </c>
      <c r="N81" s="38">
        <f>Місто!N84-'[1]Місто'!N80</f>
        <v>0</v>
      </c>
      <c r="O81" s="38">
        <f>Місто!O84-'[1]Місто'!O80</f>
        <v>0</v>
      </c>
      <c r="P81" s="55">
        <f>Місто!P84-'[1]Місто'!P80</f>
        <v>0</v>
      </c>
      <c r="Q81" s="53"/>
      <c r="R81" s="59"/>
      <c r="W81" s="53">
        <f t="shared" si="1"/>
        <v>0</v>
      </c>
    </row>
    <row r="82" spans="1:23" ht="25.5" hidden="1">
      <c r="A82" s="74"/>
      <c r="B82" s="74" t="s">
        <v>407</v>
      </c>
      <c r="C82" s="74"/>
      <c r="D82" s="131" t="s">
        <v>405</v>
      </c>
      <c r="E82" s="38">
        <f>Місто!E85-'[1]Місто'!E81</f>
        <v>0</v>
      </c>
      <c r="F82" s="38">
        <f>Місто!F85-'[1]Місто'!F81</f>
        <v>0</v>
      </c>
      <c r="G82" s="38">
        <f>Місто!G85-'[1]Місто'!G81</f>
        <v>0</v>
      </c>
      <c r="H82" s="38">
        <f>Місто!H85-'[1]Місто'!H81</f>
        <v>0</v>
      </c>
      <c r="I82" s="38">
        <f>Місто!I85-'[1]Місто'!I81</f>
        <v>0</v>
      </c>
      <c r="J82" s="38">
        <f>Місто!J85-'[1]Місто'!J81</f>
        <v>0</v>
      </c>
      <c r="K82" s="38">
        <f>Місто!K85-'[1]Місто'!K81</f>
        <v>0</v>
      </c>
      <c r="L82" s="38">
        <f>Місто!L85-'[1]Місто'!L81</f>
        <v>0</v>
      </c>
      <c r="M82" s="38">
        <f>Місто!M85-'[1]Місто'!M81</f>
        <v>0</v>
      </c>
      <c r="N82" s="38">
        <f>Місто!N85-'[1]Місто'!N81</f>
        <v>0</v>
      </c>
      <c r="O82" s="38">
        <f>Місто!O85-'[1]Місто'!O81</f>
        <v>0</v>
      </c>
      <c r="P82" s="55">
        <f>Місто!P85-'[1]Місто'!P81</f>
        <v>0</v>
      </c>
      <c r="Q82" s="53"/>
      <c r="R82" s="59"/>
      <c r="W82" s="53">
        <f t="shared" si="1"/>
        <v>0</v>
      </c>
    </row>
    <row r="83" spans="1:23" ht="12.75" hidden="1">
      <c r="A83" s="74"/>
      <c r="B83" s="74" t="s">
        <v>426</v>
      </c>
      <c r="C83" s="74" t="s">
        <v>453</v>
      </c>
      <c r="D83" s="131" t="s">
        <v>427</v>
      </c>
      <c r="E83" s="38">
        <f>Місто!E86-'[1]Місто'!E82</f>
        <v>0</v>
      </c>
      <c r="F83" s="38">
        <f>Місто!F86-'[1]Місто'!F82</f>
        <v>0</v>
      </c>
      <c r="G83" s="38">
        <f>Місто!G86-'[1]Місто'!G82</f>
        <v>0</v>
      </c>
      <c r="H83" s="38">
        <f>Місто!H86-'[1]Місто'!H82</f>
        <v>0</v>
      </c>
      <c r="I83" s="38">
        <f>Місто!I86-'[1]Місто'!I82</f>
        <v>0</v>
      </c>
      <c r="J83" s="38">
        <f>Місто!J86-'[1]Місто'!J82</f>
        <v>0</v>
      </c>
      <c r="K83" s="38">
        <f>Місто!K86-'[1]Місто'!K82</f>
        <v>0</v>
      </c>
      <c r="L83" s="38">
        <f>Місто!L86-'[1]Місто'!L82</f>
        <v>0</v>
      </c>
      <c r="M83" s="38">
        <f>Місто!M86-'[1]Місто'!M82</f>
        <v>0</v>
      </c>
      <c r="N83" s="38">
        <f>Місто!N86-'[1]Місто'!N82</f>
        <v>0</v>
      </c>
      <c r="O83" s="38">
        <f>Місто!O86-'[1]Місто'!O82</f>
        <v>0</v>
      </c>
      <c r="P83" s="55">
        <f>Місто!P86-'[1]Місто'!P82</f>
        <v>0</v>
      </c>
      <c r="Q83" s="53"/>
      <c r="R83" s="59"/>
      <c r="W83" s="53">
        <f t="shared" si="1"/>
        <v>0</v>
      </c>
    </row>
    <row r="84" spans="1:23" s="147" customFormat="1" ht="12.75">
      <c r="A84" s="144"/>
      <c r="B84" s="39" t="s">
        <v>369</v>
      </c>
      <c r="C84" s="39"/>
      <c r="D84" s="60" t="s">
        <v>373</v>
      </c>
      <c r="E84" s="38">
        <f>Місто!E87-'[1]Місто'!E83</f>
        <v>0</v>
      </c>
      <c r="F84" s="38">
        <f>Місто!F87-'[1]Місто'!F83</f>
        <v>0</v>
      </c>
      <c r="G84" s="38">
        <f>Місто!G87-'[1]Місто'!G83</f>
        <v>0</v>
      </c>
      <c r="H84" s="38">
        <f>Місто!H87-'[1]Місто'!H83</f>
        <v>0</v>
      </c>
      <c r="I84" s="38">
        <f>Місто!I87-'[1]Місто'!I83</f>
        <v>0</v>
      </c>
      <c r="J84" s="38">
        <f>Місто!J87-'[1]Місто'!J83</f>
        <v>0</v>
      </c>
      <c r="K84" s="38">
        <f>Місто!K87-'[1]Місто'!K83</f>
        <v>-6000</v>
      </c>
      <c r="L84" s="38">
        <f>Місто!L87-'[1]Місто'!L83</f>
        <v>0</v>
      </c>
      <c r="M84" s="38">
        <f>Місто!M87-'[1]Місто'!M83</f>
        <v>0</v>
      </c>
      <c r="N84" s="38">
        <f>Місто!N87-'[1]Місто'!N83</f>
        <v>6000</v>
      </c>
      <c r="O84" s="38">
        <f>Місто!O87-'[1]Місто'!O83</f>
        <v>0</v>
      </c>
      <c r="P84" s="55">
        <f>Місто!P87-'[1]Місто'!P83</f>
        <v>0</v>
      </c>
      <c r="Q84" s="145"/>
      <c r="R84" s="146"/>
      <c r="W84" s="145">
        <f t="shared" si="1"/>
        <v>6000</v>
      </c>
    </row>
    <row r="85" spans="1:23" s="149" customFormat="1" ht="25.5">
      <c r="A85" s="144"/>
      <c r="B85" s="39" t="s">
        <v>337</v>
      </c>
      <c r="C85" s="39" t="s">
        <v>454</v>
      </c>
      <c r="D85" s="60" t="s">
        <v>352</v>
      </c>
      <c r="E85" s="38">
        <f>Місто!E88-'[1]Місто'!E84</f>
        <v>0</v>
      </c>
      <c r="F85" s="38">
        <f>Місто!F88-'[1]Місто'!F84</f>
        <v>0</v>
      </c>
      <c r="G85" s="38">
        <f>Місто!G88-'[1]Місто'!G84</f>
        <v>0</v>
      </c>
      <c r="H85" s="38">
        <f>Місто!H88-'[1]Місто'!H84</f>
        <v>0</v>
      </c>
      <c r="I85" s="38">
        <f>Місто!I88-'[1]Місто'!I84</f>
        <v>0</v>
      </c>
      <c r="J85" s="38">
        <f>Місто!J88-'[1]Місто'!J84</f>
        <v>0</v>
      </c>
      <c r="K85" s="38">
        <f>Місто!K88-'[1]Місто'!K84</f>
        <v>-6000</v>
      </c>
      <c r="L85" s="38">
        <f>Місто!L88-'[1]Місто'!L84</f>
        <v>0</v>
      </c>
      <c r="M85" s="38">
        <f>Місто!M88-'[1]Місто'!M84</f>
        <v>0</v>
      </c>
      <c r="N85" s="38">
        <f>Місто!N88-'[1]Місто'!N84</f>
        <v>6000</v>
      </c>
      <c r="O85" s="38">
        <f>Місто!O88-'[1]Місто'!O84</f>
        <v>0</v>
      </c>
      <c r="P85" s="55">
        <f>Місто!P88-'[1]Місто'!P84</f>
        <v>0</v>
      </c>
      <c r="Q85" s="145"/>
      <c r="R85" s="148"/>
      <c r="W85" s="145">
        <f t="shared" si="1"/>
        <v>6000</v>
      </c>
    </row>
    <row r="86" spans="1:23" ht="25.5" hidden="1">
      <c r="A86" s="102"/>
      <c r="B86" s="102" t="s">
        <v>287</v>
      </c>
      <c r="C86" s="102"/>
      <c r="D86" s="103" t="s">
        <v>333</v>
      </c>
      <c r="E86" s="76">
        <f>Місто!E89-'[1]Місто'!E85</f>
        <v>0</v>
      </c>
      <c r="F86" s="76">
        <f>Місто!F89-'[1]Місто'!F85</f>
        <v>0</v>
      </c>
      <c r="G86" s="76">
        <f>Місто!G89-'[1]Місто'!G85</f>
        <v>0</v>
      </c>
      <c r="H86" s="76">
        <f>Місто!H89-'[1]Місто'!H85</f>
        <v>0</v>
      </c>
      <c r="I86" s="76">
        <f>Місто!I89-'[1]Місто'!I85</f>
        <v>0</v>
      </c>
      <c r="J86" s="38">
        <f>Місто!J89-'[1]Місто'!J85</f>
        <v>0</v>
      </c>
      <c r="K86" s="76">
        <f>Місто!K89-'[1]Місто'!K85</f>
        <v>0</v>
      </c>
      <c r="L86" s="76">
        <f>Місто!L89-'[1]Місто'!L85</f>
        <v>0</v>
      </c>
      <c r="M86" s="76">
        <f>Місто!M89-'[1]Місто'!M85</f>
        <v>0</v>
      </c>
      <c r="N86" s="76">
        <f>Місто!N89-'[1]Місто'!N85</f>
        <v>0</v>
      </c>
      <c r="O86" s="76">
        <f>Місто!O89-'[1]Місто'!O85</f>
        <v>0</v>
      </c>
      <c r="P86" s="55">
        <f>Місто!P89-'[1]Місто'!P85</f>
        <v>0</v>
      </c>
      <c r="Q86" s="53"/>
      <c r="R86" s="59"/>
      <c r="W86" s="53">
        <f t="shared" si="1"/>
        <v>0</v>
      </c>
    </row>
    <row r="87" spans="1:23" ht="14.25" customHeight="1" hidden="1">
      <c r="A87" s="102"/>
      <c r="B87" s="102" t="s">
        <v>371</v>
      </c>
      <c r="C87" s="102"/>
      <c r="D87" s="118" t="s">
        <v>232</v>
      </c>
      <c r="E87" s="76">
        <f>Місто!E90-'[1]Місто'!E86</f>
        <v>112000</v>
      </c>
      <c r="F87" s="76">
        <f>Місто!F90-'[1]Місто'!F86</f>
        <v>112000</v>
      </c>
      <c r="G87" s="76">
        <f>Місто!G90-'[1]Місто'!G86</f>
        <v>0</v>
      </c>
      <c r="H87" s="76">
        <f>Місто!H90-'[1]Місто'!H86</f>
        <v>0</v>
      </c>
      <c r="I87" s="76">
        <f>Місто!I90-'[1]Місто'!I86</f>
        <v>0</v>
      </c>
      <c r="J87" s="38">
        <f>Місто!J90-'[1]Місто'!J86</f>
        <v>0</v>
      </c>
      <c r="K87" s="76">
        <f>Місто!K90-'[1]Місто'!K86</f>
        <v>0</v>
      </c>
      <c r="L87" s="76">
        <f>Місто!L90-'[1]Місто'!L86</f>
        <v>0</v>
      </c>
      <c r="M87" s="76">
        <f>Місто!M90-'[1]Місто'!M86</f>
        <v>0</v>
      </c>
      <c r="N87" s="76">
        <f>Місто!N90-'[1]Місто'!N86</f>
        <v>0</v>
      </c>
      <c r="O87" s="76">
        <f>Місто!O90-'[1]Місто'!O86</f>
        <v>0</v>
      </c>
      <c r="P87" s="55">
        <f>Місто!P90-'[1]Місто'!P86</f>
        <v>112000</v>
      </c>
      <c r="Q87" s="53"/>
      <c r="R87" s="59"/>
      <c r="W87" s="53">
        <f t="shared" si="1"/>
        <v>0</v>
      </c>
    </row>
    <row r="88" spans="1:23" ht="66.75" customHeight="1" hidden="1">
      <c r="A88" s="102"/>
      <c r="B88" s="102" t="s">
        <v>69</v>
      </c>
      <c r="C88" s="74" t="s">
        <v>455</v>
      </c>
      <c r="D88" s="103" t="s">
        <v>70</v>
      </c>
      <c r="E88" s="76">
        <f>Місто!E91-'[1]Місто'!E87</f>
        <v>112000</v>
      </c>
      <c r="F88" s="76">
        <f>Місто!F91-'[1]Місто'!F87</f>
        <v>112000</v>
      </c>
      <c r="G88" s="76">
        <f>Місто!G91-'[1]Місто'!G87</f>
        <v>0</v>
      </c>
      <c r="H88" s="76">
        <f>Місто!H91-'[1]Місто'!H87</f>
        <v>0</v>
      </c>
      <c r="I88" s="76">
        <f>Місто!I91-'[1]Місто'!I87</f>
        <v>0</v>
      </c>
      <c r="J88" s="38">
        <f>Місто!J91-'[1]Місто'!J87</f>
        <v>0</v>
      </c>
      <c r="K88" s="76">
        <f>Місто!K91-'[1]Місто'!K87</f>
        <v>0</v>
      </c>
      <c r="L88" s="76">
        <f>Місто!L91-'[1]Місто'!L87</f>
        <v>0</v>
      </c>
      <c r="M88" s="76">
        <f>Місто!M91-'[1]Місто'!M87</f>
        <v>0</v>
      </c>
      <c r="N88" s="76">
        <f>Місто!N91-'[1]Місто'!N87</f>
        <v>0</v>
      </c>
      <c r="O88" s="76">
        <f>Місто!O91-'[1]Місто'!O87</f>
        <v>0</v>
      </c>
      <c r="P88" s="55">
        <f>Місто!P91-'[1]Місто'!P87</f>
        <v>112000</v>
      </c>
      <c r="Q88" s="53"/>
      <c r="R88" s="59"/>
      <c r="W88" s="53">
        <f t="shared" si="1"/>
        <v>0</v>
      </c>
    </row>
    <row r="89" spans="1:23" ht="25.5">
      <c r="A89" s="98"/>
      <c r="B89" s="98" t="s">
        <v>171</v>
      </c>
      <c r="C89" s="98"/>
      <c r="D89" s="99" t="s">
        <v>134</v>
      </c>
      <c r="E89" s="51">
        <f>Місто!E92-'[1]Місто'!E88</f>
        <v>-20232593</v>
      </c>
      <c r="F89" s="51">
        <f>Місто!F92-'[1]Місто'!F88</f>
        <v>-20232593</v>
      </c>
      <c r="G89" s="51">
        <f>Місто!G92-'[1]Місто'!G88</f>
        <v>23906849</v>
      </c>
      <c r="H89" s="51">
        <f>Місто!H92-'[1]Місто'!H88</f>
        <v>0</v>
      </c>
      <c r="I89" s="51">
        <f>Місто!I92-'[1]Місто'!I88</f>
        <v>0</v>
      </c>
      <c r="J89" s="51">
        <f>Місто!J92-'[1]Місто'!J88</f>
        <v>99989261</v>
      </c>
      <c r="K89" s="51">
        <f>Місто!K92-'[1]Місто'!K88</f>
        <v>0</v>
      </c>
      <c r="L89" s="51">
        <f>Місто!L92-'[1]Місто'!L88</f>
        <v>0</v>
      </c>
      <c r="M89" s="51">
        <f>Місто!M92-'[1]Місто'!M88</f>
        <v>0</v>
      </c>
      <c r="N89" s="51">
        <f>Місто!N92-'[1]Місто'!N88</f>
        <v>99989261</v>
      </c>
      <c r="O89" s="51">
        <f>Місто!O92-'[1]Місто'!O88</f>
        <v>99989261</v>
      </c>
      <c r="P89" s="52">
        <f>Місто!P92-'[1]Місто'!P88</f>
        <v>79756668</v>
      </c>
      <c r="Q89" s="53"/>
      <c r="R89" s="59"/>
      <c r="W89" s="53">
        <f t="shared" si="1"/>
        <v>0</v>
      </c>
    </row>
    <row r="90" spans="1:23" ht="12.75">
      <c r="A90" s="42"/>
      <c r="B90" s="42" t="s">
        <v>362</v>
      </c>
      <c r="C90" s="42"/>
      <c r="D90" s="43" t="s">
        <v>363</v>
      </c>
      <c r="E90" s="37">
        <f>Місто!E93-'[1]Місто'!E89</f>
        <v>101351</v>
      </c>
      <c r="F90" s="37">
        <f>Місто!F93-'[1]Місто'!F89</f>
        <v>101351</v>
      </c>
      <c r="G90" s="37">
        <f>Місто!G93-'[1]Місто'!G89</f>
        <v>140119</v>
      </c>
      <c r="H90" s="37">
        <f>Місто!H93-'[1]Місто'!H89</f>
        <v>0</v>
      </c>
      <c r="I90" s="37">
        <f>Місто!I93-'[1]Місто'!I89</f>
        <v>0</v>
      </c>
      <c r="J90" s="38">
        <f>Місто!J93-'[1]Місто'!J89</f>
        <v>112054</v>
      </c>
      <c r="K90" s="38">
        <f>Місто!K93-'[1]Місто'!K89</f>
        <v>0</v>
      </c>
      <c r="L90" s="38">
        <f>Місто!L93-'[1]Місто'!L89</f>
        <v>0</v>
      </c>
      <c r="M90" s="38">
        <f>Місто!M93-'[1]Місто'!M89</f>
        <v>0</v>
      </c>
      <c r="N90" s="38">
        <f>Місто!N93-'[1]Місто'!N89</f>
        <v>112054</v>
      </c>
      <c r="O90" s="38">
        <f>Місто!O93-'[1]Місто'!O89</f>
        <v>112054</v>
      </c>
      <c r="P90" s="55">
        <f>Місто!P93-'[1]Місто'!P89</f>
        <v>213405</v>
      </c>
      <c r="Q90" s="53"/>
      <c r="R90" s="59"/>
      <c r="W90" s="53">
        <f t="shared" si="1"/>
        <v>0</v>
      </c>
    </row>
    <row r="91" spans="1:23" ht="12.75">
      <c r="A91" s="39"/>
      <c r="B91" s="39" t="s">
        <v>249</v>
      </c>
      <c r="C91" s="74" t="s">
        <v>441</v>
      </c>
      <c r="D91" s="58" t="s">
        <v>250</v>
      </c>
      <c r="E91" s="38">
        <f>Місто!E94-'[1]Місто'!E90</f>
        <v>101351</v>
      </c>
      <c r="F91" s="38">
        <f>Місто!F94-'[1]Місто'!F90</f>
        <v>101351</v>
      </c>
      <c r="G91" s="38">
        <f>Місто!G94-'[1]Місто'!G90</f>
        <v>140119</v>
      </c>
      <c r="H91" s="38">
        <f>Місто!H94-'[1]Місто'!H90</f>
        <v>0</v>
      </c>
      <c r="I91" s="38">
        <f>Місто!I94-'[1]Місто'!I90</f>
        <v>0</v>
      </c>
      <c r="J91" s="38">
        <f>Місто!J94-'[1]Місто'!J90</f>
        <v>112054</v>
      </c>
      <c r="K91" s="38">
        <f>Місто!K94-'[1]Місто'!K90</f>
        <v>0</v>
      </c>
      <c r="L91" s="38">
        <f>Місто!L94-'[1]Місто'!L90</f>
        <v>0</v>
      </c>
      <c r="M91" s="38">
        <f>Місто!M94-'[1]Місто'!M90</f>
        <v>0</v>
      </c>
      <c r="N91" s="38">
        <f>Місто!N94-'[1]Місто'!N90</f>
        <v>112054</v>
      </c>
      <c r="O91" s="38">
        <f>Місто!O94-'[1]Місто'!O90</f>
        <v>112054</v>
      </c>
      <c r="P91" s="55">
        <f>Місто!P94-'[1]Місто'!P90</f>
        <v>213405</v>
      </c>
      <c r="Q91" s="53"/>
      <c r="R91" s="59"/>
      <c r="W91" s="53">
        <f t="shared" si="1"/>
        <v>0</v>
      </c>
    </row>
    <row r="92" spans="1:23" ht="12.75">
      <c r="A92" s="42"/>
      <c r="B92" s="42" t="s">
        <v>259</v>
      </c>
      <c r="C92" s="42"/>
      <c r="D92" s="65" t="s">
        <v>260</v>
      </c>
      <c r="E92" s="38">
        <f>Місто!E95-'[1]Місто'!E91</f>
        <v>-20333944</v>
      </c>
      <c r="F92" s="38">
        <f>Місто!F95-'[1]Місто'!F91</f>
        <v>-20333944</v>
      </c>
      <c r="G92" s="38">
        <f>Місто!G95-'[1]Місто'!G91</f>
        <v>23766730</v>
      </c>
      <c r="H92" s="38">
        <f>Місто!H95-'[1]Місто'!H91</f>
        <v>0</v>
      </c>
      <c r="I92" s="38">
        <f>Місто!I95-'[1]Місто'!I91</f>
        <v>0</v>
      </c>
      <c r="J92" s="38">
        <f>Місто!J95-'[1]Місто'!J91</f>
        <v>64403642</v>
      </c>
      <c r="K92" s="38">
        <f>Місто!K95-'[1]Місто'!K91</f>
        <v>0</v>
      </c>
      <c r="L92" s="38">
        <f>Місто!L95-'[1]Місто'!L91</f>
        <v>0</v>
      </c>
      <c r="M92" s="38">
        <f>Місто!M95-'[1]Місто'!M91</f>
        <v>0</v>
      </c>
      <c r="N92" s="38">
        <f>Місто!N95-'[1]Місто'!N91</f>
        <v>64403642</v>
      </c>
      <c r="O92" s="38">
        <f>Місто!O95-'[1]Місто'!O91</f>
        <v>64403642</v>
      </c>
      <c r="P92" s="55">
        <f>Місто!P95-'[1]Місто'!P91</f>
        <v>44069698</v>
      </c>
      <c r="Q92" s="53"/>
      <c r="R92" s="59"/>
      <c r="W92" s="53">
        <f t="shared" si="1"/>
        <v>0</v>
      </c>
    </row>
    <row r="93" spans="1:23" ht="12.75">
      <c r="A93" s="39"/>
      <c r="B93" s="39" t="s">
        <v>261</v>
      </c>
      <c r="C93" s="74" t="s">
        <v>456</v>
      </c>
      <c r="D93" s="36" t="s">
        <v>262</v>
      </c>
      <c r="E93" s="38">
        <f>Місто!E96-'[1]Місто'!E92</f>
        <v>-31875557</v>
      </c>
      <c r="F93" s="38">
        <f>Місто!F96-'[1]Місто'!F92</f>
        <v>-31875557</v>
      </c>
      <c r="G93" s="38">
        <f>Місто!G96-'[1]Місто'!G92</f>
        <v>544949</v>
      </c>
      <c r="H93" s="140">
        <f>Місто!H96-'[1]Місто'!H92</f>
        <v>0</v>
      </c>
      <c r="I93" s="38">
        <f>Місто!I96-'[1]Місто'!I92</f>
        <v>0</v>
      </c>
      <c r="J93" s="38">
        <f>Місто!J96-'[1]Місто'!J92</f>
        <v>33070177</v>
      </c>
      <c r="K93" s="38">
        <f>Місто!K96-'[1]Місто'!K92</f>
        <v>0</v>
      </c>
      <c r="L93" s="38">
        <f>Місто!L96-'[1]Місто'!L92</f>
        <v>0</v>
      </c>
      <c r="M93" s="38">
        <f>Місто!M96-'[1]Місто'!M92</f>
        <v>0</v>
      </c>
      <c r="N93" s="117">
        <f>Місто!N96-'[1]Місто'!N92</f>
        <v>33070177</v>
      </c>
      <c r="O93" s="38">
        <f>Місто!O96-'[1]Місто'!O92</f>
        <v>33070177</v>
      </c>
      <c r="P93" s="55">
        <f>Місто!P96-'[1]Місто'!P92</f>
        <v>1194620</v>
      </c>
      <c r="Q93" s="53">
        <f>24800+69391</f>
        <v>94191</v>
      </c>
      <c r="R93" s="59"/>
      <c r="S93" s="59">
        <f>R93-Q93</f>
        <v>-94191</v>
      </c>
      <c r="W93" s="53">
        <f>N93-O93</f>
        <v>0</v>
      </c>
    </row>
    <row r="94" spans="1:23" ht="45" hidden="1">
      <c r="A94" s="39"/>
      <c r="B94" s="39"/>
      <c r="C94" s="39"/>
      <c r="D94" s="94" t="s">
        <v>118</v>
      </c>
      <c r="E94" s="38">
        <f>Місто!E97-'[1]Місто'!E93</f>
        <v>0</v>
      </c>
      <c r="F94" s="38">
        <f>Місто!F97-'[1]Місто'!F93</f>
        <v>0</v>
      </c>
      <c r="G94" s="38">
        <f>Місто!G97-'[1]Місто'!G93</f>
        <v>0</v>
      </c>
      <c r="H94" s="38">
        <f>Місто!H97-'[1]Місто'!H93</f>
        <v>0</v>
      </c>
      <c r="I94" s="38">
        <f>Місто!I97-'[1]Місто'!I93</f>
        <v>0</v>
      </c>
      <c r="J94" s="38">
        <f>Місто!J97-'[1]Місто'!J93</f>
        <v>0</v>
      </c>
      <c r="K94" s="38">
        <f>Місто!K97-'[1]Місто'!K93</f>
        <v>0</v>
      </c>
      <c r="L94" s="38">
        <f>Місто!L97-'[1]Місто'!L93</f>
        <v>0</v>
      </c>
      <c r="M94" s="38">
        <f>Місто!M97-'[1]Місто'!M93</f>
        <v>0</v>
      </c>
      <c r="N94" s="38">
        <f>Місто!N97-'[1]Місто'!N93</f>
        <v>0</v>
      </c>
      <c r="O94" s="38">
        <f>Місто!O97-'[1]Місто'!O93</f>
        <v>0</v>
      </c>
      <c r="P94" s="55">
        <f>Місто!P97-'[1]Місто'!P93</f>
        <v>0</v>
      </c>
      <c r="Q94" s="53"/>
      <c r="R94" s="59"/>
      <c r="W94" s="53">
        <f t="shared" si="1"/>
        <v>0</v>
      </c>
    </row>
    <row r="95" spans="1:23" ht="12.75">
      <c r="A95" s="39"/>
      <c r="B95" s="39"/>
      <c r="C95" s="39"/>
      <c r="D95" s="94" t="s">
        <v>425</v>
      </c>
      <c r="E95" s="38">
        <f>Місто!E98-'[1]Місто'!E94</f>
        <v>-23044744</v>
      </c>
      <c r="F95" s="38">
        <f>Місто!F98-'[1]Місто'!F94</f>
        <v>-23044744</v>
      </c>
      <c r="G95" s="38">
        <f>Місто!G98-'[1]Місто'!G94</f>
        <v>6116934</v>
      </c>
      <c r="H95" s="38">
        <f>Місто!H98-'[1]Місто'!H94</f>
        <v>5901867</v>
      </c>
      <c r="I95" s="38">
        <f>Місто!I98-'[1]Місто'!I94</f>
        <v>0</v>
      </c>
      <c r="J95" s="38">
        <f>Місто!J98-'[1]Місто'!J94</f>
        <v>16946624</v>
      </c>
      <c r="K95" s="38">
        <f>Місто!K98-'[1]Місто'!K94</f>
        <v>0</v>
      </c>
      <c r="L95" s="38">
        <f>Місто!L98-'[1]Місто'!L94</f>
        <v>0</v>
      </c>
      <c r="M95" s="38">
        <f>Місто!M98-'[1]Місто'!M94</f>
        <v>0</v>
      </c>
      <c r="N95" s="38">
        <f>Місто!N98-'[1]Місто'!N94</f>
        <v>16946624</v>
      </c>
      <c r="O95" s="38">
        <f>Місто!O98-'[1]Місто'!O94</f>
        <v>16946624</v>
      </c>
      <c r="P95" s="55">
        <f>Місто!P98-'[1]Місто'!P94</f>
        <v>-6098120</v>
      </c>
      <c r="Q95" s="53"/>
      <c r="R95" s="59"/>
      <c r="W95" s="53">
        <f t="shared" si="1"/>
        <v>0</v>
      </c>
    </row>
    <row r="96" spans="1:23" ht="25.5">
      <c r="A96" s="39"/>
      <c r="B96" s="39" t="s">
        <v>298</v>
      </c>
      <c r="C96" s="74" t="s">
        <v>457</v>
      </c>
      <c r="D96" s="68" t="s">
        <v>212</v>
      </c>
      <c r="E96" s="38">
        <f>Місто!E99-'[1]Місто'!E95</f>
        <v>-4642276</v>
      </c>
      <c r="F96" s="38">
        <f>Місто!F99-'[1]Місто'!F95</f>
        <v>-4642276</v>
      </c>
      <c r="G96" s="38">
        <f>Місто!G99-'[1]Місто'!G95</f>
        <v>284065</v>
      </c>
      <c r="H96" s="38">
        <f>Місто!H99-'[1]Місто'!H95</f>
        <v>0</v>
      </c>
      <c r="I96" s="38">
        <f>Місто!I99-'[1]Місто'!I95</f>
        <v>0</v>
      </c>
      <c r="J96" s="38">
        <f>Місто!J99-'[1]Місто'!J95</f>
        <v>4879188</v>
      </c>
      <c r="K96" s="38">
        <f>Місто!K99-'[1]Місто'!K95</f>
        <v>0</v>
      </c>
      <c r="L96" s="38">
        <f>Місто!L99-'[1]Місто'!L95</f>
        <v>0</v>
      </c>
      <c r="M96" s="38">
        <f>Місто!M99-'[1]Місто'!M95</f>
        <v>0</v>
      </c>
      <c r="N96" s="38">
        <f>Місто!N99-'[1]Місто'!N95</f>
        <v>4879188</v>
      </c>
      <c r="O96" s="38">
        <f>Місто!O99-'[1]Місто'!O95</f>
        <v>4879188</v>
      </c>
      <c r="P96" s="55">
        <f>Місто!P99-'[1]Місто'!P95</f>
        <v>236912</v>
      </c>
      <c r="Q96" s="53"/>
      <c r="R96" s="59"/>
      <c r="W96" s="53">
        <f t="shared" si="1"/>
        <v>0</v>
      </c>
    </row>
    <row r="97" spans="1:23" ht="12.75">
      <c r="A97" s="39"/>
      <c r="B97" s="39"/>
      <c r="C97" s="39"/>
      <c r="D97" s="94" t="s">
        <v>425</v>
      </c>
      <c r="E97" s="38">
        <f>Місто!E100-'[1]Місто'!E96</f>
        <v>-1166131</v>
      </c>
      <c r="F97" s="38">
        <f>Місто!F100-'[1]Місто'!F96</f>
        <v>-1166131</v>
      </c>
      <c r="G97" s="38">
        <f>Місто!G100-'[1]Місто'!G96</f>
        <v>3145991</v>
      </c>
      <c r="H97" s="38">
        <f>Місто!H100-'[1]Місто'!H96</f>
        <v>0</v>
      </c>
      <c r="I97" s="38">
        <f>Місто!I100-'[1]Місто'!I96</f>
        <v>0</v>
      </c>
      <c r="J97" s="38">
        <f>Місто!J100-'[1]Місто'!J96</f>
        <v>3069830</v>
      </c>
      <c r="K97" s="38">
        <f>Місто!K100-'[1]Місто'!K96</f>
        <v>0</v>
      </c>
      <c r="L97" s="38">
        <f>Місто!L100-'[1]Місто'!L96</f>
        <v>0</v>
      </c>
      <c r="M97" s="38">
        <f>Місто!M100-'[1]Місто'!M96</f>
        <v>0</v>
      </c>
      <c r="N97" s="38">
        <f>Місто!N100-'[1]Місто'!N96</f>
        <v>3069830</v>
      </c>
      <c r="O97" s="38">
        <f>Місто!O100-'[1]Місто'!O96</f>
        <v>3069830</v>
      </c>
      <c r="P97" s="55">
        <f>Місто!P100-'[1]Місто'!P96</f>
        <v>1903699</v>
      </c>
      <c r="Q97" s="53"/>
      <c r="R97" s="59"/>
      <c r="W97" s="53">
        <f t="shared" si="1"/>
        <v>0</v>
      </c>
    </row>
    <row r="98" spans="1:23" ht="51">
      <c r="A98" s="39"/>
      <c r="B98" s="39" t="s">
        <v>263</v>
      </c>
      <c r="C98" s="74" t="s">
        <v>458</v>
      </c>
      <c r="D98" s="36" t="s">
        <v>348</v>
      </c>
      <c r="E98" s="38">
        <f>Місто!E101-'[1]Місто'!E97</f>
        <v>-171556</v>
      </c>
      <c r="F98" s="38">
        <f>Місто!F101-'[1]Місто'!F97</f>
        <v>-171556</v>
      </c>
      <c r="G98" s="38">
        <f>Місто!G101-'[1]Місто'!G97</f>
        <v>235215</v>
      </c>
      <c r="H98" s="38">
        <f>Місто!H101-'[1]Місто'!H97</f>
        <v>0</v>
      </c>
      <c r="I98" s="38">
        <f>Місто!I101-'[1]Місто'!I97</f>
        <v>0</v>
      </c>
      <c r="J98" s="38">
        <f>Місто!J101-'[1]Місто'!J97</f>
        <v>0</v>
      </c>
      <c r="K98" s="38">
        <f>Місто!K101-'[1]Місто'!K97</f>
        <v>0</v>
      </c>
      <c r="L98" s="38">
        <f>Місто!L101-'[1]Місто'!L97</f>
        <v>0</v>
      </c>
      <c r="M98" s="38">
        <f>Місто!M101-'[1]Місто'!M97</f>
        <v>0</v>
      </c>
      <c r="N98" s="38">
        <f>Місто!N101-'[1]Місто'!N97</f>
        <v>0</v>
      </c>
      <c r="O98" s="38">
        <f>Місто!O101-'[1]Місто'!O97</f>
        <v>0</v>
      </c>
      <c r="P98" s="55">
        <f>Місто!P101-'[1]Місто'!P97</f>
        <v>-171556</v>
      </c>
      <c r="Q98" s="53"/>
      <c r="R98" s="59"/>
      <c r="W98" s="53">
        <f t="shared" si="1"/>
        <v>0</v>
      </c>
    </row>
    <row r="99" spans="1:23" ht="45" hidden="1">
      <c r="A99" s="39"/>
      <c r="B99" s="39"/>
      <c r="C99" s="39"/>
      <c r="D99" s="94" t="s">
        <v>118</v>
      </c>
      <c r="E99" s="38">
        <f>Місто!E102-'[1]Місто'!E98</f>
        <v>0</v>
      </c>
      <c r="F99" s="38">
        <f>Місто!F102-'[1]Місто'!F98</f>
        <v>0</v>
      </c>
      <c r="G99" s="38">
        <f>Місто!G102-'[1]Місто'!G98</f>
        <v>0</v>
      </c>
      <c r="H99" s="38">
        <f>Місто!H102-'[1]Місто'!H98</f>
        <v>0</v>
      </c>
      <c r="I99" s="38">
        <f>Місто!I102-'[1]Місто'!I98</f>
        <v>0</v>
      </c>
      <c r="J99" s="38">
        <f>Місто!J102-'[1]Місто'!J98</f>
        <v>0</v>
      </c>
      <c r="K99" s="38">
        <f>Місто!K102-'[1]Місто'!K98</f>
        <v>0</v>
      </c>
      <c r="L99" s="38">
        <f>Місто!L102-'[1]Місто'!L98</f>
        <v>0</v>
      </c>
      <c r="M99" s="38">
        <f>Місто!M102-'[1]Місто'!M98</f>
        <v>0</v>
      </c>
      <c r="N99" s="38">
        <f>Місто!N102-'[1]Місто'!N98</f>
        <v>0</v>
      </c>
      <c r="O99" s="38">
        <f>Місто!O102-'[1]Місто'!O98</f>
        <v>0</v>
      </c>
      <c r="P99" s="55">
        <f>Місто!P102-'[1]Місто'!P98</f>
        <v>0</v>
      </c>
      <c r="Q99" s="53"/>
      <c r="R99" s="59"/>
      <c r="W99" s="53">
        <f t="shared" si="1"/>
        <v>0</v>
      </c>
    </row>
    <row r="100" spans="1:23" ht="12.75">
      <c r="A100" s="39"/>
      <c r="B100" s="39"/>
      <c r="C100" s="39"/>
      <c r="D100" s="94" t="s">
        <v>425</v>
      </c>
      <c r="E100" s="38">
        <f>Місто!E103-'[1]Місто'!E99</f>
        <v>166320</v>
      </c>
      <c r="F100" s="38">
        <f>Місто!F103-'[1]Місто'!F99</f>
        <v>166320</v>
      </c>
      <c r="G100" s="38">
        <f>Місто!G103-'[1]Місто'!G99</f>
        <v>491163</v>
      </c>
      <c r="H100" s="38">
        <f>Місто!H103-'[1]Місто'!H99</f>
        <v>0</v>
      </c>
      <c r="I100" s="38">
        <f>Місто!I103-'[1]Місто'!I99</f>
        <v>0</v>
      </c>
      <c r="J100" s="38">
        <f>Місто!J103-'[1]Місто'!J99</f>
        <v>0</v>
      </c>
      <c r="K100" s="38">
        <f>Місто!K103-'[1]Місто'!K99</f>
        <v>0</v>
      </c>
      <c r="L100" s="38">
        <f>Місто!L103-'[1]Місто'!L99</f>
        <v>0</v>
      </c>
      <c r="M100" s="38">
        <f>Місто!M103-'[1]Місто'!M99</f>
        <v>0</v>
      </c>
      <c r="N100" s="38">
        <f>Місто!N103-'[1]Місто'!N99</f>
        <v>0</v>
      </c>
      <c r="O100" s="38">
        <f>Місто!O103-'[1]Місто'!O99</f>
        <v>0</v>
      </c>
      <c r="P100" s="55">
        <f>Місто!P103-'[1]Місто'!P99</f>
        <v>166320</v>
      </c>
      <c r="Q100" s="53"/>
      <c r="R100" s="59"/>
      <c r="W100" s="53">
        <f t="shared" si="1"/>
        <v>0</v>
      </c>
    </row>
    <row r="101" spans="1:23" ht="25.5">
      <c r="A101" s="39"/>
      <c r="B101" s="39" t="s">
        <v>264</v>
      </c>
      <c r="C101" s="74" t="s">
        <v>459</v>
      </c>
      <c r="D101" s="43" t="s">
        <v>265</v>
      </c>
      <c r="E101" s="38">
        <f>Місто!E104-'[1]Місто'!E100</f>
        <v>-1978751</v>
      </c>
      <c r="F101" s="38">
        <f>Місто!F104-'[1]Місто'!F100</f>
        <v>-1978751</v>
      </c>
      <c r="G101" s="38">
        <f>Місто!G104-'[1]Місто'!G100</f>
        <v>181910</v>
      </c>
      <c r="H101" s="38">
        <f>Місто!H104-'[1]Місто'!H100</f>
        <v>0</v>
      </c>
      <c r="I101" s="38">
        <f>Місто!I104-'[1]Місто'!I100</f>
        <v>0</v>
      </c>
      <c r="J101" s="38">
        <f>Місто!J104-'[1]Місто'!J100</f>
        <v>188750</v>
      </c>
      <c r="K101" s="38">
        <f>Місто!K104-'[1]Місто'!K100</f>
        <v>0</v>
      </c>
      <c r="L101" s="38">
        <f>Місто!L104-'[1]Місто'!L100</f>
        <v>0</v>
      </c>
      <c r="M101" s="38">
        <f>Місто!M104-'[1]Місто'!M100</f>
        <v>0</v>
      </c>
      <c r="N101" s="38">
        <f>Місто!N104-'[1]Місто'!N100</f>
        <v>188750</v>
      </c>
      <c r="O101" s="38">
        <f>Місто!O104-'[1]Місто'!O100</f>
        <v>188750</v>
      </c>
      <c r="P101" s="55">
        <f>Місто!P104-'[1]Місто'!P100</f>
        <v>-1790001</v>
      </c>
      <c r="Q101" s="53"/>
      <c r="R101" s="59"/>
      <c r="W101" s="53">
        <f t="shared" si="1"/>
        <v>0</v>
      </c>
    </row>
    <row r="102" spans="1:23" ht="12.75">
      <c r="A102" s="39"/>
      <c r="B102" s="39"/>
      <c r="C102" s="39"/>
      <c r="D102" s="94" t="s">
        <v>425</v>
      </c>
      <c r="E102" s="38">
        <f>Місто!E105-'[1]Місто'!E101</f>
        <v>-400881</v>
      </c>
      <c r="F102" s="38">
        <f>Місто!F105-'[1]Місто'!F101</f>
        <v>-400881</v>
      </c>
      <c r="G102" s="38">
        <f>Місто!G105-'[1]Місто'!G101</f>
        <v>1345094</v>
      </c>
      <c r="H102" s="38">
        <f>Місто!H105-'[1]Місто'!H101</f>
        <v>0</v>
      </c>
      <c r="I102" s="38">
        <f>Місто!I105-'[1]Місто'!I101</f>
        <v>0</v>
      </c>
      <c r="J102" s="38">
        <f>Місто!J105-'[1]Місто'!J101</f>
        <v>188750</v>
      </c>
      <c r="K102" s="38">
        <f>Місто!K105-'[1]Місто'!K101</f>
        <v>0</v>
      </c>
      <c r="L102" s="38">
        <f>Місто!L105-'[1]Місто'!L101</f>
        <v>0</v>
      </c>
      <c r="M102" s="38">
        <f>Місто!M105-'[1]Місто'!M101</f>
        <v>0</v>
      </c>
      <c r="N102" s="38">
        <f>Місто!N105-'[1]Місто'!N101</f>
        <v>188750</v>
      </c>
      <c r="O102" s="38">
        <f>Місто!O105-'[1]Місто'!O101</f>
        <v>188750</v>
      </c>
      <c r="P102" s="55">
        <f>Місто!P105-'[1]Місто'!P101</f>
        <v>-212131</v>
      </c>
      <c r="Q102" s="53"/>
      <c r="R102" s="59"/>
      <c r="W102" s="53">
        <f t="shared" si="1"/>
        <v>0</v>
      </c>
    </row>
    <row r="103" spans="1:23" ht="25.5">
      <c r="A103" s="39"/>
      <c r="B103" s="39" t="s">
        <v>266</v>
      </c>
      <c r="C103" s="74" t="s">
        <v>460</v>
      </c>
      <c r="D103" s="36" t="s">
        <v>321</v>
      </c>
      <c r="E103" s="38">
        <f>Місто!E106-'[1]Місто'!E102</f>
        <v>-41354</v>
      </c>
      <c r="F103" s="38">
        <f>Місто!F106-'[1]Місто'!F102</f>
        <v>-41354</v>
      </c>
      <c r="G103" s="38">
        <f>Місто!G106-'[1]Місто'!G102</f>
        <v>1980</v>
      </c>
      <c r="H103" s="38">
        <f>Місто!H106-'[1]Місто'!H102</f>
        <v>0</v>
      </c>
      <c r="I103" s="38">
        <f>Місто!I106-'[1]Місто'!I102</f>
        <v>0</v>
      </c>
      <c r="J103" s="38">
        <f>Місто!J106-'[1]Місто'!J102</f>
        <v>0</v>
      </c>
      <c r="K103" s="38">
        <f>Місто!K106-'[1]Місто'!K102</f>
        <v>0</v>
      </c>
      <c r="L103" s="38">
        <f>Місто!L106-'[1]Місто'!L102</f>
        <v>0</v>
      </c>
      <c r="M103" s="38">
        <f>Місто!M106-'[1]Місто'!M102</f>
        <v>0</v>
      </c>
      <c r="N103" s="38">
        <f>Місто!N106-'[1]Місто'!N102</f>
        <v>0</v>
      </c>
      <c r="O103" s="38">
        <f>Місто!O106-'[1]Місто'!O102</f>
        <v>0</v>
      </c>
      <c r="P103" s="55">
        <f>Місто!P106-'[1]Місто'!P102</f>
        <v>-41354</v>
      </c>
      <c r="Q103" s="53"/>
      <c r="R103" s="59"/>
      <c r="W103" s="53">
        <f t="shared" si="1"/>
        <v>0</v>
      </c>
    </row>
    <row r="104" spans="1:23" ht="12.75">
      <c r="A104" s="39"/>
      <c r="B104" s="39"/>
      <c r="C104" s="39"/>
      <c r="D104" s="94" t="s">
        <v>425</v>
      </c>
      <c r="E104" s="38">
        <f>Місто!E107-'[1]Місто'!E103</f>
        <v>-10573</v>
      </c>
      <c r="F104" s="38">
        <f>Місто!F107-'[1]Місто'!F103</f>
        <v>-10573</v>
      </c>
      <c r="G104" s="38">
        <f>Місто!G107-'[1]Місто'!G103</f>
        <v>24563</v>
      </c>
      <c r="H104" s="38">
        <f>Місто!H107-'[1]Місто'!H103</f>
        <v>0</v>
      </c>
      <c r="I104" s="38">
        <f>Місто!I107-'[1]Місто'!I103</f>
        <v>0</v>
      </c>
      <c r="J104" s="38">
        <f>Місто!J107-'[1]Місто'!J103</f>
        <v>0</v>
      </c>
      <c r="K104" s="38">
        <f>Місто!K107-'[1]Місто'!K103</f>
        <v>0</v>
      </c>
      <c r="L104" s="38">
        <f>Місто!L107-'[1]Місто'!L103</f>
        <v>0</v>
      </c>
      <c r="M104" s="38">
        <f>Місто!M107-'[1]Місто'!M103</f>
        <v>0</v>
      </c>
      <c r="N104" s="38">
        <f>Місто!N107-'[1]Місто'!N103</f>
        <v>0</v>
      </c>
      <c r="O104" s="38">
        <f>Місто!O107-'[1]Місто'!O103</f>
        <v>0</v>
      </c>
      <c r="P104" s="55">
        <f>Місто!P107-'[1]Місто'!P103</f>
        <v>-10573</v>
      </c>
      <c r="Q104" s="53"/>
      <c r="R104" s="59"/>
      <c r="W104" s="53">
        <f t="shared" si="1"/>
        <v>0</v>
      </c>
    </row>
    <row r="105" spans="1:23" ht="25.5">
      <c r="A105" s="74"/>
      <c r="B105" s="74" t="s">
        <v>225</v>
      </c>
      <c r="C105" s="74" t="s">
        <v>461</v>
      </c>
      <c r="D105" s="36" t="s">
        <v>226</v>
      </c>
      <c r="E105" s="38">
        <f>Місто!E108-'[1]Місто'!E104</f>
        <v>18453665</v>
      </c>
      <c r="F105" s="38">
        <f>Місто!F108-'[1]Місто'!F104</f>
        <v>18453665</v>
      </c>
      <c r="G105" s="38">
        <f>Місто!G108-'[1]Місто'!G104</f>
        <v>22409671</v>
      </c>
      <c r="H105" s="38">
        <f>Місто!H108-'[1]Місто'!H104</f>
        <v>0</v>
      </c>
      <c r="I105" s="38">
        <f>Місто!I108-'[1]Місто'!I104</f>
        <v>0</v>
      </c>
      <c r="J105" s="38">
        <f>Місто!J108-'[1]Місто'!J104</f>
        <v>26188778</v>
      </c>
      <c r="K105" s="38">
        <f>Місто!K108-'[1]Місто'!K104</f>
        <v>0</v>
      </c>
      <c r="L105" s="38">
        <f>Місто!L108-'[1]Місто'!L104</f>
        <v>0</v>
      </c>
      <c r="M105" s="38">
        <f>Місто!M108-'[1]Місто'!M104</f>
        <v>0</v>
      </c>
      <c r="N105" s="38">
        <f>Місто!N108-'[1]Місто'!N104</f>
        <v>26188778</v>
      </c>
      <c r="O105" s="38">
        <f>Місто!O108-'[1]Місто'!O104</f>
        <v>26188778</v>
      </c>
      <c r="P105" s="55">
        <f>Місто!P108-'[1]Місто'!P104</f>
        <v>44642443</v>
      </c>
      <c r="Q105" s="53"/>
      <c r="R105" s="59"/>
      <c r="W105" s="53">
        <f t="shared" si="1"/>
        <v>0</v>
      </c>
    </row>
    <row r="106" spans="1:23" ht="12.75">
      <c r="A106" s="74"/>
      <c r="B106" s="74"/>
      <c r="C106" s="74"/>
      <c r="D106" s="94" t="s">
        <v>425</v>
      </c>
      <c r="E106" s="38">
        <f>Місто!E109-'[1]Місто'!E105</f>
        <v>9428390</v>
      </c>
      <c r="F106" s="38">
        <f>Місто!F109-'[1]Місто'!F105</f>
        <v>9428390</v>
      </c>
      <c r="G106" s="38">
        <f>Місто!G109-'[1]Місто'!G105</f>
        <v>15020355</v>
      </c>
      <c r="H106" s="38">
        <f>Місто!H109-'[1]Місто'!H105</f>
        <v>0</v>
      </c>
      <c r="I106" s="38">
        <f>Місто!I109-'[1]Місто'!I105</f>
        <v>0</v>
      </c>
      <c r="J106" s="38">
        <f>Місто!J109-'[1]Місто'!J105</f>
        <v>0</v>
      </c>
      <c r="K106" s="38">
        <f>Місто!K109-'[1]Місто'!K105</f>
        <v>0</v>
      </c>
      <c r="L106" s="38">
        <f>Місто!L109-'[1]Місто'!L105</f>
        <v>0</v>
      </c>
      <c r="M106" s="38">
        <f>Місто!M109-'[1]Місто'!M105</f>
        <v>0</v>
      </c>
      <c r="N106" s="38">
        <f>Місто!N109-'[1]Місто'!N105</f>
        <v>0</v>
      </c>
      <c r="O106" s="38">
        <f>Місто!O109-'[1]Місто'!O105</f>
        <v>0</v>
      </c>
      <c r="P106" s="55">
        <f>Місто!P109-'[1]Місто'!P105</f>
        <v>9428390</v>
      </c>
      <c r="Q106" s="53"/>
      <c r="R106" s="59"/>
      <c r="W106" s="53">
        <f t="shared" si="1"/>
        <v>0</v>
      </c>
    </row>
    <row r="107" spans="1:23" ht="12.75">
      <c r="A107" s="39"/>
      <c r="B107" s="39" t="s">
        <v>267</v>
      </c>
      <c r="C107" s="74" t="s">
        <v>462</v>
      </c>
      <c r="D107" s="68" t="s">
        <v>349</v>
      </c>
      <c r="E107" s="38">
        <f>Місто!E110-'[1]Місто'!E106</f>
        <v>27435</v>
      </c>
      <c r="F107" s="38">
        <f>Місто!F110-'[1]Місто'!F106</f>
        <v>27435</v>
      </c>
      <c r="G107" s="38">
        <f>Місто!G110-'[1]Місто'!G106</f>
        <v>95840</v>
      </c>
      <c r="H107" s="38">
        <f>Місто!H110-'[1]Місто'!H106</f>
        <v>0</v>
      </c>
      <c r="I107" s="38">
        <f>Місто!I110-'[1]Місто'!I106</f>
        <v>0</v>
      </c>
      <c r="J107" s="38">
        <f>Місто!J110-'[1]Місто'!J106</f>
        <v>39000</v>
      </c>
      <c r="K107" s="38">
        <f>Місто!K110-'[1]Місто'!K106</f>
        <v>0</v>
      </c>
      <c r="L107" s="38">
        <f>Місто!L110-'[1]Місто'!L106</f>
        <v>0</v>
      </c>
      <c r="M107" s="38">
        <f>Місто!M110-'[1]Місто'!M106</f>
        <v>0</v>
      </c>
      <c r="N107" s="38">
        <f>Місто!N110-'[1]Місто'!N106</f>
        <v>39000</v>
      </c>
      <c r="O107" s="38">
        <f>Місто!O110-'[1]Місто'!O106</f>
        <v>39000</v>
      </c>
      <c r="P107" s="55">
        <f>Місто!P110-'[1]Місто'!P106</f>
        <v>66435</v>
      </c>
      <c r="Q107" s="133">
        <f>800000+1335647</f>
        <v>2135647</v>
      </c>
      <c r="R107" s="59"/>
      <c r="W107" s="53">
        <f t="shared" si="1"/>
        <v>0</v>
      </c>
    </row>
    <row r="108" spans="1:23" ht="12.75">
      <c r="A108" s="39"/>
      <c r="B108" s="39"/>
      <c r="C108" s="74"/>
      <c r="D108" s="94" t="s">
        <v>425</v>
      </c>
      <c r="E108" s="38">
        <f>Місто!E111</f>
        <v>740419</v>
      </c>
      <c r="F108" s="38">
        <f>Місто!F111</f>
        <v>740419</v>
      </c>
      <c r="G108" s="38">
        <f>Місто!G111</f>
        <v>606898</v>
      </c>
      <c r="H108" s="38">
        <f>Місто!H111</f>
        <v>0</v>
      </c>
      <c r="I108" s="38">
        <f>Місто!I111</f>
        <v>0</v>
      </c>
      <c r="J108" s="38">
        <f>Місто!J111</f>
        <v>39000</v>
      </c>
      <c r="K108" s="38">
        <f>Місто!K111</f>
        <v>0</v>
      </c>
      <c r="L108" s="38">
        <f>Місто!L111</f>
        <v>0</v>
      </c>
      <c r="M108" s="38">
        <f>Місто!M111</f>
        <v>0</v>
      </c>
      <c r="N108" s="38">
        <f>Місто!N111</f>
        <v>39000</v>
      </c>
      <c r="O108" s="38">
        <f>Місто!O111</f>
        <v>39000</v>
      </c>
      <c r="P108" s="55">
        <f>Місто!P111</f>
        <v>779419</v>
      </c>
      <c r="Q108" s="133"/>
      <c r="R108" s="59"/>
      <c r="W108" s="53"/>
    </row>
    <row r="109" spans="1:23" ht="63.75">
      <c r="A109" s="39"/>
      <c r="B109" s="39" t="s">
        <v>268</v>
      </c>
      <c r="C109" s="74" t="s">
        <v>462</v>
      </c>
      <c r="D109" s="68" t="s">
        <v>215</v>
      </c>
      <c r="E109" s="38">
        <f>Місто!E112-'[1]Місто'!E107</f>
        <v>-105550</v>
      </c>
      <c r="F109" s="38">
        <f>Місто!F112-'[1]Місто'!F107</f>
        <v>-105550</v>
      </c>
      <c r="G109" s="38">
        <f>Місто!G112-'[1]Місто'!G107</f>
        <v>13100</v>
      </c>
      <c r="H109" s="38">
        <f>Місто!H112-'[1]Місто'!H107</f>
        <v>0</v>
      </c>
      <c r="I109" s="38">
        <f>Місто!I112-'[1]Місто'!I107</f>
        <v>0</v>
      </c>
      <c r="J109" s="38">
        <f>Місто!J112-'[1]Місто'!J107</f>
        <v>37749</v>
      </c>
      <c r="K109" s="38">
        <f>Місто!K112-'[1]Місто'!K107</f>
        <v>0</v>
      </c>
      <c r="L109" s="38">
        <f>Місто!L112-'[1]Місто'!L107</f>
        <v>0</v>
      </c>
      <c r="M109" s="38">
        <f>Місто!M112-'[1]Місто'!M107</f>
        <v>0</v>
      </c>
      <c r="N109" s="38">
        <f>Місто!N112-'[1]Місто'!N107</f>
        <v>37749</v>
      </c>
      <c r="O109" s="38">
        <f>Місто!O112-'[1]Місто'!O107</f>
        <v>37749</v>
      </c>
      <c r="P109" s="55">
        <f>Місто!P112-'[1]Місто'!P107</f>
        <v>-67801</v>
      </c>
      <c r="Q109" s="53">
        <f>-138517+35863</f>
        <v>-102654</v>
      </c>
      <c r="R109" s="59"/>
      <c r="S109" s="59">
        <f>Q109-R98-R109</f>
        <v>-102654</v>
      </c>
      <c r="W109" s="53">
        <f t="shared" si="1"/>
        <v>0</v>
      </c>
    </row>
    <row r="110" spans="1:23" ht="12.75" hidden="1">
      <c r="A110" s="39"/>
      <c r="B110" s="39" t="s">
        <v>269</v>
      </c>
      <c r="C110" s="39"/>
      <c r="D110" s="36" t="s">
        <v>270</v>
      </c>
      <c r="E110" s="38">
        <f>Місто!E113-'[1]Місто'!E108</f>
        <v>0</v>
      </c>
      <c r="F110" s="38">
        <f>Місто!F113-'[1]Місто'!F108</f>
        <v>0</v>
      </c>
      <c r="G110" s="38">
        <f>Місто!G113-'[1]Місто'!G108</f>
        <v>0</v>
      </c>
      <c r="H110" s="38">
        <f>Місто!H113-'[1]Місто'!H108</f>
        <v>0</v>
      </c>
      <c r="I110" s="38">
        <f>Місто!I113-'[1]Місто'!I108</f>
        <v>0</v>
      </c>
      <c r="J110" s="38">
        <f>Місто!J113-'[1]Місто'!J108</f>
        <v>0</v>
      </c>
      <c r="K110" s="38">
        <f>Місто!K113-'[1]Місто'!K108</f>
        <v>0</v>
      </c>
      <c r="L110" s="38">
        <f>Місто!L113-'[1]Місто'!L108</f>
        <v>0</v>
      </c>
      <c r="M110" s="38">
        <f>Місто!M113-'[1]Місто'!M108</f>
        <v>0</v>
      </c>
      <c r="N110" s="38">
        <f>Місто!N113-'[1]Місто'!N108</f>
        <v>0</v>
      </c>
      <c r="O110" s="38">
        <f>Місто!O113-'[1]Місто'!O108</f>
        <v>0</v>
      </c>
      <c r="P110" s="55">
        <f>Місто!P113-'[1]Місто'!P108</f>
        <v>0</v>
      </c>
      <c r="Q110" s="53"/>
      <c r="R110" s="59"/>
      <c r="W110" s="53">
        <f t="shared" si="1"/>
        <v>0</v>
      </c>
    </row>
    <row r="111" spans="1:23" ht="38.25">
      <c r="A111" s="39"/>
      <c r="B111" s="39" t="s">
        <v>334</v>
      </c>
      <c r="C111" s="74" t="s">
        <v>462</v>
      </c>
      <c r="D111" s="60" t="s">
        <v>383</v>
      </c>
      <c r="E111" s="38">
        <f>Місто!E114-'[1]Місто'!E109</f>
        <v>0</v>
      </c>
      <c r="F111" s="38">
        <f>Місто!F114-'[1]Місто'!F109</f>
        <v>0</v>
      </c>
      <c r="G111" s="38">
        <f>Місто!G114-'[1]Місто'!G109</f>
        <v>0</v>
      </c>
      <c r="H111" s="38">
        <f>Місто!H114-'[1]Місто'!H109</f>
        <v>0</v>
      </c>
      <c r="I111" s="38">
        <f>Місто!I114-'[1]Місто'!I109</f>
        <v>0</v>
      </c>
      <c r="J111" s="38">
        <f>Місто!J114-'[1]Місто'!J109</f>
        <v>0</v>
      </c>
      <c r="K111" s="38">
        <f>Місто!K114-'[1]Місто'!K109</f>
        <v>0</v>
      </c>
      <c r="L111" s="38">
        <f>Місто!L114-'[1]Місто'!L109</f>
        <v>0</v>
      </c>
      <c r="M111" s="38">
        <f>Місто!M114-'[1]Місто'!M109</f>
        <v>0</v>
      </c>
      <c r="N111" s="38">
        <f>Місто!N114-'[1]Місто'!N109</f>
        <v>0</v>
      </c>
      <c r="O111" s="38">
        <f>Місто!O114-'[1]Місто'!O109</f>
        <v>0</v>
      </c>
      <c r="P111" s="55">
        <f>Місто!P114-'[1]Місто'!P109</f>
        <v>0</v>
      </c>
      <c r="Q111" s="53"/>
      <c r="R111" s="59"/>
      <c r="W111" s="53">
        <f t="shared" si="1"/>
        <v>0</v>
      </c>
    </row>
    <row r="112" spans="1:23" s="54" customFormat="1" ht="12.75">
      <c r="A112" s="39"/>
      <c r="B112" s="39" t="s">
        <v>366</v>
      </c>
      <c r="C112" s="39"/>
      <c r="D112" s="60" t="s">
        <v>283</v>
      </c>
      <c r="E112" s="38">
        <f>Місто!E115-'[1]Місто'!E110</f>
        <v>0</v>
      </c>
      <c r="F112" s="38">
        <f>Місто!F115-'[1]Місто'!F110</f>
        <v>0</v>
      </c>
      <c r="G112" s="38">
        <f>Місто!G115-'[1]Місто'!G110</f>
        <v>0</v>
      </c>
      <c r="H112" s="38">
        <f>Місто!H115-'[1]Місто'!H110</f>
        <v>0</v>
      </c>
      <c r="I112" s="38">
        <f>Місто!I115-'[1]Місто'!I110</f>
        <v>0</v>
      </c>
      <c r="J112" s="38">
        <f>Місто!J115-'[1]Місто'!J110</f>
        <v>35473565</v>
      </c>
      <c r="K112" s="38">
        <f>Місто!K115-'[1]Місто'!K110</f>
        <v>0</v>
      </c>
      <c r="L112" s="38">
        <f>Місто!L115-'[1]Місто'!L110</f>
        <v>0</v>
      </c>
      <c r="M112" s="38">
        <f>Місто!M115-'[1]Місто'!M110</f>
        <v>0</v>
      </c>
      <c r="N112" s="38">
        <f>Місто!N115-'[1]Місто'!N110</f>
        <v>35473565</v>
      </c>
      <c r="O112" s="38">
        <f>Місто!O115-'[1]Місто'!O110</f>
        <v>35473565</v>
      </c>
      <c r="P112" s="55">
        <f>Місто!P115-'[1]Місто'!P110</f>
        <v>35473565</v>
      </c>
      <c r="Q112" s="53"/>
      <c r="R112" s="53"/>
      <c r="W112" s="53">
        <f t="shared" si="1"/>
        <v>0</v>
      </c>
    </row>
    <row r="113" spans="1:23" s="57" customFormat="1" ht="12.75">
      <c r="A113" s="39"/>
      <c r="B113" s="39" t="s">
        <v>338</v>
      </c>
      <c r="C113" s="74" t="s">
        <v>443</v>
      </c>
      <c r="D113" s="36" t="s">
        <v>339</v>
      </c>
      <c r="E113" s="38">
        <f>Місто!E116-'[1]Місто'!E111</f>
        <v>0</v>
      </c>
      <c r="F113" s="38">
        <f>Місто!F116-'[1]Місто'!F111</f>
        <v>0</v>
      </c>
      <c r="G113" s="38">
        <f>Місто!G116-'[1]Місто'!G111</f>
        <v>0</v>
      </c>
      <c r="H113" s="38">
        <f>Місто!H116-'[1]Місто'!H111</f>
        <v>0</v>
      </c>
      <c r="I113" s="38">
        <f>Місто!I116-'[1]Місто'!I111</f>
        <v>0</v>
      </c>
      <c r="J113" s="38">
        <f>Місто!J116-'[1]Місто'!J111</f>
        <v>35473565</v>
      </c>
      <c r="K113" s="38">
        <f>Місто!K116-'[1]Місто'!K111</f>
        <v>0</v>
      </c>
      <c r="L113" s="38">
        <f>Місто!L116-'[1]Місто'!L111</f>
        <v>0</v>
      </c>
      <c r="M113" s="38">
        <f>Місто!M116-'[1]Місто'!M111</f>
        <v>0</v>
      </c>
      <c r="N113" s="38">
        <f>Місто!N116-'[1]Місто'!N111</f>
        <v>35473565</v>
      </c>
      <c r="O113" s="38">
        <f>Місто!O116-'[1]Місто'!O111</f>
        <v>35473565</v>
      </c>
      <c r="P113" s="55">
        <f>Місто!P116-'[1]Місто'!P111</f>
        <v>35473565</v>
      </c>
      <c r="Q113" s="53"/>
      <c r="R113" s="56"/>
      <c r="W113" s="53">
        <f t="shared" si="1"/>
        <v>0</v>
      </c>
    </row>
    <row r="114" spans="1:23" s="57" customFormat="1" ht="45" hidden="1">
      <c r="A114" s="39"/>
      <c r="B114" s="39"/>
      <c r="C114" s="39"/>
      <c r="D114" s="91" t="s">
        <v>235</v>
      </c>
      <c r="E114" s="38">
        <f>Місто!E117-'[1]Місто'!E112</f>
        <v>0</v>
      </c>
      <c r="F114" s="38">
        <f>Місто!F117-'[1]Місто'!F112</f>
        <v>0</v>
      </c>
      <c r="G114" s="38">
        <f>Місто!G117-'[1]Місто'!G112</f>
        <v>0</v>
      </c>
      <c r="H114" s="38">
        <f>Місто!H117-'[1]Місто'!H112</f>
        <v>0</v>
      </c>
      <c r="I114" s="38">
        <f>Місто!I117-'[1]Місто'!I112</f>
        <v>0</v>
      </c>
      <c r="J114" s="38">
        <f>Місто!J117-'[1]Місто'!J112</f>
        <v>0</v>
      </c>
      <c r="K114" s="38">
        <f>Місто!K117-'[1]Місто'!K112</f>
        <v>0</v>
      </c>
      <c r="L114" s="38">
        <f>Місто!L117-'[1]Місто'!L112</f>
        <v>0</v>
      </c>
      <c r="M114" s="38">
        <f>Місто!M117-'[1]Місто'!M112</f>
        <v>0</v>
      </c>
      <c r="N114" s="38">
        <f>Місто!N117-'[1]Місто'!N112</f>
        <v>0</v>
      </c>
      <c r="O114" s="76">
        <f>Місто!O117-'[1]Місто'!O112</f>
        <v>0</v>
      </c>
      <c r="P114" s="55">
        <f>Місто!P117-'[1]Місто'!P112</f>
        <v>0</v>
      </c>
      <c r="Q114" s="53"/>
      <c r="R114" s="56"/>
      <c r="W114" s="53">
        <f t="shared" si="1"/>
        <v>0</v>
      </c>
    </row>
    <row r="115" spans="1:23" ht="12.75" hidden="1">
      <c r="A115" s="39"/>
      <c r="B115" s="39" t="s">
        <v>357</v>
      </c>
      <c r="C115" s="39"/>
      <c r="D115" s="36" t="s">
        <v>358</v>
      </c>
      <c r="E115" s="38">
        <f>Місто!E118-'[1]Місто'!E113</f>
        <v>0</v>
      </c>
      <c r="F115" s="38">
        <f>Місто!F118-'[1]Місто'!F113</f>
        <v>0</v>
      </c>
      <c r="G115" s="38">
        <f>Місто!G118-'[1]Місто'!G113</f>
        <v>0</v>
      </c>
      <c r="H115" s="38">
        <f>Місто!H118-'[1]Місто'!H113</f>
        <v>0</v>
      </c>
      <c r="I115" s="38">
        <f>Місто!I118-'[1]Місто'!I113</f>
        <v>0</v>
      </c>
      <c r="J115" s="38">
        <f>Місто!J118-'[1]Місто'!J113</f>
        <v>0</v>
      </c>
      <c r="K115" s="38">
        <f>Місто!K118-'[1]Місто'!K113</f>
        <v>0</v>
      </c>
      <c r="L115" s="38">
        <f>Місто!L118-'[1]Місто'!L113</f>
        <v>0</v>
      </c>
      <c r="M115" s="38">
        <f>Місто!M118-'[1]Місто'!M113</f>
        <v>0</v>
      </c>
      <c r="N115" s="38">
        <f>Місто!N118-'[1]Місто'!N113</f>
        <v>0</v>
      </c>
      <c r="O115" s="38">
        <f>Місто!O118-'[1]Місто'!O113</f>
        <v>0</v>
      </c>
      <c r="P115" s="55">
        <f>Місто!P118-'[1]Місто'!P113</f>
        <v>0</v>
      </c>
      <c r="Q115" s="53"/>
      <c r="R115" s="59"/>
      <c r="W115" s="53">
        <f t="shared" si="1"/>
        <v>0</v>
      </c>
    </row>
    <row r="116" spans="1:23" s="3" customFormat="1" ht="51" hidden="1">
      <c r="A116" s="39"/>
      <c r="B116" s="39"/>
      <c r="C116" s="39"/>
      <c r="D116" s="73" t="s">
        <v>156</v>
      </c>
      <c r="E116" s="38">
        <f>Місто!E119-'[1]Місто'!E114</f>
        <v>0</v>
      </c>
      <c r="F116" s="38">
        <f>Місто!F119-'[1]Місто'!F114</f>
        <v>0</v>
      </c>
      <c r="G116" s="38">
        <f>Місто!G119-'[1]Місто'!G114</f>
        <v>0</v>
      </c>
      <c r="H116" s="38">
        <f>Місто!H119-'[1]Місто'!H114</f>
        <v>0</v>
      </c>
      <c r="I116" s="38">
        <f>Місто!I119-'[1]Місто'!I114</f>
        <v>0</v>
      </c>
      <c r="J116" s="38">
        <f>Місто!J119-'[1]Місто'!J114</f>
        <v>0</v>
      </c>
      <c r="K116" s="38">
        <f>Місто!K119-'[1]Місто'!K114</f>
        <v>0</v>
      </c>
      <c r="L116" s="38">
        <f>Місто!L119-'[1]Місто'!L114</f>
        <v>0</v>
      </c>
      <c r="M116" s="38">
        <f>Місто!M119-'[1]Місто'!M114</f>
        <v>0</v>
      </c>
      <c r="N116" s="38">
        <f>Місто!N119-'[1]Місто'!N114</f>
        <v>0</v>
      </c>
      <c r="O116" s="38">
        <f>Місто!O119-'[1]Місто'!O114</f>
        <v>0</v>
      </c>
      <c r="P116" s="55">
        <f>Місто!P119-'[1]Місто'!P114</f>
        <v>0</v>
      </c>
      <c r="Q116" s="53"/>
      <c r="W116" s="53">
        <f t="shared" si="1"/>
        <v>0</v>
      </c>
    </row>
    <row r="117" spans="1:23" s="3" customFormat="1" ht="12.75" hidden="1">
      <c r="A117" s="39"/>
      <c r="B117" s="39" t="s">
        <v>369</v>
      </c>
      <c r="C117" s="39"/>
      <c r="D117" s="60" t="s">
        <v>373</v>
      </c>
      <c r="E117" s="38">
        <f>Місто!E120-'[1]Місто'!E115</f>
        <v>0</v>
      </c>
      <c r="F117" s="38">
        <f>Місто!F120-'[1]Місто'!F115</f>
        <v>0</v>
      </c>
      <c r="G117" s="38">
        <f>Місто!G120-'[1]Місто'!G115</f>
        <v>0</v>
      </c>
      <c r="H117" s="38">
        <f>Місто!H120-'[1]Місто'!H115</f>
        <v>0</v>
      </c>
      <c r="I117" s="38">
        <f>Місто!I120-'[1]Місто'!I115</f>
        <v>0</v>
      </c>
      <c r="J117" s="38">
        <f>Місто!J120-'[1]Місто'!J115</f>
        <v>0</v>
      </c>
      <c r="K117" s="38">
        <f>Місто!K120-'[1]Місто'!K115</f>
        <v>0</v>
      </c>
      <c r="L117" s="38">
        <f>Місто!L120-'[1]Місто'!L115</f>
        <v>0</v>
      </c>
      <c r="M117" s="38">
        <f>Місто!M120-'[1]Місто'!M115</f>
        <v>0</v>
      </c>
      <c r="N117" s="38">
        <f>Місто!N120-'[1]Місто'!N115</f>
        <v>0</v>
      </c>
      <c r="O117" s="38">
        <f>Місто!O120-'[1]Місто'!O115</f>
        <v>0</v>
      </c>
      <c r="P117" s="55">
        <f>Місто!P120-'[1]Місто'!P115</f>
        <v>0</v>
      </c>
      <c r="Q117" s="53"/>
      <c r="W117" s="53">
        <f t="shared" si="1"/>
        <v>0</v>
      </c>
    </row>
    <row r="118" spans="1:23" s="3" customFormat="1" ht="25.5" hidden="1">
      <c r="A118" s="39"/>
      <c r="B118" s="39" t="s">
        <v>287</v>
      </c>
      <c r="C118" s="39"/>
      <c r="D118" s="60" t="s">
        <v>333</v>
      </c>
      <c r="E118" s="38">
        <f>Місто!E121-'[1]Місто'!E116</f>
        <v>0</v>
      </c>
      <c r="F118" s="38">
        <f>Місто!F121-'[1]Місто'!F116</f>
        <v>0</v>
      </c>
      <c r="G118" s="38">
        <f>Місто!G121-'[1]Місто'!G116</f>
        <v>0</v>
      </c>
      <c r="H118" s="38">
        <f>Місто!H121-'[1]Місто'!H116</f>
        <v>0</v>
      </c>
      <c r="I118" s="38">
        <f>Місто!I121-'[1]Місто'!I116</f>
        <v>0</v>
      </c>
      <c r="J118" s="38">
        <f>Місто!J121-'[1]Місто'!J116</f>
        <v>0</v>
      </c>
      <c r="K118" s="38">
        <f>Місто!K121-'[1]Місто'!K116</f>
        <v>0</v>
      </c>
      <c r="L118" s="38">
        <f>Місто!L121-'[1]Місто'!L116</f>
        <v>0</v>
      </c>
      <c r="M118" s="38">
        <f>Місто!M121-'[1]Місто'!M116</f>
        <v>0</v>
      </c>
      <c r="N118" s="38">
        <f>Місто!N121-'[1]Місто'!N116</f>
        <v>0</v>
      </c>
      <c r="O118" s="38">
        <f>Місто!O121-'[1]Місто'!O116</f>
        <v>0</v>
      </c>
      <c r="P118" s="55">
        <f>Місто!P121-'[1]Місто'!P116</f>
        <v>0</v>
      </c>
      <c r="Q118" s="53"/>
      <c r="W118" s="53">
        <f t="shared" si="1"/>
        <v>0</v>
      </c>
    </row>
    <row r="119" spans="1:23" s="3" customFormat="1" ht="25.5">
      <c r="A119" s="98"/>
      <c r="B119" s="98" t="s">
        <v>172</v>
      </c>
      <c r="C119" s="98"/>
      <c r="D119" s="99" t="s">
        <v>137</v>
      </c>
      <c r="E119" s="51">
        <f>Місто!E122-'[1]Місто'!E117</f>
        <v>39681538</v>
      </c>
      <c r="F119" s="51">
        <f>Місто!F122-'[1]Місто'!F117</f>
        <v>39681538</v>
      </c>
      <c r="G119" s="51">
        <f>Місто!G122-'[1]Місто'!G117</f>
        <v>8113944</v>
      </c>
      <c r="H119" s="51">
        <f>Місто!H122-'[1]Місто'!H117</f>
        <v>0</v>
      </c>
      <c r="I119" s="51">
        <f>Місто!I122-'[1]Місто'!I117</f>
        <v>0</v>
      </c>
      <c r="J119" s="51">
        <f>Місто!J122-'[1]Місто'!J117</f>
        <v>11827109</v>
      </c>
      <c r="K119" s="51">
        <f>Місто!K122-'[1]Місто'!K117</f>
        <v>0</v>
      </c>
      <c r="L119" s="51">
        <f>Місто!L122-'[1]Місто'!L117</f>
        <v>0</v>
      </c>
      <c r="M119" s="51">
        <f>Місто!M122-'[1]Місто'!M117</f>
        <v>0</v>
      </c>
      <c r="N119" s="51">
        <f>Місто!N122-'[1]Місто'!N117</f>
        <v>11827109</v>
      </c>
      <c r="O119" s="130">
        <f>Місто!O122-'[1]Місто'!O117</f>
        <v>11827109</v>
      </c>
      <c r="P119" s="52">
        <f>Місто!P122-'[1]Місто'!P117</f>
        <v>51508647</v>
      </c>
      <c r="Q119" s="53"/>
      <c r="W119" s="53">
        <f>N119-O119</f>
        <v>0</v>
      </c>
    </row>
    <row r="120" spans="1:23" s="3" customFormat="1" ht="12.75">
      <c r="A120" s="42"/>
      <c r="B120" s="42" t="s">
        <v>362</v>
      </c>
      <c r="C120" s="42"/>
      <c r="D120" s="43" t="s">
        <v>363</v>
      </c>
      <c r="E120" s="37">
        <f>Місто!E123-'[1]Місто'!E118</f>
        <v>7309427</v>
      </c>
      <c r="F120" s="37">
        <f>Місто!F123-'[1]Місто'!F118</f>
        <v>7309427</v>
      </c>
      <c r="G120" s="37">
        <f>Місто!G123-'[1]Місто'!G118</f>
        <v>7836889</v>
      </c>
      <c r="H120" s="37">
        <f>Місто!H123-'[1]Місто'!H118</f>
        <v>0</v>
      </c>
      <c r="I120" s="37">
        <f>Місто!I123-'[1]Місто'!I118</f>
        <v>0</v>
      </c>
      <c r="J120" s="38">
        <f>Місто!J123-'[1]Місто'!J118</f>
        <v>6257094</v>
      </c>
      <c r="K120" s="37">
        <f>Місто!K123-'[1]Місто'!K118</f>
        <v>0</v>
      </c>
      <c r="L120" s="37">
        <f>Місто!L123-'[1]Місто'!L118</f>
        <v>0</v>
      </c>
      <c r="M120" s="37">
        <f>Місто!M123-'[1]Місто'!M118</f>
        <v>0</v>
      </c>
      <c r="N120" s="37">
        <f>Місто!N123-'[1]Місто'!N118</f>
        <v>6257094</v>
      </c>
      <c r="O120" s="125">
        <f>Місто!O123-'[1]Місто'!O118</f>
        <v>6257094</v>
      </c>
      <c r="P120" s="55">
        <f>Місто!P123-'[1]Місто'!P118</f>
        <v>13566521</v>
      </c>
      <c r="Q120" s="53"/>
      <c r="W120" s="53">
        <f t="shared" si="1"/>
        <v>0</v>
      </c>
    </row>
    <row r="121" spans="1:23" s="3" customFormat="1" ht="12.75">
      <c r="A121" s="39"/>
      <c r="B121" s="39" t="s">
        <v>249</v>
      </c>
      <c r="C121" s="74" t="s">
        <v>441</v>
      </c>
      <c r="D121" s="58" t="s">
        <v>250</v>
      </c>
      <c r="E121" s="38">
        <f>Місто!E124-'[1]Місто'!E119</f>
        <v>7309427</v>
      </c>
      <c r="F121" s="38">
        <f>Місто!F124-'[1]Місто'!F119</f>
        <v>7309427</v>
      </c>
      <c r="G121" s="38">
        <f>Місто!G124-'[1]Місто'!G119</f>
        <v>7836889</v>
      </c>
      <c r="H121" s="140">
        <f>Місто!H124-'[1]Місто'!H119</f>
        <v>0</v>
      </c>
      <c r="I121" s="38">
        <f>Місто!I124-'[1]Місто'!I119</f>
        <v>0</v>
      </c>
      <c r="J121" s="38">
        <f>Місто!J124-'[1]Місто'!J119</f>
        <v>6257094</v>
      </c>
      <c r="K121" s="38">
        <f>Місто!K124-'[1]Місто'!K119</f>
        <v>0</v>
      </c>
      <c r="L121" s="38">
        <f>Місто!L124-'[1]Місто'!L119</f>
        <v>0</v>
      </c>
      <c r="M121" s="38">
        <f>Місто!M124-'[1]Місто'!M119</f>
        <v>0</v>
      </c>
      <c r="N121" s="76">
        <f>Місто!N124-'[1]Місто'!N119</f>
        <v>6257094</v>
      </c>
      <c r="O121" s="76">
        <f>Місто!O124-'[1]Місто'!O119</f>
        <v>6257094</v>
      </c>
      <c r="P121" s="55">
        <f>Місто!P124-'[1]Місто'!P119</f>
        <v>13566521</v>
      </c>
      <c r="Q121" s="53"/>
      <c r="W121" s="53">
        <f t="shared" si="1"/>
        <v>0</v>
      </c>
    </row>
    <row r="122" spans="1:23" s="3" customFormat="1" ht="12.75">
      <c r="A122" s="9"/>
      <c r="B122" s="9" t="s">
        <v>251</v>
      </c>
      <c r="C122" s="9"/>
      <c r="D122" s="15" t="s">
        <v>252</v>
      </c>
      <c r="E122" s="27">
        <f>Місто!E125-'[1]Місто'!E120</f>
        <v>945639</v>
      </c>
      <c r="F122" s="27">
        <f>Місто!F125-'[1]Місто'!F120</f>
        <v>945639</v>
      </c>
      <c r="G122" s="27">
        <f>Місто!G125-'[1]Місто'!G120</f>
        <v>0</v>
      </c>
      <c r="H122" s="27">
        <f>Місто!H125-'[1]Місто'!H120</f>
        <v>0</v>
      </c>
      <c r="I122" s="27">
        <f>Місто!I125-'[1]Місто'!I120</f>
        <v>0</v>
      </c>
      <c r="J122" s="27">
        <f>Місто!J125-'[1]Місто'!J120</f>
        <v>0</v>
      </c>
      <c r="K122" s="27">
        <f>Місто!K125-'[1]Місто'!K120</f>
        <v>0</v>
      </c>
      <c r="L122" s="27">
        <f>Місто!L125-'[1]Місто'!L120</f>
        <v>0</v>
      </c>
      <c r="M122" s="27">
        <f>Місто!M125-'[1]Місто'!M120</f>
        <v>0</v>
      </c>
      <c r="N122" s="125">
        <f>Місто!N125-'[1]Місто'!N120</f>
        <v>0</v>
      </c>
      <c r="O122" s="125">
        <f>Місто!O125-'[1]Місто'!O120</f>
        <v>0</v>
      </c>
      <c r="P122" s="26">
        <f>Місто!P125-'[1]Місто'!P120</f>
        <v>945639</v>
      </c>
      <c r="Q122" s="53"/>
      <c r="W122" s="53">
        <f t="shared" si="1"/>
        <v>0</v>
      </c>
    </row>
    <row r="123" spans="1:23" s="3" customFormat="1" ht="25.5">
      <c r="A123" s="9"/>
      <c r="B123" s="9" t="s">
        <v>246</v>
      </c>
      <c r="C123" s="9" t="s">
        <v>445</v>
      </c>
      <c r="D123" s="15" t="s">
        <v>247</v>
      </c>
      <c r="E123" s="27">
        <f>Місто!E126-'[1]Місто'!E121</f>
        <v>945639</v>
      </c>
      <c r="F123" s="27">
        <f>Місто!F126-'[1]Місто'!F121</f>
        <v>945639</v>
      </c>
      <c r="G123" s="27">
        <f>Місто!G126-'[1]Місто'!G121</f>
        <v>0</v>
      </c>
      <c r="H123" s="27">
        <f>Місто!H126-'[1]Місто'!H121</f>
        <v>0</v>
      </c>
      <c r="I123" s="27">
        <f>Місто!I126-'[1]Місто'!I121</f>
        <v>0</v>
      </c>
      <c r="J123" s="27">
        <f>Місто!J126-'[1]Місто'!J121</f>
        <v>0</v>
      </c>
      <c r="K123" s="27">
        <f>Місто!K126-'[1]Місто'!K121</f>
        <v>0</v>
      </c>
      <c r="L123" s="27">
        <f>Місто!L126-'[1]Місто'!L121</f>
        <v>0</v>
      </c>
      <c r="M123" s="27">
        <f>Місто!M126-'[1]Місто'!M121</f>
        <v>0</v>
      </c>
      <c r="N123" s="27">
        <f>Місто!N126-'[1]Місто'!N121</f>
        <v>0</v>
      </c>
      <c r="O123" s="27">
        <f>Місто!O126-'[1]Місто'!O121</f>
        <v>0</v>
      </c>
      <c r="P123" s="26">
        <f>Місто!P126-'[1]Місто'!P121</f>
        <v>945639</v>
      </c>
      <c r="Q123" s="53"/>
      <c r="W123" s="53">
        <f t="shared" si="1"/>
        <v>0</v>
      </c>
    </row>
    <row r="124" spans="1:23" s="3" customFormat="1" ht="84.75" customHeight="1">
      <c r="A124" s="9"/>
      <c r="B124" s="9"/>
      <c r="C124" s="9"/>
      <c r="D124" s="91" t="s">
        <v>119</v>
      </c>
      <c r="E124" s="27">
        <f>Місто!E127-'[1]Місто'!E122</f>
        <v>945639</v>
      </c>
      <c r="F124" s="27">
        <f>Місто!F127-'[1]Місто'!F122</f>
        <v>945639</v>
      </c>
      <c r="G124" s="27">
        <f>Місто!G127-'[1]Місто'!G122</f>
        <v>0</v>
      </c>
      <c r="H124" s="27">
        <f>Місто!H127-'[1]Місто'!H122</f>
        <v>0</v>
      </c>
      <c r="I124" s="27">
        <f>Місто!I127-'[1]Місто'!I122</f>
        <v>0</v>
      </c>
      <c r="J124" s="27">
        <f>Місто!J127-'[1]Місто'!J122</f>
        <v>0</v>
      </c>
      <c r="K124" s="27">
        <f>Місто!K127-'[1]Місто'!K122</f>
        <v>0</v>
      </c>
      <c r="L124" s="27">
        <f>Місто!L127-'[1]Місто'!L122</f>
        <v>0</v>
      </c>
      <c r="M124" s="27">
        <f>Місто!M127-'[1]Місто'!M122</f>
        <v>0</v>
      </c>
      <c r="N124" s="27">
        <f>Місто!N127-'[1]Місто'!N122</f>
        <v>0</v>
      </c>
      <c r="O124" s="27">
        <f>Місто!O127-'[1]Місто'!O122</f>
        <v>0</v>
      </c>
      <c r="P124" s="26">
        <f>Місто!P127-'[1]Місто'!P122</f>
        <v>945639</v>
      </c>
      <c r="Q124" s="53"/>
      <c r="W124" s="53">
        <f t="shared" si="1"/>
        <v>0</v>
      </c>
    </row>
    <row r="125" spans="1:23" s="3" customFormat="1" ht="25.5">
      <c r="A125" s="39"/>
      <c r="B125" s="39" t="s">
        <v>271</v>
      </c>
      <c r="C125" s="39"/>
      <c r="D125" s="60" t="s">
        <v>317</v>
      </c>
      <c r="E125" s="38">
        <f>Місто!E128-'[1]Місто'!E123</f>
        <v>31417202</v>
      </c>
      <c r="F125" s="38">
        <f>Місто!F128-'[1]Місто'!F123</f>
        <v>31417202</v>
      </c>
      <c r="G125" s="38">
        <f>Місто!G128-'[1]Місто'!G123</f>
        <v>277055</v>
      </c>
      <c r="H125" s="38">
        <f>Місто!H128-'[1]Місто'!H123</f>
        <v>0</v>
      </c>
      <c r="I125" s="38">
        <f>Місто!I128-'[1]Місто'!I123</f>
        <v>0</v>
      </c>
      <c r="J125" s="38">
        <f>Місто!J128-'[1]Місто'!J123</f>
        <v>1615549</v>
      </c>
      <c r="K125" s="38">
        <f>Місто!K128-'[1]Місто'!K123</f>
        <v>0</v>
      </c>
      <c r="L125" s="38">
        <f>Місто!L128-'[1]Місто'!L123</f>
        <v>0</v>
      </c>
      <c r="M125" s="38">
        <f>Місто!M128-'[1]Місто'!M123</f>
        <v>0</v>
      </c>
      <c r="N125" s="38">
        <f>Місто!N128-'[1]Місто'!N123</f>
        <v>1615549</v>
      </c>
      <c r="O125" s="38">
        <f>Місто!O128-'[1]Місто'!O123</f>
        <v>1615549</v>
      </c>
      <c r="P125" s="55">
        <f>Місто!P128-'[1]Місто'!P123</f>
        <v>33032751</v>
      </c>
      <c r="Q125" s="53"/>
      <c r="W125" s="53">
        <f t="shared" si="1"/>
        <v>0</v>
      </c>
    </row>
    <row r="126" spans="1:23" s="3" customFormat="1" ht="216">
      <c r="A126" s="9"/>
      <c r="B126" s="9" t="s">
        <v>319</v>
      </c>
      <c r="C126" s="9" t="s">
        <v>463</v>
      </c>
      <c r="D126" s="40" t="s">
        <v>92</v>
      </c>
      <c r="E126" s="27">
        <f>Місто!E129-'[1]Місто'!E124</f>
        <v>-68299000</v>
      </c>
      <c r="F126" s="27">
        <f>Місто!F129-'[1]Місто'!F124</f>
        <v>-68299000</v>
      </c>
      <c r="G126" s="27">
        <f>Місто!G129-'[1]Місто'!G124</f>
        <v>0</v>
      </c>
      <c r="H126" s="27">
        <f>Місто!H129-'[1]Місто'!H124</f>
        <v>0</v>
      </c>
      <c r="I126" s="27">
        <f>Місто!I129-'[1]Місто'!I124</f>
        <v>0</v>
      </c>
      <c r="J126" s="27">
        <f>Місто!J129-'[1]Місто'!J124</f>
        <v>0</v>
      </c>
      <c r="K126" s="27">
        <f>Місто!K129-'[1]Місто'!K124</f>
        <v>0</v>
      </c>
      <c r="L126" s="27">
        <f>Місто!L129-'[1]Місто'!L124</f>
        <v>0</v>
      </c>
      <c r="M126" s="27">
        <f>Місто!M129-'[1]Місто'!M124</f>
        <v>0</v>
      </c>
      <c r="N126" s="27">
        <f>Місто!N129-'[1]Місто'!N124</f>
        <v>0</v>
      </c>
      <c r="O126" s="27">
        <f>Місто!O129-'[1]Місто'!O124</f>
        <v>0</v>
      </c>
      <c r="P126" s="26">
        <f>Місто!P129-'[1]Місто'!P124</f>
        <v>-68299000</v>
      </c>
      <c r="Q126" s="53"/>
      <c r="W126" s="53">
        <f t="shared" si="1"/>
        <v>0</v>
      </c>
    </row>
    <row r="127" spans="1:23" s="3" customFormat="1" ht="112.5">
      <c r="A127" s="9"/>
      <c r="B127" s="9"/>
      <c r="C127" s="9"/>
      <c r="D127" s="91" t="s">
        <v>188</v>
      </c>
      <c r="E127" s="27">
        <f>Місто!E130-'[1]Місто'!E125</f>
        <v>-68299000</v>
      </c>
      <c r="F127" s="27">
        <f>Місто!F130-'[1]Місто'!F125</f>
        <v>-68299000</v>
      </c>
      <c r="G127" s="27">
        <f>Місто!G130-'[1]Місто'!G125</f>
        <v>0</v>
      </c>
      <c r="H127" s="27">
        <f>Місто!H130-'[1]Місто'!H125</f>
        <v>0</v>
      </c>
      <c r="I127" s="27">
        <f>Місто!I130-'[1]Місто'!I125</f>
        <v>0</v>
      </c>
      <c r="J127" s="27">
        <f>Місто!J130-'[1]Місто'!J125</f>
        <v>0</v>
      </c>
      <c r="K127" s="27">
        <f>Місто!K130-'[1]Місто'!K125</f>
        <v>0</v>
      </c>
      <c r="L127" s="27">
        <f>Місто!L130-'[1]Місто'!L125</f>
        <v>0</v>
      </c>
      <c r="M127" s="27">
        <f>Місто!M130-'[1]Місто'!M125</f>
        <v>0</v>
      </c>
      <c r="N127" s="27">
        <f>Місто!N130-'[1]Місто'!N125</f>
        <v>0</v>
      </c>
      <c r="O127" s="27">
        <f>Місто!O130-'[1]Місто'!O125</f>
        <v>0</v>
      </c>
      <c r="P127" s="26">
        <f>Місто!P130-'[1]Місто'!P125</f>
        <v>-68299000</v>
      </c>
      <c r="Q127" s="53"/>
      <c r="W127" s="53">
        <f t="shared" si="1"/>
        <v>0</v>
      </c>
    </row>
    <row r="128" spans="1:23" s="3" customFormat="1" ht="192">
      <c r="A128" s="9"/>
      <c r="B128" s="9" t="s">
        <v>322</v>
      </c>
      <c r="C128" s="9" t="s">
        <v>463</v>
      </c>
      <c r="D128" s="40" t="s">
        <v>96</v>
      </c>
      <c r="E128" s="27">
        <f>Місто!E131-'[1]Місто'!E126</f>
        <v>-33842</v>
      </c>
      <c r="F128" s="27">
        <f>Місто!F131-'[1]Місто'!F126</f>
        <v>-33842</v>
      </c>
      <c r="G128" s="27">
        <f>Місто!G131-'[1]Місто'!G126</f>
        <v>0</v>
      </c>
      <c r="H128" s="27">
        <f>Місто!H131-'[1]Місто'!H126</f>
        <v>0</v>
      </c>
      <c r="I128" s="27">
        <f>Місто!I131-'[1]Місто'!I126</f>
        <v>0</v>
      </c>
      <c r="J128" s="27">
        <f>Місто!J131-'[1]Місто'!J126</f>
        <v>0</v>
      </c>
      <c r="K128" s="27">
        <f>Місто!K131-'[1]Місто'!K126</f>
        <v>0</v>
      </c>
      <c r="L128" s="27">
        <f>Місто!L131-'[1]Місто'!L126</f>
        <v>0</v>
      </c>
      <c r="M128" s="27">
        <f>Місто!M131-'[1]Місто'!M126</f>
        <v>0</v>
      </c>
      <c r="N128" s="27">
        <f>Місто!N131-'[1]Місто'!N126</f>
        <v>0</v>
      </c>
      <c r="O128" s="27">
        <f>Місто!O131-'[1]Місто'!O126</f>
        <v>0</v>
      </c>
      <c r="P128" s="26">
        <f>Місто!P131-'[1]Місто'!P126</f>
        <v>-33842</v>
      </c>
      <c r="Q128" s="53"/>
      <c r="W128" s="53">
        <f t="shared" si="1"/>
        <v>0</v>
      </c>
    </row>
    <row r="129" spans="1:23" s="3" customFormat="1" ht="67.5">
      <c r="A129" s="9"/>
      <c r="B129" s="9"/>
      <c r="C129" s="9"/>
      <c r="D129" s="91" t="s">
        <v>120</v>
      </c>
      <c r="E129" s="27">
        <f>Місто!E132-'[1]Місто'!E127</f>
        <v>-33842</v>
      </c>
      <c r="F129" s="27">
        <f>Місто!F132-'[1]Місто'!F127</f>
        <v>-33842</v>
      </c>
      <c r="G129" s="27">
        <f>Місто!G132-'[1]Місто'!G127</f>
        <v>0</v>
      </c>
      <c r="H129" s="27">
        <f>Місто!H132-'[1]Місто'!H127</f>
        <v>0</v>
      </c>
      <c r="I129" s="27">
        <f>Місто!I132-'[1]Місто'!I127</f>
        <v>0</v>
      </c>
      <c r="J129" s="27">
        <f>Місто!J132-'[1]Місто'!J127</f>
        <v>0</v>
      </c>
      <c r="K129" s="27">
        <f>Місто!K132-'[1]Місто'!K127</f>
        <v>0</v>
      </c>
      <c r="L129" s="27">
        <f>Місто!L132-'[1]Місто'!L127</f>
        <v>0</v>
      </c>
      <c r="M129" s="27">
        <f>Місто!M132-'[1]Місто'!M127</f>
        <v>0</v>
      </c>
      <c r="N129" s="27">
        <f>Місто!N132-'[1]Місто'!N127</f>
        <v>0</v>
      </c>
      <c r="O129" s="27">
        <f>Місто!O132-'[1]Місто'!O127</f>
        <v>0</v>
      </c>
      <c r="P129" s="26">
        <f>Місто!P132-'[1]Місто'!P127</f>
        <v>-33842</v>
      </c>
      <c r="Q129" s="53"/>
      <c r="W129" s="53">
        <f t="shared" si="1"/>
        <v>0</v>
      </c>
    </row>
    <row r="130" spans="1:23" s="3" customFormat="1" ht="216">
      <c r="A130" s="9"/>
      <c r="B130" s="9" t="s">
        <v>323</v>
      </c>
      <c r="C130" s="9" t="s">
        <v>463</v>
      </c>
      <c r="D130" s="40" t="s">
        <v>97</v>
      </c>
      <c r="E130" s="27">
        <f>Місто!E133-'[1]Місто'!E128</f>
        <v>-318496</v>
      </c>
      <c r="F130" s="27">
        <f>Місто!F133-'[1]Місто'!F128</f>
        <v>-318496</v>
      </c>
      <c r="G130" s="27">
        <f>Місто!G133-'[1]Місто'!G128</f>
        <v>0</v>
      </c>
      <c r="H130" s="27">
        <f>Місто!H133-'[1]Місто'!H128</f>
        <v>0</v>
      </c>
      <c r="I130" s="27">
        <f>Місто!I133-'[1]Місто'!I128</f>
        <v>0</v>
      </c>
      <c r="J130" s="27">
        <f>Місто!J133-'[1]Місто'!J128</f>
        <v>-55000</v>
      </c>
      <c r="K130" s="27">
        <f>Місто!K133-'[1]Місто'!K128</f>
        <v>0</v>
      </c>
      <c r="L130" s="27">
        <f>Місто!L133-'[1]Місто'!L128</f>
        <v>0</v>
      </c>
      <c r="M130" s="27">
        <f>Місто!M133-'[1]Місто'!M128</f>
        <v>0</v>
      </c>
      <c r="N130" s="27">
        <f>Місто!N133-'[1]Місто'!N128</f>
        <v>-55000</v>
      </c>
      <c r="O130" s="27">
        <f>Місто!O133-'[1]Місто'!O128</f>
        <v>-55000</v>
      </c>
      <c r="P130" s="26">
        <f>Місто!P133-'[1]Місто'!P128</f>
        <v>-373496</v>
      </c>
      <c r="Q130" s="53"/>
      <c r="W130" s="53">
        <f t="shared" si="1"/>
        <v>0</v>
      </c>
    </row>
    <row r="131" spans="1:23" s="3" customFormat="1" ht="225" hidden="1">
      <c r="A131" s="9"/>
      <c r="B131" s="9"/>
      <c r="C131" s="9"/>
      <c r="D131" s="91" t="s">
        <v>112</v>
      </c>
      <c r="E131" s="27">
        <f>Місто!E134-'[1]Місто'!E129</f>
        <v>-1373702</v>
      </c>
      <c r="F131" s="27">
        <f>Місто!F134-'[1]Місто'!F129</f>
        <v>-1373702</v>
      </c>
      <c r="G131" s="27">
        <f>Місто!G134-'[1]Місто'!G129</f>
        <v>0</v>
      </c>
      <c r="H131" s="27">
        <f>Місто!H134-'[1]Місто'!H129</f>
        <v>0</v>
      </c>
      <c r="I131" s="27">
        <f>Місто!I134-'[1]Місто'!I129</f>
        <v>0</v>
      </c>
      <c r="J131" s="27">
        <f>Місто!J134-'[1]Місто'!J129</f>
        <v>-95000</v>
      </c>
      <c r="K131" s="27">
        <f>Місто!K134-'[1]Місто'!K129</f>
        <v>0</v>
      </c>
      <c r="L131" s="27">
        <f>Місто!L134-'[1]Місто'!L129</f>
        <v>0</v>
      </c>
      <c r="M131" s="27">
        <f>Місто!M134-'[1]Місто'!M129</f>
        <v>0</v>
      </c>
      <c r="N131" s="27">
        <f>Місто!N134-'[1]Місто'!N129</f>
        <v>-95000</v>
      </c>
      <c r="O131" s="27">
        <f>Місто!O134-'[1]Місто'!O129</f>
        <v>-95000</v>
      </c>
      <c r="P131" s="26">
        <f>Місто!P134-'[1]Місто'!P129</f>
        <v>-1468702</v>
      </c>
      <c r="Q131" s="53"/>
      <c r="W131" s="53">
        <f t="shared" si="1"/>
        <v>0</v>
      </c>
    </row>
    <row r="132" spans="1:23" s="3" customFormat="1" ht="372">
      <c r="A132" s="81"/>
      <c r="B132" s="81" t="s">
        <v>324</v>
      </c>
      <c r="C132" s="81" t="s">
        <v>463</v>
      </c>
      <c r="D132" s="82" t="s">
        <v>0</v>
      </c>
      <c r="E132" s="83">
        <f>Місто!E135-'[1]Місто'!E130</f>
        <v>-9303000</v>
      </c>
      <c r="F132" s="83">
        <f>Місто!F135-'[1]Місто'!F130</f>
        <v>-9303000</v>
      </c>
      <c r="G132" s="83">
        <f>Місто!G135-'[1]Місто'!G130</f>
        <v>0</v>
      </c>
      <c r="H132" s="83">
        <f>Місто!H135-'[1]Місто'!H130</f>
        <v>0</v>
      </c>
      <c r="I132" s="83">
        <f>Місто!I135-'[1]Місто'!I130</f>
        <v>0</v>
      </c>
      <c r="J132" s="83">
        <f>Місто!J135-'[1]Місто'!J130</f>
        <v>0</v>
      </c>
      <c r="K132" s="83">
        <f>Місто!K135-'[1]Місто'!K130</f>
        <v>0</v>
      </c>
      <c r="L132" s="83">
        <f>Місто!L135-'[1]Місто'!L130</f>
        <v>0</v>
      </c>
      <c r="M132" s="83">
        <f>Місто!M135-'[1]Місто'!M130</f>
        <v>0</v>
      </c>
      <c r="N132" s="83">
        <f>Місто!N135-'[1]Місто'!N130</f>
        <v>0</v>
      </c>
      <c r="O132" s="83">
        <f>Місто!O135-'[1]Місто'!O130</f>
        <v>0</v>
      </c>
      <c r="P132" s="78">
        <f>Місто!P135-'[1]Місто'!P130</f>
        <v>-9303000</v>
      </c>
      <c r="Q132" s="53"/>
      <c r="W132" s="53">
        <f t="shared" si="1"/>
        <v>0</v>
      </c>
    </row>
    <row r="133" spans="1:23" s="3" customFormat="1" ht="240">
      <c r="A133" s="79"/>
      <c r="B133" s="79"/>
      <c r="C133" s="79"/>
      <c r="D133" s="84" t="s">
        <v>431</v>
      </c>
      <c r="E133" s="80">
        <f>Місто!E136-'[1]Місто'!E131</f>
        <v>0</v>
      </c>
      <c r="F133" s="80">
        <f>Місто!F136-'[1]Місто'!F131</f>
        <v>0</v>
      </c>
      <c r="G133" s="80">
        <f>Місто!G136-'[1]Місто'!G131</f>
        <v>0</v>
      </c>
      <c r="H133" s="80">
        <f>Місто!H136-'[1]Місто'!H131</f>
        <v>0</v>
      </c>
      <c r="I133" s="80">
        <f>Місто!I136-'[1]Місто'!I131</f>
        <v>0</v>
      </c>
      <c r="J133" s="80">
        <f>Місто!J136-'[1]Місто'!J131</f>
        <v>0</v>
      </c>
      <c r="K133" s="80">
        <f>Місто!K136-'[1]Місто'!K131</f>
        <v>0</v>
      </c>
      <c r="L133" s="80">
        <f>Місто!L136-'[1]Місто'!L131</f>
        <v>0</v>
      </c>
      <c r="M133" s="80">
        <f>Місто!M136-'[1]Місто'!M131</f>
        <v>0</v>
      </c>
      <c r="N133" s="80">
        <f>Місто!N136-'[1]Місто'!N131</f>
        <v>0</v>
      </c>
      <c r="O133" s="80">
        <f>Місто!O136-'[1]Місто'!O131</f>
        <v>0</v>
      </c>
      <c r="P133" s="77">
        <f>Місто!P136-'[1]Місто'!P131</f>
        <v>0</v>
      </c>
      <c r="Q133" s="53"/>
      <c r="W133" s="53">
        <f t="shared" si="1"/>
        <v>0</v>
      </c>
    </row>
    <row r="134" spans="1:23" s="3" customFormat="1" ht="112.5">
      <c r="A134" s="9"/>
      <c r="B134" s="9"/>
      <c r="C134" s="9"/>
      <c r="D134" s="91" t="s">
        <v>237</v>
      </c>
      <c r="E134" s="27">
        <f>Місто!E137-'[1]Місто'!E132</f>
        <v>-9303000</v>
      </c>
      <c r="F134" s="27">
        <f>Місто!F137-'[1]Місто'!F132</f>
        <v>-9303000</v>
      </c>
      <c r="G134" s="27">
        <f>Місто!G137-'[1]Місто'!G132</f>
        <v>0</v>
      </c>
      <c r="H134" s="27">
        <f>Місто!H137-'[1]Місто'!H132</f>
        <v>0</v>
      </c>
      <c r="I134" s="27">
        <f>Місто!I137-'[1]Місто'!I132</f>
        <v>0</v>
      </c>
      <c r="J134" s="27">
        <f>Місто!J137-'[1]Місто'!J132</f>
        <v>0</v>
      </c>
      <c r="K134" s="27">
        <f>Місто!K137-'[1]Місто'!K132</f>
        <v>0</v>
      </c>
      <c r="L134" s="27">
        <f>Місто!L137-'[1]Місто'!L132</f>
        <v>0</v>
      </c>
      <c r="M134" s="27">
        <f>Місто!M137-'[1]Місто'!M132</f>
        <v>0</v>
      </c>
      <c r="N134" s="27">
        <f>Місто!N137-'[1]Місто'!N132</f>
        <v>0</v>
      </c>
      <c r="O134" s="27">
        <f>Місто!O137-'[1]Місто'!O132</f>
        <v>0</v>
      </c>
      <c r="P134" s="26">
        <f>Місто!P137-'[1]Місто'!P132</f>
        <v>-9303000</v>
      </c>
      <c r="Q134" s="53"/>
      <c r="W134" s="53">
        <f t="shared" si="1"/>
        <v>0</v>
      </c>
    </row>
    <row r="135" spans="1:23" s="3" customFormat="1" ht="372">
      <c r="A135" s="81"/>
      <c r="B135" s="81" t="s">
        <v>325</v>
      </c>
      <c r="C135" s="81" t="s">
        <v>463</v>
      </c>
      <c r="D135" s="82" t="s">
        <v>433</v>
      </c>
      <c r="E135" s="83">
        <f>Місто!E138-'[1]Місто'!E133</f>
        <v>-917</v>
      </c>
      <c r="F135" s="83">
        <f>Місто!F138-'[1]Місто'!F133</f>
        <v>-917</v>
      </c>
      <c r="G135" s="83">
        <f>Місто!G138-'[1]Місто'!G133</f>
        <v>0</v>
      </c>
      <c r="H135" s="83">
        <f>Місто!H138-'[1]Місто'!H133</f>
        <v>0</v>
      </c>
      <c r="I135" s="83">
        <f>Місто!I138-'[1]Місто'!I133</f>
        <v>0</v>
      </c>
      <c r="J135" s="83">
        <f>Місто!J138-'[1]Місто'!J133</f>
        <v>0</v>
      </c>
      <c r="K135" s="83">
        <f>Місто!K138-'[1]Місто'!K133</f>
        <v>0</v>
      </c>
      <c r="L135" s="83">
        <f>Місто!L138-'[1]Місто'!L133</f>
        <v>0</v>
      </c>
      <c r="M135" s="83">
        <f>Місто!M138-'[1]Місто'!M133</f>
        <v>0</v>
      </c>
      <c r="N135" s="83">
        <f>Місто!N138-'[1]Місто'!N133</f>
        <v>0</v>
      </c>
      <c r="O135" s="83">
        <f>Місто!O138-'[1]Місто'!O133</f>
        <v>0</v>
      </c>
      <c r="P135" s="78">
        <f>Місто!P138-'[1]Місто'!P133</f>
        <v>-917</v>
      </c>
      <c r="Q135" s="53"/>
      <c r="W135" s="53">
        <f t="shared" si="1"/>
        <v>0</v>
      </c>
    </row>
    <row r="136" spans="1:23" s="3" customFormat="1" ht="120">
      <c r="A136" s="79"/>
      <c r="B136" s="79"/>
      <c r="C136" s="79"/>
      <c r="D136" s="84" t="s">
        <v>432</v>
      </c>
      <c r="E136" s="80">
        <f>Місто!E139-'[1]Місто'!E134</f>
        <v>0</v>
      </c>
      <c r="F136" s="80">
        <f>Місто!F139-'[1]Місто'!F134</f>
        <v>0</v>
      </c>
      <c r="G136" s="80">
        <f>Місто!G139-'[1]Місто'!G134</f>
        <v>0</v>
      </c>
      <c r="H136" s="80">
        <f>Місто!H139-'[1]Місто'!H134</f>
        <v>0</v>
      </c>
      <c r="I136" s="80">
        <f>Місто!I139-'[1]Місто'!I134</f>
        <v>0</v>
      </c>
      <c r="J136" s="80">
        <f>Місто!J139-'[1]Місто'!J134</f>
        <v>0</v>
      </c>
      <c r="K136" s="80">
        <f>Місто!K139-'[1]Місто'!K134</f>
        <v>0</v>
      </c>
      <c r="L136" s="80">
        <f>Місто!L139-'[1]Місто'!L134</f>
        <v>0</v>
      </c>
      <c r="M136" s="80">
        <f>Місто!M139-'[1]Місто'!M134</f>
        <v>0</v>
      </c>
      <c r="N136" s="80">
        <f>Місто!N139-'[1]Місто'!N134</f>
        <v>0</v>
      </c>
      <c r="O136" s="80">
        <f>Місто!O139-'[1]Місто'!O134</f>
        <v>0</v>
      </c>
      <c r="P136" s="77">
        <f>Місто!P139-'[1]Місто'!P134</f>
        <v>0</v>
      </c>
      <c r="Q136" s="53"/>
      <c r="W136" s="53">
        <f t="shared" si="1"/>
        <v>0</v>
      </c>
    </row>
    <row r="137" spans="1:23" s="3" customFormat="1" ht="67.5">
      <c r="A137" s="9"/>
      <c r="B137" s="9"/>
      <c r="C137" s="9"/>
      <c r="D137" s="91" t="s">
        <v>120</v>
      </c>
      <c r="E137" s="27">
        <f>Місто!E140-'[1]Місто'!E135</f>
        <v>-917</v>
      </c>
      <c r="F137" s="27">
        <f>Місто!F140-'[1]Місто'!F135</f>
        <v>-917</v>
      </c>
      <c r="G137" s="27">
        <f>Місто!G140-'[1]Місто'!G135</f>
        <v>0</v>
      </c>
      <c r="H137" s="27">
        <f>Місто!H140-'[1]Місто'!H135</f>
        <v>0</v>
      </c>
      <c r="I137" s="27">
        <f>Місто!I140-'[1]Місто'!I135</f>
        <v>0</v>
      </c>
      <c r="J137" s="27">
        <f>Місто!J140-'[1]Місто'!J135</f>
        <v>0</v>
      </c>
      <c r="K137" s="27">
        <f>Місто!K140-'[1]Місто'!K135</f>
        <v>0</v>
      </c>
      <c r="L137" s="27">
        <f>Місто!L140-'[1]Місто'!L135</f>
        <v>0</v>
      </c>
      <c r="M137" s="27">
        <f>Місто!M140-'[1]Місто'!M135</f>
        <v>0</v>
      </c>
      <c r="N137" s="27">
        <f>Місто!N140-'[1]Місто'!N135</f>
        <v>0</v>
      </c>
      <c r="O137" s="27">
        <f>Місто!O140-'[1]Місто'!O135</f>
        <v>0</v>
      </c>
      <c r="P137" s="26">
        <f>Місто!P140-'[1]Місто'!P135</f>
        <v>-917</v>
      </c>
      <c r="Q137" s="53"/>
      <c r="W137" s="53">
        <f t="shared" si="1"/>
        <v>0</v>
      </c>
    </row>
    <row r="138" spans="1:23" s="3" customFormat="1" ht="84">
      <c r="A138" s="9"/>
      <c r="B138" s="9" t="s">
        <v>326</v>
      </c>
      <c r="C138" s="9" t="s">
        <v>464</v>
      </c>
      <c r="D138" s="41" t="s">
        <v>401</v>
      </c>
      <c r="E138" s="27">
        <f>Місто!E141-'[1]Місто'!E136</f>
        <v>-2937000</v>
      </c>
      <c r="F138" s="27">
        <f>Місто!F141-'[1]Місто'!F136</f>
        <v>-2937000</v>
      </c>
      <c r="G138" s="27">
        <f>Місто!G141-'[1]Місто'!G136</f>
        <v>0</v>
      </c>
      <c r="H138" s="27">
        <f>Місто!H141-'[1]Місто'!H136</f>
        <v>0</v>
      </c>
      <c r="I138" s="27">
        <f>Місто!I141-'[1]Місто'!I136</f>
        <v>0</v>
      </c>
      <c r="J138" s="27">
        <f>Місто!J141-'[1]Місто'!J136</f>
        <v>0</v>
      </c>
      <c r="K138" s="27">
        <f>Місто!K141-'[1]Місто'!K136</f>
        <v>0</v>
      </c>
      <c r="L138" s="27">
        <f>Місто!L141-'[1]Місто'!L136</f>
        <v>0</v>
      </c>
      <c r="M138" s="27">
        <f>Місто!M141-'[1]Місто'!M136</f>
        <v>0</v>
      </c>
      <c r="N138" s="27">
        <f>Місто!N141-'[1]Місто'!N136</f>
        <v>0</v>
      </c>
      <c r="O138" s="27">
        <f>Місто!O141-'[1]Місто'!O136</f>
        <v>0</v>
      </c>
      <c r="P138" s="26">
        <f>Місто!P141-'[1]Місто'!P136</f>
        <v>-2937000</v>
      </c>
      <c r="Q138" s="53"/>
      <c r="W138" s="53">
        <f t="shared" si="1"/>
        <v>0</v>
      </c>
    </row>
    <row r="139" spans="1:23" s="3" customFormat="1" ht="112.5">
      <c r="A139" s="9"/>
      <c r="B139" s="9"/>
      <c r="C139" s="9"/>
      <c r="D139" s="91" t="s">
        <v>237</v>
      </c>
      <c r="E139" s="27">
        <f>Місто!E142-'[1]Місто'!E137</f>
        <v>-2937000</v>
      </c>
      <c r="F139" s="27">
        <f>Місто!F142-'[1]Місто'!F137</f>
        <v>-2937000</v>
      </c>
      <c r="G139" s="27">
        <f>Місто!G142-'[1]Місто'!G137</f>
        <v>0</v>
      </c>
      <c r="H139" s="27">
        <f>Місто!H142-'[1]Місто'!H137</f>
        <v>0</v>
      </c>
      <c r="I139" s="27">
        <f>Місто!I142-'[1]Місто'!I137</f>
        <v>0</v>
      </c>
      <c r="J139" s="27">
        <f>Місто!J142-'[1]Місто'!J137</f>
        <v>0</v>
      </c>
      <c r="K139" s="27">
        <f>Місто!K142-'[1]Місто'!K137</f>
        <v>0</v>
      </c>
      <c r="L139" s="27">
        <f>Місто!L142-'[1]Місто'!L137</f>
        <v>0</v>
      </c>
      <c r="M139" s="27">
        <f>Місто!M142-'[1]Місто'!M137</f>
        <v>0</v>
      </c>
      <c r="N139" s="27">
        <f>Місто!N142-'[1]Місто'!N137</f>
        <v>0</v>
      </c>
      <c r="O139" s="27">
        <f>Місто!O142-'[1]Місто'!O137</f>
        <v>0</v>
      </c>
      <c r="P139" s="26">
        <f>Місто!P142-'[1]Місто'!P137</f>
        <v>-2937000</v>
      </c>
      <c r="Q139" s="53"/>
      <c r="W139" s="53">
        <f t="shared" si="1"/>
        <v>0</v>
      </c>
    </row>
    <row r="140" spans="1:23" s="3" customFormat="1" ht="84">
      <c r="A140" s="9"/>
      <c r="B140" s="9" t="s">
        <v>327</v>
      </c>
      <c r="C140" s="9" t="s">
        <v>464</v>
      </c>
      <c r="D140" s="41" t="s">
        <v>402</v>
      </c>
      <c r="E140" s="27">
        <f>Місто!E143-'[1]Місто'!E138</f>
        <v>-3223</v>
      </c>
      <c r="F140" s="27">
        <f>Місто!F143-'[1]Місто'!F138</f>
        <v>-3223</v>
      </c>
      <c r="G140" s="27">
        <f>Місто!G143-'[1]Місто'!G138</f>
        <v>0</v>
      </c>
      <c r="H140" s="27">
        <f>Місто!H143-'[1]Місто'!H138</f>
        <v>0</v>
      </c>
      <c r="I140" s="27">
        <f>Місто!I143-'[1]Місто'!I138</f>
        <v>0</v>
      </c>
      <c r="J140" s="27">
        <f>Місто!J143-'[1]Місто'!J138</f>
        <v>0</v>
      </c>
      <c r="K140" s="27">
        <f>Місто!K143-'[1]Місто'!K138</f>
        <v>0</v>
      </c>
      <c r="L140" s="27">
        <f>Місто!L143-'[1]Місто'!L138</f>
        <v>0</v>
      </c>
      <c r="M140" s="27">
        <f>Місто!M143-'[1]Місто'!M138</f>
        <v>0</v>
      </c>
      <c r="N140" s="27">
        <f>Місто!N143-'[1]Місто'!N138</f>
        <v>0</v>
      </c>
      <c r="O140" s="27">
        <f>Місто!O143-'[1]Місто'!O138</f>
        <v>0</v>
      </c>
      <c r="P140" s="26">
        <f>Місто!P143-'[1]Місто'!P138</f>
        <v>-3223</v>
      </c>
      <c r="Q140" s="53"/>
      <c r="W140" s="53">
        <f t="shared" si="1"/>
        <v>0</v>
      </c>
    </row>
    <row r="141" spans="1:23" s="3" customFormat="1" ht="67.5">
      <c r="A141" s="9"/>
      <c r="B141" s="9"/>
      <c r="C141" s="9"/>
      <c r="D141" s="91" t="s">
        <v>120</v>
      </c>
      <c r="E141" s="27">
        <f>Місто!E144-'[1]Місто'!E139</f>
        <v>-3223</v>
      </c>
      <c r="F141" s="27">
        <f>Місто!F144-'[1]Місто'!F139</f>
        <v>-3223</v>
      </c>
      <c r="G141" s="27">
        <f>Місто!G144-'[1]Місто'!G139</f>
        <v>0</v>
      </c>
      <c r="H141" s="27">
        <f>Місто!H144-'[1]Місто'!H139</f>
        <v>0</v>
      </c>
      <c r="I141" s="27">
        <f>Місто!I144-'[1]Місто'!I139</f>
        <v>0</v>
      </c>
      <c r="J141" s="27">
        <f>Місто!J144-'[1]Місто'!J139</f>
        <v>0</v>
      </c>
      <c r="K141" s="27">
        <f>Місто!K144-'[1]Місто'!K139</f>
        <v>0</v>
      </c>
      <c r="L141" s="27">
        <f>Місто!L144-'[1]Місто'!L139</f>
        <v>0</v>
      </c>
      <c r="M141" s="27">
        <f>Місто!M144-'[1]Місто'!M139</f>
        <v>0</v>
      </c>
      <c r="N141" s="27">
        <f>Місто!N144-'[1]Місто'!N139</f>
        <v>0</v>
      </c>
      <c r="O141" s="27">
        <f>Місто!O144-'[1]Місто'!O139</f>
        <v>0</v>
      </c>
      <c r="P141" s="26">
        <f>Місто!P144-'[1]Місто'!P139</f>
        <v>-3223</v>
      </c>
      <c r="Q141" s="53"/>
      <c r="W141" s="53">
        <f t="shared" si="1"/>
        <v>0</v>
      </c>
    </row>
    <row r="142" spans="1:23" s="3" customFormat="1" ht="84">
      <c r="A142" s="9"/>
      <c r="B142" s="9" t="s">
        <v>328</v>
      </c>
      <c r="C142" s="9" t="s">
        <v>464</v>
      </c>
      <c r="D142" s="41" t="s">
        <v>403</v>
      </c>
      <c r="E142" s="27">
        <f>Місто!E145-'[1]Місто'!E140</f>
        <v>-15131</v>
      </c>
      <c r="F142" s="27">
        <f>Місто!F145-'[1]Місто'!F140</f>
        <v>-15131</v>
      </c>
      <c r="G142" s="27">
        <f>Місто!G145-'[1]Місто'!G140</f>
        <v>0</v>
      </c>
      <c r="H142" s="27">
        <f>Місто!H145-'[1]Місто'!H140</f>
        <v>0</v>
      </c>
      <c r="I142" s="27">
        <f>Місто!I145-'[1]Місто'!I140</f>
        <v>0</v>
      </c>
      <c r="J142" s="27">
        <f>Місто!J145-'[1]Місто'!J140</f>
        <v>0</v>
      </c>
      <c r="K142" s="27">
        <f>Місто!K145-'[1]Місто'!K140</f>
        <v>0</v>
      </c>
      <c r="L142" s="27">
        <f>Місто!L145-'[1]Місто'!L140</f>
        <v>0</v>
      </c>
      <c r="M142" s="27">
        <f>Місто!M145-'[1]Місто'!M140</f>
        <v>0</v>
      </c>
      <c r="N142" s="27">
        <f>Місто!N145-'[1]Місто'!N140</f>
        <v>0</v>
      </c>
      <c r="O142" s="27">
        <f>Місто!O145-'[1]Місто'!O140</f>
        <v>0</v>
      </c>
      <c r="P142" s="26">
        <f>Місто!P145-'[1]Місто'!P140</f>
        <v>-15131</v>
      </c>
      <c r="Q142" s="53"/>
      <c r="W142" s="53">
        <f t="shared" si="1"/>
        <v>0</v>
      </c>
    </row>
    <row r="143" spans="1:23" s="3" customFormat="1" ht="225" hidden="1">
      <c r="A143" s="9"/>
      <c r="B143" s="9"/>
      <c r="C143" s="9"/>
      <c r="D143" s="91" t="s">
        <v>112</v>
      </c>
      <c r="E143" s="27">
        <f>Місто!E146-'[1]Місто'!E141</f>
        <v>-45200</v>
      </c>
      <c r="F143" s="27">
        <f>Місто!F146-'[1]Місто'!F141</f>
        <v>-45200</v>
      </c>
      <c r="G143" s="27">
        <f>Місто!G146-'[1]Місто'!G141</f>
        <v>0</v>
      </c>
      <c r="H143" s="27">
        <f>Місто!H146-'[1]Місто'!H141</f>
        <v>0</v>
      </c>
      <c r="I143" s="27">
        <f>Місто!I146-'[1]Місто'!I141</f>
        <v>0</v>
      </c>
      <c r="J143" s="27">
        <f>Місто!J146-'[1]Місто'!J141</f>
        <v>0</v>
      </c>
      <c r="K143" s="27">
        <f>Місто!K146-'[1]Місто'!K141</f>
        <v>0</v>
      </c>
      <c r="L143" s="27">
        <f>Місто!L146-'[1]Місто'!L141</f>
        <v>0</v>
      </c>
      <c r="M143" s="27">
        <f>Місто!M146-'[1]Місто'!M141</f>
        <v>0</v>
      </c>
      <c r="N143" s="27">
        <f>Місто!N146-'[1]Місто'!N141</f>
        <v>0</v>
      </c>
      <c r="O143" s="27">
        <f>Місто!O146-'[1]Місто'!O141</f>
        <v>0</v>
      </c>
      <c r="P143" s="26">
        <f>Місто!P146-'[1]Місто'!P141</f>
        <v>-45200</v>
      </c>
      <c r="Q143" s="53"/>
      <c r="W143" s="53">
        <f t="shared" si="1"/>
        <v>0</v>
      </c>
    </row>
    <row r="144" spans="1:23" s="3" customFormat="1" ht="25.5">
      <c r="A144" s="9"/>
      <c r="B144" s="9" t="s">
        <v>244</v>
      </c>
      <c r="C144" s="9" t="s">
        <v>464</v>
      </c>
      <c r="D144" s="15" t="s">
        <v>245</v>
      </c>
      <c r="E144" s="27">
        <f>Місто!E147-'[1]Місто'!E142</f>
        <v>379357</v>
      </c>
      <c r="F144" s="27">
        <f>Місто!F147-'[1]Місто'!F142</f>
        <v>379357</v>
      </c>
      <c r="G144" s="27">
        <f>Місто!G147-'[1]Місто'!G142</f>
        <v>0</v>
      </c>
      <c r="H144" s="27">
        <f>Місто!H147-'[1]Місто'!H142</f>
        <v>0</v>
      </c>
      <c r="I144" s="27">
        <f>Місто!I147-'[1]Місто'!I142</f>
        <v>0</v>
      </c>
      <c r="J144" s="27">
        <f>Місто!J147-'[1]Місто'!J142</f>
        <v>0</v>
      </c>
      <c r="K144" s="27">
        <f>Місто!K147-'[1]Місто'!K142</f>
        <v>0</v>
      </c>
      <c r="L144" s="27">
        <f>Місто!L147-'[1]Місто'!L142</f>
        <v>0</v>
      </c>
      <c r="M144" s="27">
        <f>Місто!M147-'[1]Місто'!M142</f>
        <v>0</v>
      </c>
      <c r="N144" s="27">
        <f>Місто!N147-'[1]Місто'!N142</f>
        <v>0</v>
      </c>
      <c r="O144" s="27">
        <f>Місто!O147-'[1]Місто'!O142</f>
        <v>0</v>
      </c>
      <c r="P144" s="26">
        <f>Місто!P147-'[1]Місто'!P142</f>
        <v>379357</v>
      </c>
      <c r="Q144" s="53"/>
      <c r="W144" s="53">
        <f aca="true" t="shared" si="2" ref="W144:W207">N144-O144</f>
        <v>0</v>
      </c>
    </row>
    <row r="145" spans="1:23" s="3" customFormat="1" ht="225" hidden="1">
      <c r="A145" s="9"/>
      <c r="B145" s="9"/>
      <c r="C145" s="9"/>
      <c r="D145" s="91" t="s">
        <v>112</v>
      </c>
      <c r="E145" s="27">
        <f>Місто!E148-'[1]Місто'!E143</f>
        <v>-3485000</v>
      </c>
      <c r="F145" s="27">
        <f>Місто!F148-'[1]Місто'!F143</f>
        <v>-3485000</v>
      </c>
      <c r="G145" s="27">
        <f>Місто!G148-'[1]Місто'!G143</f>
        <v>0</v>
      </c>
      <c r="H145" s="27">
        <f>Місто!H148-'[1]Місто'!H143</f>
        <v>0</v>
      </c>
      <c r="I145" s="27">
        <f>Місто!I148-'[1]Місто'!I143</f>
        <v>0</v>
      </c>
      <c r="J145" s="27">
        <f>Місто!J148-'[1]Місто'!J143</f>
        <v>0</v>
      </c>
      <c r="K145" s="27">
        <f>Місто!K148-'[1]Місто'!K143</f>
        <v>0</v>
      </c>
      <c r="L145" s="27">
        <f>Місто!L148-'[1]Місто'!L143</f>
        <v>0</v>
      </c>
      <c r="M145" s="27">
        <f>Місто!M148-'[1]Місто'!M143</f>
        <v>0</v>
      </c>
      <c r="N145" s="27">
        <f>Місто!N148-'[1]Місто'!N143</f>
        <v>0</v>
      </c>
      <c r="O145" s="27">
        <f>Місто!O148-'[1]Місто'!O143</f>
        <v>0</v>
      </c>
      <c r="P145" s="26">
        <f>Місто!P148-'[1]Місто'!P143</f>
        <v>-3485000</v>
      </c>
      <c r="Q145" s="53"/>
      <c r="W145" s="53">
        <f t="shared" si="2"/>
        <v>0</v>
      </c>
    </row>
    <row r="146" spans="1:23" s="3" customFormat="1" ht="127.5">
      <c r="A146" s="9"/>
      <c r="B146" s="9" t="s">
        <v>314</v>
      </c>
      <c r="C146" s="9" t="s">
        <v>464</v>
      </c>
      <c r="D146" s="15" t="s">
        <v>10</v>
      </c>
      <c r="E146" s="27">
        <f>Місто!E149-'[1]Місто'!E144</f>
        <v>-4287000</v>
      </c>
      <c r="F146" s="27">
        <f>Місто!F149-'[1]Місто'!F144</f>
        <v>-4287000</v>
      </c>
      <c r="G146" s="27">
        <f>Місто!G149-'[1]Місто'!G144</f>
        <v>0</v>
      </c>
      <c r="H146" s="27">
        <f>Місто!H149-'[1]Місто'!H144</f>
        <v>0</v>
      </c>
      <c r="I146" s="27">
        <f>Місто!I149-'[1]Місто'!I144</f>
        <v>0</v>
      </c>
      <c r="J146" s="27">
        <f>Місто!J149-'[1]Місто'!J144</f>
        <v>0</v>
      </c>
      <c r="K146" s="27">
        <f>Місто!K149-'[1]Місто'!K144</f>
        <v>0</v>
      </c>
      <c r="L146" s="27">
        <f>Місто!L149-'[1]Місто'!L144</f>
        <v>0</v>
      </c>
      <c r="M146" s="27">
        <f>Місто!M149-'[1]Місто'!M144</f>
        <v>0</v>
      </c>
      <c r="N146" s="27">
        <f>Місто!N149-'[1]Місто'!N144</f>
        <v>0</v>
      </c>
      <c r="O146" s="27">
        <f>Місто!O149-'[1]Місто'!O144</f>
        <v>0</v>
      </c>
      <c r="P146" s="26">
        <f>Місто!P149-'[1]Місто'!P144</f>
        <v>-4287000</v>
      </c>
      <c r="Q146" s="53"/>
      <c r="W146" s="53">
        <f t="shared" si="2"/>
        <v>0</v>
      </c>
    </row>
    <row r="147" spans="1:23" s="3" customFormat="1" ht="112.5">
      <c r="A147" s="9"/>
      <c r="B147" s="9"/>
      <c r="C147" s="9"/>
      <c r="D147" s="91" t="s">
        <v>237</v>
      </c>
      <c r="E147" s="27">
        <f>Місто!E150-'[1]Місто'!E145</f>
        <v>-4287000</v>
      </c>
      <c r="F147" s="27">
        <f>Місто!F150-'[1]Місто'!F145</f>
        <v>-4287000</v>
      </c>
      <c r="G147" s="27">
        <f>Місто!G150-'[1]Місто'!G145</f>
        <v>0</v>
      </c>
      <c r="H147" s="27">
        <f>Місто!H150-'[1]Місто'!H145</f>
        <v>0</v>
      </c>
      <c r="I147" s="27">
        <f>Місто!I150-'[1]Місто'!I145</f>
        <v>0</v>
      </c>
      <c r="J147" s="27">
        <f>Місто!J150-'[1]Місто'!J145</f>
        <v>0</v>
      </c>
      <c r="K147" s="27">
        <f>Місто!K150-'[1]Місто'!K145</f>
        <v>0</v>
      </c>
      <c r="L147" s="27">
        <f>Місто!L150-'[1]Місто'!L145</f>
        <v>0</v>
      </c>
      <c r="M147" s="27">
        <f>Місто!M150-'[1]Місто'!M145</f>
        <v>0</v>
      </c>
      <c r="N147" s="27">
        <f>Місто!N150-'[1]Місто'!N145</f>
        <v>0</v>
      </c>
      <c r="O147" s="27">
        <f>Місто!O150-'[1]Місто'!O145</f>
        <v>0</v>
      </c>
      <c r="P147" s="26">
        <f>Місто!P150-'[1]Місто'!P145</f>
        <v>-4287000</v>
      </c>
      <c r="Q147" s="53"/>
      <c r="W147" s="53">
        <f t="shared" si="2"/>
        <v>0</v>
      </c>
    </row>
    <row r="148" spans="1:23" s="3" customFormat="1" ht="140.25">
      <c r="A148" s="9"/>
      <c r="B148" s="9" t="s">
        <v>315</v>
      </c>
      <c r="C148" s="9" t="s">
        <v>464</v>
      </c>
      <c r="D148" s="15" t="s">
        <v>233</v>
      </c>
      <c r="E148" s="27">
        <f>Місто!E151-'[1]Місто'!E146</f>
        <v>-10272</v>
      </c>
      <c r="F148" s="27">
        <f>Місто!F151-'[1]Місто'!F146</f>
        <v>-10272</v>
      </c>
      <c r="G148" s="27">
        <f>Місто!G151-'[1]Місто'!G146</f>
        <v>0</v>
      </c>
      <c r="H148" s="27">
        <f>Місто!H151-'[1]Місто'!H146</f>
        <v>0</v>
      </c>
      <c r="I148" s="27">
        <f>Місто!I151-'[1]Місто'!I146</f>
        <v>0</v>
      </c>
      <c r="J148" s="27">
        <f>Місто!J151-'[1]Місто'!J146</f>
        <v>0</v>
      </c>
      <c r="K148" s="27">
        <f>Місто!K151-'[1]Місто'!K146</f>
        <v>0</v>
      </c>
      <c r="L148" s="27">
        <f>Місто!L151-'[1]Місто'!L146</f>
        <v>0</v>
      </c>
      <c r="M148" s="27">
        <f>Місто!M151-'[1]Місто'!M146</f>
        <v>0</v>
      </c>
      <c r="N148" s="27">
        <f>Місто!N151-'[1]Місто'!N146</f>
        <v>0</v>
      </c>
      <c r="O148" s="27">
        <f>Місто!O151-'[1]Місто'!O146</f>
        <v>0</v>
      </c>
      <c r="P148" s="26">
        <f>Місто!P151-'[1]Місто'!P146</f>
        <v>-10272</v>
      </c>
      <c r="Q148" s="53"/>
      <c r="W148" s="53">
        <f t="shared" si="2"/>
        <v>0</v>
      </c>
    </row>
    <row r="149" spans="1:23" s="3" customFormat="1" ht="67.5">
      <c r="A149" s="9"/>
      <c r="B149" s="9"/>
      <c r="C149" s="9"/>
      <c r="D149" s="91" t="s">
        <v>120</v>
      </c>
      <c r="E149" s="27">
        <f>Місто!E152-'[1]Місто'!E147</f>
        <v>-10272</v>
      </c>
      <c r="F149" s="27">
        <f>Місто!F152-'[1]Місто'!F147</f>
        <v>-10272</v>
      </c>
      <c r="G149" s="27">
        <f>Місто!G152-'[1]Місто'!G147</f>
        <v>0</v>
      </c>
      <c r="H149" s="27">
        <f>Місто!H152-'[1]Місто'!H147</f>
        <v>0</v>
      </c>
      <c r="I149" s="27">
        <f>Місто!I152-'[1]Місто'!I147</f>
        <v>0</v>
      </c>
      <c r="J149" s="27">
        <f>Місто!J152-'[1]Місто'!J147</f>
        <v>0</v>
      </c>
      <c r="K149" s="27">
        <f>Місто!K152-'[1]Місто'!K147</f>
        <v>0</v>
      </c>
      <c r="L149" s="27">
        <f>Місто!L152-'[1]Місто'!L147</f>
        <v>0</v>
      </c>
      <c r="M149" s="27">
        <f>Місто!M152-'[1]Місто'!M147</f>
        <v>0</v>
      </c>
      <c r="N149" s="27">
        <f>Місто!N152-'[1]Місто'!N147</f>
        <v>0</v>
      </c>
      <c r="O149" s="27">
        <f>Місто!O152-'[1]Місто'!O147</f>
        <v>0</v>
      </c>
      <c r="P149" s="26">
        <f>Місто!P152-'[1]Місто'!P147</f>
        <v>-10272</v>
      </c>
      <c r="Q149" s="53"/>
      <c r="W149" s="53">
        <f t="shared" si="2"/>
        <v>0</v>
      </c>
    </row>
    <row r="150" spans="1:23" s="3" customFormat="1" ht="25.5">
      <c r="A150" s="9"/>
      <c r="B150" s="9" t="s">
        <v>310</v>
      </c>
      <c r="C150" s="9" t="s">
        <v>450</v>
      </c>
      <c r="D150" s="15" t="s">
        <v>113</v>
      </c>
      <c r="E150" s="27">
        <f>Місто!E153-'[1]Місто'!E148</f>
        <v>100000</v>
      </c>
      <c r="F150" s="27">
        <f>Місто!F153-'[1]Місто'!F148</f>
        <v>100000</v>
      </c>
      <c r="G150" s="27">
        <f>Місто!G153-'[1]Місто'!G148</f>
        <v>0</v>
      </c>
      <c r="H150" s="27">
        <f>Місто!H153-'[1]Місто'!H148</f>
        <v>0</v>
      </c>
      <c r="I150" s="27">
        <f>Місто!I153-'[1]Місто'!I148</f>
        <v>0</v>
      </c>
      <c r="J150" s="27">
        <f>Місто!J153-'[1]Місто'!J148</f>
        <v>0</v>
      </c>
      <c r="K150" s="27">
        <f>Місто!K153-'[1]Місто'!K148</f>
        <v>0</v>
      </c>
      <c r="L150" s="27">
        <f>Місто!L153-'[1]Місто'!L148</f>
        <v>0</v>
      </c>
      <c r="M150" s="27">
        <f>Місто!M153-'[1]Місто'!M148</f>
        <v>0</v>
      </c>
      <c r="N150" s="27">
        <f>Місто!N153-'[1]Місто'!N148</f>
        <v>0</v>
      </c>
      <c r="O150" s="27">
        <f>Місто!O153-'[1]Місто'!O148</f>
        <v>0</v>
      </c>
      <c r="P150" s="26">
        <f>Місто!P153-'[1]Місто'!P148</f>
        <v>100000</v>
      </c>
      <c r="Q150" s="53"/>
      <c r="W150" s="53">
        <f t="shared" si="2"/>
        <v>0</v>
      </c>
    </row>
    <row r="151" spans="1:23" s="3" customFormat="1" ht="90">
      <c r="A151" s="9"/>
      <c r="B151" s="9"/>
      <c r="C151" s="9"/>
      <c r="D151" s="91" t="s">
        <v>429</v>
      </c>
      <c r="E151" s="27">
        <f>Місто!E154-'[1]Місто'!E149</f>
        <v>100000</v>
      </c>
      <c r="F151" s="27">
        <f>Місто!F154-'[1]Місто'!F149</f>
        <v>100000</v>
      </c>
      <c r="G151" s="27">
        <f>Місто!G154-'[1]Місто'!G149</f>
        <v>0</v>
      </c>
      <c r="H151" s="27">
        <f>Місто!H154-'[1]Місто'!H149</f>
        <v>0</v>
      </c>
      <c r="I151" s="27">
        <f>Місто!I154-'[1]Місто'!I149</f>
        <v>0</v>
      </c>
      <c r="J151" s="27">
        <f>Місто!J154-'[1]Місто'!J149</f>
        <v>0</v>
      </c>
      <c r="K151" s="27">
        <f>Місто!K154-'[1]Місто'!K149</f>
        <v>0</v>
      </c>
      <c r="L151" s="27">
        <f>Місто!L154-'[1]Місто'!L149</f>
        <v>0</v>
      </c>
      <c r="M151" s="27">
        <f>Місто!M154-'[1]Місто'!M149</f>
        <v>0</v>
      </c>
      <c r="N151" s="27">
        <f>Місто!N154-'[1]Місто'!N149</f>
        <v>0</v>
      </c>
      <c r="O151" s="27">
        <f>Місто!O154-'[1]Місто'!O149</f>
        <v>0</v>
      </c>
      <c r="P151" s="26">
        <f>Місто!P154-'[1]Місто'!P149</f>
        <v>100000</v>
      </c>
      <c r="Q151" s="53"/>
      <c r="W151" s="53">
        <f t="shared" si="2"/>
        <v>0</v>
      </c>
    </row>
    <row r="152" spans="1:23" s="3" customFormat="1" ht="25.5">
      <c r="A152" s="9"/>
      <c r="B152" s="9" t="s">
        <v>311</v>
      </c>
      <c r="C152" s="9" t="s">
        <v>450</v>
      </c>
      <c r="D152" s="15" t="s">
        <v>430</v>
      </c>
      <c r="E152" s="27">
        <f>Місто!E155-'[1]Місто'!E150</f>
        <v>-1010000</v>
      </c>
      <c r="F152" s="27">
        <f>Місто!F155-'[1]Місто'!F150</f>
        <v>-1010000</v>
      </c>
      <c r="G152" s="27">
        <f>Місто!G155-'[1]Місто'!G150</f>
        <v>0</v>
      </c>
      <c r="H152" s="27">
        <f>Місто!H155-'[1]Місто'!H150</f>
        <v>0</v>
      </c>
      <c r="I152" s="27">
        <f>Місто!I155-'[1]Місто'!I150</f>
        <v>0</v>
      </c>
      <c r="J152" s="27">
        <f>Місто!J155-'[1]Місто'!J150</f>
        <v>0</v>
      </c>
      <c r="K152" s="27">
        <f>Місто!K155-'[1]Місто'!K150</f>
        <v>0</v>
      </c>
      <c r="L152" s="27">
        <f>Місто!L155-'[1]Місто'!L150</f>
        <v>0</v>
      </c>
      <c r="M152" s="27">
        <f>Місто!M155-'[1]Місто'!M150</f>
        <v>0</v>
      </c>
      <c r="N152" s="27">
        <f>Місто!N155-'[1]Місто'!N150</f>
        <v>0</v>
      </c>
      <c r="O152" s="27">
        <f>Місто!O155-'[1]Місто'!O150</f>
        <v>0</v>
      </c>
      <c r="P152" s="26">
        <f>Місто!P155-'[1]Місто'!P150</f>
        <v>-1010000</v>
      </c>
      <c r="Q152" s="53"/>
      <c r="W152" s="53">
        <f t="shared" si="2"/>
        <v>0</v>
      </c>
    </row>
    <row r="153" spans="1:23" s="3" customFormat="1" ht="90">
      <c r="A153" s="9"/>
      <c r="B153" s="9"/>
      <c r="C153" s="9"/>
      <c r="D153" s="91" t="s">
        <v>429</v>
      </c>
      <c r="E153" s="27">
        <f>Місто!E156-'[1]Місто'!E151</f>
        <v>-1010000</v>
      </c>
      <c r="F153" s="27">
        <f>Місто!F156-'[1]Місто'!F151</f>
        <v>-1010000</v>
      </c>
      <c r="G153" s="27">
        <f>Місто!G156-'[1]Місто'!G151</f>
        <v>0</v>
      </c>
      <c r="H153" s="27">
        <f>Місто!H156-'[1]Місто'!H151</f>
        <v>0</v>
      </c>
      <c r="I153" s="27">
        <f>Місто!I156-'[1]Місто'!I151</f>
        <v>0</v>
      </c>
      <c r="J153" s="27">
        <f>Місто!J156-'[1]Місто'!J151</f>
        <v>0</v>
      </c>
      <c r="K153" s="27">
        <f>Місто!K156-'[1]Місто'!K151</f>
        <v>0</v>
      </c>
      <c r="L153" s="27">
        <f>Місто!L156-'[1]Місто'!L151</f>
        <v>0</v>
      </c>
      <c r="M153" s="27">
        <f>Місто!M156-'[1]Місто'!M151</f>
        <v>0</v>
      </c>
      <c r="N153" s="27">
        <f>Місто!N156-'[1]Місто'!N151</f>
        <v>0</v>
      </c>
      <c r="O153" s="27">
        <f>Місто!O156-'[1]Місто'!O151</f>
        <v>0</v>
      </c>
      <c r="P153" s="26">
        <f>Місто!P156-'[1]Місто'!P151</f>
        <v>-1010000</v>
      </c>
      <c r="Q153" s="53"/>
      <c r="W153" s="53">
        <f t="shared" si="2"/>
        <v>0</v>
      </c>
    </row>
    <row r="154" spans="1:23" s="3" customFormat="1" ht="12.75">
      <c r="A154" s="9"/>
      <c r="B154" s="9" t="s">
        <v>312</v>
      </c>
      <c r="C154" s="9" t="s">
        <v>450</v>
      </c>
      <c r="D154" s="15" t="s">
        <v>332</v>
      </c>
      <c r="E154" s="27">
        <f>Місто!E157-'[1]Місто'!E152</f>
        <v>-5774789</v>
      </c>
      <c r="F154" s="27">
        <f>Місто!F157-'[1]Місто'!F152</f>
        <v>-5774789</v>
      </c>
      <c r="G154" s="27">
        <f>Місто!G157-'[1]Місто'!G152</f>
        <v>0</v>
      </c>
      <c r="H154" s="27">
        <f>Місто!H157-'[1]Місто'!H152</f>
        <v>0</v>
      </c>
      <c r="I154" s="27">
        <f>Місто!I157-'[1]Місто'!I152</f>
        <v>0</v>
      </c>
      <c r="J154" s="27">
        <f>Місто!J157-'[1]Місто'!J152</f>
        <v>0</v>
      </c>
      <c r="K154" s="27">
        <f>Місто!K157-'[1]Місто'!K152</f>
        <v>0</v>
      </c>
      <c r="L154" s="27">
        <f>Місто!L157-'[1]Місто'!L152</f>
        <v>0</v>
      </c>
      <c r="M154" s="27">
        <f>Місто!M157-'[1]Місто'!M152</f>
        <v>0</v>
      </c>
      <c r="N154" s="27">
        <f>Місто!N157-'[1]Місто'!N152</f>
        <v>0</v>
      </c>
      <c r="O154" s="27">
        <f>Місто!O157-'[1]Місто'!O152</f>
        <v>0</v>
      </c>
      <c r="P154" s="26">
        <f>Місто!P157-'[1]Місто'!P152</f>
        <v>-5774789</v>
      </c>
      <c r="Q154" s="53"/>
      <c r="W154" s="53">
        <f t="shared" si="2"/>
        <v>0</v>
      </c>
    </row>
    <row r="155" spans="1:23" s="3" customFormat="1" ht="90">
      <c r="A155" s="9"/>
      <c r="B155" s="9"/>
      <c r="C155" s="9"/>
      <c r="D155" s="91" t="s">
        <v>429</v>
      </c>
      <c r="E155" s="27">
        <f>Місто!E158-'[1]Місто'!E153</f>
        <v>-5774789</v>
      </c>
      <c r="F155" s="27">
        <f>Місто!F158-'[1]Місто'!F153</f>
        <v>-5774789</v>
      </c>
      <c r="G155" s="27">
        <f>Місто!G158-'[1]Місто'!G153</f>
        <v>0</v>
      </c>
      <c r="H155" s="27">
        <f>Місто!H158-'[1]Місто'!H153</f>
        <v>0</v>
      </c>
      <c r="I155" s="27">
        <f>Місто!I158-'[1]Місто'!I153</f>
        <v>0</v>
      </c>
      <c r="J155" s="27">
        <f>Місто!J158-'[1]Місто'!J153</f>
        <v>0</v>
      </c>
      <c r="K155" s="27">
        <f>Місто!K158-'[1]Місто'!K153</f>
        <v>0</v>
      </c>
      <c r="L155" s="27">
        <f>Місто!L158-'[1]Місто'!L153</f>
        <v>0</v>
      </c>
      <c r="M155" s="27">
        <f>Місто!M158-'[1]Місто'!M153</f>
        <v>0</v>
      </c>
      <c r="N155" s="27">
        <f>Місто!N158-'[1]Місто'!N153</f>
        <v>0</v>
      </c>
      <c r="O155" s="27">
        <f>Місто!O158-'[1]Місто'!O153</f>
        <v>0</v>
      </c>
      <c r="P155" s="26">
        <f>Місто!P158-'[1]Місто'!P153</f>
        <v>-5774789</v>
      </c>
      <c r="Q155" s="53"/>
      <c r="W155" s="53">
        <f t="shared" si="2"/>
        <v>0</v>
      </c>
    </row>
    <row r="156" spans="1:23" s="3" customFormat="1" ht="25.5">
      <c r="A156" s="9"/>
      <c r="B156" s="9" t="s">
        <v>299</v>
      </c>
      <c r="C156" s="9" t="s">
        <v>450</v>
      </c>
      <c r="D156" s="66" t="s">
        <v>398</v>
      </c>
      <c r="E156" s="27">
        <f>Місто!E159-'[1]Місто'!E154</f>
        <v>2060000</v>
      </c>
      <c r="F156" s="27">
        <f>Місто!F159-'[1]Місто'!F154</f>
        <v>2060000</v>
      </c>
      <c r="G156" s="27">
        <f>Місто!G159-'[1]Місто'!G154</f>
        <v>0</v>
      </c>
      <c r="H156" s="27">
        <f>Місто!H159-'[1]Місто'!H154</f>
        <v>0</v>
      </c>
      <c r="I156" s="27">
        <f>Місто!I159-'[1]Місто'!I154</f>
        <v>0</v>
      </c>
      <c r="J156" s="27">
        <f>Місто!J159-'[1]Місто'!J154</f>
        <v>0</v>
      </c>
      <c r="K156" s="27">
        <f>Місто!K159-'[1]Місто'!K154</f>
        <v>0</v>
      </c>
      <c r="L156" s="27">
        <f>Місто!L159-'[1]Місто'!L154</f>
        <v>0</v>
      </c>
      <c r="M156" s="27">
        <f>Місто!M159-'[1]Місто'!M154</f>
        <v>0</v>
      </c>
      <c r="N156" s="27">
        <f>Місто!N159-'[1]Місто'!N154</f>
        <v>0</v>
      </c>
      <c r="O156" s="27">
        <f>Місто!O159-'[1]Місто'!O154</f>
        <v>0</v>
      </c>
      <c r="P156" s="26">
        <f>Місто!P159-'[1]Місто'!P154</f>
        <v>2060000</v>
      </c>
      <c r="Q156" s="53"/>
      <c r="W156" s="53">
        <f t="shared" si="2"/>
        <v>0</v>
      </c>
    </row>
    <row r="157" spans="1:23" s="3" customFormat="1" ht="90">
      <c r="A157" s="9"/>
      <c r="B157" s="9"/>
      <c r="C157" s="9"/>
      <c r="D157" s="91" t="s">
        <v>429</v>
      </c>
      <c r="E157" s="27">
        <f>Місто!E160-'[1]Місто'!E155</f>
        <v>2060000</v>
      </c>
      <c r="F157" s="27">
        <f>Місто!F160-'[1]Місто'!F155</f>
        <v>2060000</v>
      </c>
      <c r="G157" s="27">
        <f>Місто!G160-'[1]Місто'!G155</f>
        <v>0</v>
      </c>
      <c r="H157" s="27">
        <f>Місто!H160-'[1]Місто'!H155</f>
        <v>0</v>
      </c>
      <c r="I157" s="27">
        <f>Місто!I160-'[1]Місто'!I155</f>
        <v>0</v>
      </c>
      <c r="J157" s="27">
        <f>Місто!J160-'[1]Місто'!J155</f>
        <v>0</v>
      </c>
      <c r="K157" s="27">
        <f>Місто!K160-'[1]Місто'!K155</f>
        <v>0</v>
      </c>
      <c r="L157" s="27">
        <f>Місто!L160-'[1]Місто'!L155</f>
        <v>0</v>
      </c>
      <c r="M157" s="27">
        <f>Місто!M160-'[1]Місто'!M155</f>
        <v>0</v>
      </c>
      <c r="N157" s="27">
        <f>Місто!N160-'[1]Місто'!N155</f>
        <v>0</v>
      </c>
      <c r="O157" s="27">
        <f>Місто!O160-'[1]Місто'!O155</f>
        <v>0</v>
      </c>
      <c r="P157" s="26">
        <f>Місто!P160-'[1]Місто'!P155</f>
        <v>2060000</v>
      </c>
      <c r="Q157" s="53"/>
      <c r="W157" s="53">
        <f t="shared" si="2"/>
        <v>0</v>
      </c>
    </row>
    <row r="158" spans="1:23" s="3" customFormat="1" ht="12.75">
      <c r="A158" s="9"/>
      <c r="B158" s="9" t="s">
        <v>335</v>
      </c>
      <c r="C158" s="9" t="s">
        <v>450</v>
      </c>
      <c r="D158" s="15" t="s">
        <v>329</v>
      </c>
      <c r="E158" s="27">
        <f>Місто!E161-'[1]Місто'!E156</f>
        <v>-400000</v>
      </c>
      <c r="F158" s="27">
        <f>Місто!F161-'[1]Місто'!F156</f>
        <v>-400000</v>
      </c>
      <c r="G158" s="27">
        <f>Місто!G161-'[1]Місто'!G156</f>
        <v>0</v>
      </c>
      <c r="H158" s="27">
        <f>Місто!H161-'[1]Місто'!H156</f>
        <v>0</v>
      </c>
      <c r="I158" s="27">
        <f>Місто!I161-'[1]Місто'!I156</f>
        <v>0</v>
      </c>
      <c r="J158" s="27">
        <f>Місто!J161-'[1]Місто'!J156</f>
        <v>0</v>
      </c>
      <c r="K158" s="27">
        <f>Місто!K161-'[1]Місто'!K156</f>
        <v>0</v>
      </c>
      <c r="L158" s="27">
        <f>Місто!L161-'[1]Місто'!L156</f>
        <v>0</v>
      </c>
      <c r="M158" s="27">
        <f>Місто!M161-'[1]Місто'!M156</f>
        <v>0</v>
      </c>
      <c r="N158" s="27">
        <f>Місто!N161-'[1]Місто'!N156</f>
        <v>0</v>
      </c>
      <c r="O158" s="27">
        <f>Місто!O161-'[1]Місто'!O156</f>
        <v>0</v>
      </c>
      <c r="P158" s="26">
        <f>Місто!P161-'[1]Місто'!P156</f>
        <v>-400000</v>
      </c>
      <c r="Q158" s="53"/>
      <c r="W158" s="53">
        <f t="shared" si="2"/>
        <v>0</v>
      </c>
    </row>
    <row r="159" spans="1:23" s="3" customFormat="1" ht="90">
      <c r="A159" s="9"/>
      <c r="B159" s="9"/>
      <c r="C159" s="9"/>
      <c r="D159" s="91" t="s">
        <v>429</v>
      </c>
      <c r="E159" s="27">
        <f>Місто!E162-'[1]Місто'!E157</f>
        <v>-400000</v>
      </c>
      <c r="F159" s="27">
        <f>Місто!F162-'[1]Місто'!F157</f>
        <v>-400000</v>
      </c>
      <c r="G159" s="27">
        <f>Місто!G162-'[1]Місто'!G157</f>
        <v>0</v>
      </c>
      <c r="H159" s="27">
        <f>Місто!H162-'[1]Місто'!H157</f>
        <v>0</v>
      </c>
      <c r="I159" s="27">
        <f>Місто!I162-'[1]Місто'!I157</f>
        <v>0</v>
      </c>
      <c r="J159" s="27">
        <f>Місто!J162-'[1]Місто'!J157</f>
        <v>0</v>
      </c>
      <c r="K159" s="27">
        <f>Місто!K162-'[1]Місто'!K157</f>
        <v>0</v>
      </c>
      <c r="L159" s="27">
        <f>Місто!L162-'[1]Місто'!L157</f>
        <v>0</v>
      </c>
      <c r="M159" s="27">
        <f>Місто!M162-'[1]Місто'!M157</f>
        <v>0</v>
      </c>
      <c r="N159" s="27">
        <f>Місто!N162-'[1]Місто'!N157</f>
        <v>0</v>
      </c>
      <c r="O159" s="27">
        <f>Місто!O162-'[1]Місто'!O157</f>
        <v>0</v>
      </c>
      <c r="P159" s="26">
        <f>Місто!P162-'[1]Місто'!P157</f>
        <v>-400000</v>
      </c>
      <c r="Q159" s="53"/>
      <c r="W159" s="53">
        <f t="shared" si="2"/>
        <v>0</v>
      </c>
    </row>
    <row r="160" spans="1:23" s="3" customFormat="1" ht="12.75">
      <c r="A160" s="9"/>
      <c r="B160" s="9" t="s">
        <v>89</v>
      </c>
      <c r="C160" s="9" t="s">
        <v>450</v>
      </c>
      <c r="D160" s="15" t="s">
        <v>90</v>
      </c>
      <c r="E160" s="27">
        <f>Місто!E163-'[1]Місто'!E158</f>
        <v>300000</v>
      </c>
      <c r="F160" s="27">
        <f>Місто!F163-'[1]Місто'!F158</f>
        <v>300000</v>
      </c>
      <c r="G160" s="27">
        <f>Місто!G163-'[1]Місто'!G158</f>
        <v>0</v>
      </c>
      <c r="H160" s="27">
        <f>Місто!H163-'[1]Місто'!H158</f>
        <v>0</v>
      </c>
      <c r="I160" s="27">
        <f>Місто!I163-'[1]Місто'!I158</f>
        <v>0</v>
      </c>
      <c r="J160" s="27">
        <f>Місто!J163-'[1]Місто'!J158</f>
        <v>0</v>
      </c>
      <c r="K160" s="27">
        <f>Місто!K163-'[1]Місто'!K158</f>
        <v>0</v>
      </c>
      <c r="L160" s="27">
        <f>Місто!L163-'[1]Місто'!L158</f>
        <v>0</v>
      </c>
      <c r="M160" s="27">
        <f>Місто!M163-'[1]Місто'!M158</f>
        <v>0</v>
      </c>
      <c r="N160" s="27">
        <f>Місто!N163-'[1]Місто'!N158</f>
        <v>0</v>
      </c>
      <c r="O160" s="27">
        <f>Місто!O163-'[1]Місто'!O158</f>
        <v>0</v>
      </c>
      <c r="P160" s="26">
        <f>Місто!P163-'[1]Місто'!P158</f>
        <v>300000</v>
      </c>
      <c r="Q160" s="53"/>
      <c r="W160" s="53">
        <f t="shared" si="2"/>
        <v>0</v>
      </c>
    </row>
    <row r="161" spans="1:23" ht="90">
      <c r="A161" s="9"/>
      <c r="B161" s="9"/>
      <c r="C161" s="9"/>
      <c r="D161" s="91" t="s">
        <v>429</v>
      </c>
      <c r="E161" s="27">
        <f>Місто!E164-'[1]Місто'!E159</f>
        <v>300000</v>
      </c>
      <c r="F161" s="27">
        <f>Місто!F164-'[1]Місто'!F159</f>
        <v>300000</v>
      </c>
      <c r="G161" s="27">
        <f>Місто!G164-'[1]Місто'!G159</f>
        <v>0</v>
      </c>
      <c r="H161" s="27">
        <f>Місто!H164-'[1]Місто'!H159</f>
        <v>0</v>
      </c>
      <c r="I161" s="27">
        <f>Місто!I164-'[1]Місто'!I159</f>
        <v>0</v>
      </c>
      <c r="J161" s="27">
        <f>Місто!J164-'[1]Місто'!J159</f>
        <v>0</v>
      </c>
      <c r="K161" s="27">
        <f>Місто!K164-'[1]Місто'!K159</f>
        <v>0</v>
      </c>
      <c r="L161" s="27">
        <f>Місто!L164-'[1]Місто'!L159</f>
        <v>0</v>
      </c>
      <c r="M161" s="27">
        <f>Місто!M164-'[1]Місто'!M159</f>
        <v>0</v>
      </c>
      <c r="N161" s="27">
        <f>Місто!N164-'[1]Місто'!N159</f>
        <v>0</v>
      </c>
      <c r="O161" s="27">
        <f>Місто!O164-'[1]Місто'!O159</f>
        <v>0</v>
      </c>
      <c r="P161" s="26">
        <f>Місто!P164-'[1]Місто'!P159</f>
        <v>300000</v>
      </c>
      <c r="Q161" s="53"/>
      <c r="R161" s="59"/>
      <c r="W161" s="53">
        <f t="shared" si="2"/>
        <v>0</v>
      </c>
    </row>
    <row r="162" spans="1:23" ht="12.75">
      <c r="A162" s="9"/>
      <c r="B162" s="9" t="s">
        <v>399</v>
      </c>
      <c r="C162" s="9" t="s">
        <v>450</v>
      </c>
      <c r="D162" s="15" t="s">
        <v>400</v>
      </c>
      <c r="E162" s="27">
        <f>Місто!E165-'[1]Місто'!E160</f>
        <v>30000</v>
      </c>
      <c r="F162" s="27">
        <f>Місто!F165-'[1]Місто'!F160</f>
        <v>30000</v>
      </c>
      <c r="G162" s="27">
        <f>Місто!G165-'[1]Місто'!G160</f>
        <v>0</v>
      </c>
      <c r="H162" s="27">
        <f>Місто!H165-'[1]Місто'!H160</f>
        <v>0</v>
      </c>
      <c r="I162" s="27">
        <f>Місто!I165-'[1]Місто'!I160</f>
        <v>0</v>
      </c>
      <c r="J162" s="27">
        <f>Місто!J165-'[1]Місто'!J160</f>
        <v>0</v>
      </c>
      <c r="K162" s="27">
        <f>Місто!K165-'[1]Місто'!K160</f>
        <v>0</v>
      </c>
      <c r="L162" s="27">
        <f>Місто!L165-'[1]Місто'!L160</f>
        <v>0</v>
      </c>
      <c r="M162" s="27">
        <f>Місто!M165-'[1]Місто'!M160</f>
        <v>0</v>
      </c>
      <c r="N162" s="27">
        <f>Місто!N165-'[1]Місто'!N160</f>
        <v>0</v>
      </c>
      <c r="O162" s="27">
        <f>Місто!O165-'[1]Місто'!O160</f>
        <v>0</v>
      </c>
      <c r="P162" s="26">
        <f>Місто!P165-'[1]Місто'!P160</f>
        <v>30000</v>
      </c>
      <c r="Q162" s="53"/>
      <c r="R162" s="59"/>
      <c r="W162" s="53">
        <f t="shared" si="2"/>
        <v>0</v>
      </c>
    </row>
    <row r="163" spans="1:23" s="3" customFormat="1" ht="90">
      <c r="A163" s="9"/>
      <c r="B163" s="9"/>
      <c r="C163" s="9"/>
      <c r="D163" s="91" t="s">
        <v>429</v>
      </c>
      <c r="E163" s="27">
        <f>Місто!E166-'[1]Місто'!E161</f>
        <v>30000</v>
      </c>
      <c r="F163" s="27">
        <f>Місто!F166-'[1]Місто'!F161</f>
        <v>30000</v>
      </c>
      <c r="G163" s="27">
        <f>Місто!G166-'[1]Місто'!G161</f>
        <v>0</v>
      </c>
      <c r="H163" s="27">
        <f>Місто!H166-'[1]Місто'!H161</f>
        <v>0</v>
      </c>
      <c r="I163" s="27">
        <f>Місто!I166-'[1]Місто'!I161</f>
        <v>0</v>
      </c>
      <c r="J163" s="27">
        <f>Місто!J166-'[1]Місто'!J161</f>
        <v>0</v>
      </c>
      <c r="K163" s="27">
        <f>Місто!K166-'[1]Місто'!K161</f>
        <v>0</v>
      </c>
      <c r="L163" s="27">
        <f>Місто!L166-'[1]Місто'!L161</f>
        <v>0</v>
      </c>
      <c r="M163" s="27">
        <f>Місто!M166-'[1]Місто'!M161</f>
        <v>0</v>
      </c>
      <c r="N163" s="27">
        <f>Місто!N166-'[1]Місто'!N161</f>
        <v>0</v>
      </c>
      <c r="O163" s="27">
        <f>Місто!O166-'[1]Місто'!O161</f>
        <v>0</v>
      </c>
      <c r="P163" s="26">
        <f>Місто!P166-'[1]Місто'!P161</f>
        <v>30000</v>
      </c>
      <c r="Q163" s="53"/>
      <c r="W163" s="53">
        <f t="shared" si="2"/>
        <v>0</v>
      </c>
    </row>
    <row r="164" spans="1:23" s="3" customFormat="1" ht="25.5">
      <c r="A164" s="9"/>
      <c r="B164" s="9" t="s">
        <v>330</v>
      </c>
      <c r="C164" s="9" t="s">
        <v>450</v>
      </c>
      <c r="D164" s="15" t="s">
        <v>63</v>
      </c>
      <c r="E164" s="27">
        <f>Місто!E167-'[1]Місто'!E162</f>
        <v>24000000</v>
      </c>
      <c r="F164" s="27">
        <f>Місто!F167-'[1]Місто'!F162</f>
        <v>24000000</v>
      </c>
      <c r="G164" s="27">
        <f>Місто!G167-'[1]Місто'!G162</f>
        <v>0</v>
      </c>
      <c r="H164" s="27">
        <f>Місто!H167-'[1]Місто'!H162</f>
        <v>0</v>
      </c>
      <c r="I164" s="27">
        <f>Місто!I167-'[1]Місто'!I162</f>
        <v>0</v>
      </c>
      <c r="J164" s="27">
        <f>Місто!J167-'[1]Місто'!J162</f>
        <v>0</v>
      </c>
      <c r="K164" s="27">
        <f>Місто!K167-'[1]Місто'!K162</f>
        <v>0</v>
      </c>
      <c r="L164" s="27">
        <f>Місто!L167-'[1]Місто'!L162</f>
        <v>0</v>
      </c>
      <c r="M164" s="27">
        <f>Місто!M167-'[1]Місто'!M162</f>
        <v>0</v>
      </c>
      <c r="N164" s="27">
        <f>Місто!N167-'[1]Місто'!N162</f>
        <v>0</v>
      </c>
      <c r="O164" s="27">
        <f>Місто!O167-'[1]Місто'!O162</f>
        <v>0</v>
      </c>
      <c r="P164" s="26">
        <f>Місто!P167-'[1]Місто'!P162</f>
        <v>24000000</v>
      </c>
      <c r="Q164" s="53"/>
      <c r="W164" s="53">
        <f t="shared" si="2"/>
        <v>0</v>
      </c>
    </row>
    <row r="165" spans="1:23" ht="90">
      <c r="A165" s="9"/>
      <c r="B165" s="9"/>
      <c r="C165" s="9"/>
      <c r="D165" s="91" t="s">
        <v>429</v>
      </c>
      <c r="E165" s="27">
        <f>Місто!E168-'[1]Місто'!E163</f>
        <v>24000000</v>
      </c>
      <c r="F165" s="27">
        <f>Місто!F168-'[1]Місто'!F163</f>
        <v>24000000</v>
      </c>
      <c r="G165" s="27">
        <f>Місто!G168-'[1]Місто'!G163</f>
        <v>0</v>
      </c>
      <c r="H165" s="27">
        <f>Місто!H168-'[1]Місто'!H163</f>
        <v>0</v>
      </c>
      <c r="I165" s="27">
        <f>Місто!I168-'[1]Місто'!I163</f>
        <v>0</v>
      </c>
      <c r="J165" s="27">
        <f>Місто!J168-'[1]Місто'!J163</f>
        <v>0</v>
      </c>
      <c r="K165" s="27">
        <f>Місто!K168-'[1]Місто'!K163</f>
        <v>0</v>
      </c>
      <c r="L165" s="27">
        <f>Місто!L168-'[1]Місто'!L163</f>
        <v>0</v>
      </c>
      <c r="M165" s="27">
        <f>Місто!M168-'[1]Місто'!M163</f>
        <v>0</v>
      </c>
      <c r="N165" s="27">
        <f>Місто!N168-'[1]Місто'!N163</f>
        <v>0</v>
      </c>
      <c r="O165" s="27">
        <f>Місто!O168-'[1]Місто'!O163</f>
        <v>0</v>
      </c>
      <c r="P165" s="26">
        <f>Місто!P168-'[1]Місто'!P163</f>
        <v>24000000</v>
      </c>
      <c r="Q165" s="53"/>
      <c r="R165" s="59"/>
      <c r="W165" s="53">
        <f t="shared" si="2"/>
        <v>0</v>
      </c>
    </row>
    <row r="166" spans="1:23" ht="38.25">
      <c r="A166" s="9"/>
      <c r="B166" s="9" t="s">
        <v>300</v>
      </c>
      <c r="C166" s="9" t="s">
        <v>455</v>
      </c>
      <c r="D166" s="66" t="s">
        <v>395</v>
      </c>
      <c r="E166" s="27">
        <f>Місто!E169-'[1]Місто'!E164</f>
        <v>81506400</v>
      </c>
      <c r="F166" s="27">
        <f>Місто!F169-'[1]Місто'!F164</f>
        <v>81506400</v>
      </c>
      <c r="G166" s="27">
        <f>Місто!G169-'[1]Місто'!G164</f>
        <v>0</v>
      </c>
      <c r="H166" s="27">
        <f>Місто!H169-'[1]Місто'!H164</f>
        <v>0</v>
      </c>
      <c r="I166" s="27">
        <f>Місто!I169-'[1]Місто'!I164</f>
        <v>0</v>
      </c>
      <c r="J166" s="27">
        <f>Місто!J169-'[1]Місто'!J164</f>
        <v>0</v>
      </c>
      <c r="K166" s="27">
        <f>Місто!K169-'[1]Місто'!K164</f>
        <v>0</v>
      </c>
      <c r="L166" s="27">
        <f>Місто!L169-'[1]Місто'!L164</f>
        <v>0</v>
      </c>
      <c r="M166" s="27">
        <f>Місто!M169-'[1]Місто'!M164</f>
        <v>0</v>
      </c>
      <c r="N166" s="27">
        <f>Місто!N169-'[1]Місто'!N164</f>
        <v>0</v>
      </c>
      <c r="O166" s="27">
        <f>Місто!O169-'[1]Місто'!O164</f>
        <v>0</v>
      </c>
      <c r="P166" s="26">
        <f>Місто!P169-'[1]Місто'!P164</f>
        <v>81506400</v>
      </c>
      <c r="Q166" s="53"/>
      <c r="R166" s="59"/>
      <c r="W166" s="53">
        <f t="shared" si="2"/>
        <v>0</v>
      </c>
    </row>
    <row r="167" spans="1:23" ht="112.5">
      <c r="A167" s="9"/>
      <c r="B167" s="9"/>
      <c r="C167" s="9"/>
      <c r="D167" s="91" t="s">
        <v>237</v>
      </c>
      <c r="E167" s="27">
        <f>Місто!E170-'[1]Місто'!E165</f>
        <v>81506400</v>
      </c>
      <c r="F167" s="27">
        <f>Місто!F170-'[1]Місто'!F165</f>
        <v>81506400</v>
      </c>
      <c r="G167" s="27">
        <f>Місто!G170-'[1]Місто'!G165</f>
        <v>0</v>
      </c>
      <c r="H167" s="27">
        <f>Місто!H170-'[1]Місто'!H165</f>
        <v>0</v>
      </c>
      <c r="I167" s="27">
        <f>Місто!I170-'[1]Місто'!I165</f>
        <v>0</v>
      </c>
      <c r="J167" s="27">
        <f>Місто!J170-'[1]Місто'!J165</f>
        <v>0</v>
      </c>
      <c r="K167" s="27">
        <f>Місто!K170-'[1]Місто'!K165</f>
        <v>0</v>
      </c>
      <c r="L167" s="27">
        <f>Місто!L170-'[1]Місто'!L165</f>
        <v>0</v>
      </c>
      <c r="M167" s="27">
        <f>Місто!M170-'[1]Місто'!M165</f>
        <v>0</v>
      </c>
      <c r="N167" s="27">
        <f>Місто!N170-'[1]Місто'!N165</f>
        <v>0</v>
      </c>
      <c r="O167" s="27">
        <f>Місто!O170-'[1]Місто'!O165</f>
        <v>0</v>
      </c>
      <c r="P167" s="26">
        <f>Місто!P170-'[1]Місто'!P165</f>
        <v>81506400</v>
      </c>
      <c r="Q167" s="53"/>
      <c r="R167" s="59"/>
      <c r="W167" s="53">
        <f t="shared" si="2"/>
        <v>0</v>
      </c>
    </row>
    <row r="168" spans="1:23" ht="51">
      <c r="A168" s="9"/>
      <c r="B168" s="9" t="s">
        <v>396</v>
      </c>
      <c r="C168" s="9" t="s">
        <v>455</v>
      </c>
      <c r="D168" s="4" t="s">
        <v>397</v>
      </c>
      <c r="E168" s="27">
        <f>Місто!E171-'[1]Місто'!E166</f>
        <v>159464</v>
      </c>
      <c r="F168" s="27">
        <f>Місто!F171-'[1]Місто'!F166</f>
        <v>159464</v>
      </c>
      <c r="G168" s="27">
        <f>Місто!G171-'[1]Місто'!G166</f>
        <v>0</v>
      </c>
      <c r="H168" s="27">
        <f>Місто!H171-'[1]Місто'!H166</f>
        <v>0</v>
      </c>
      <c r="I168" s="27">
        <f>Місто!I171-'[1]Місто'!I166</f>
        <v>0</v>
      </c>
      <c r="J168" s="27">
        <f>Місто!J171-'[1]Місто'!J166</f>
        <v>0</v>
      </c>
      <c r="K168" s="27">
        <f>Місто!K171-'[1]Місто'!K166</f>
        <v>0</v>
      </c>
      <c r="L168" s="27">
        <f>Місто!L171-'[1]Місто'!L166</f>
        <v>0</v>
      </c>
      <c r="M168" s="27">
        <f>Місто!M171-'[1]Місто'!M166</f>
        <v>0</v>
      </c>
      <c r="N168" s="27">
        <f>Місто!N171-'[1]Місто'!N166</f>
        <v>0</v>
      </c>
      <c r="O168" s="27">
        <f>Місто!O171-'[1]Місто'!O166</f>
        <v>0</v>
      </c>
      <c r="P168" s="26">
        <f>Місто!P171-'[1]Місто'!P166</f>
        <v>159464</v>
      </c>
      <c r="Q168" s="53"/>
      <c r="R168" s="59"/>
      <c r="W168" s="53">
        <f t="shared" si="2"/>
        <v>0</v>
      </c>
    </row>
    <row r="169" spans="1:23" s="3" customFormat="1" ht="67.5">
      <c r="A169" s="9"/>
      <c r="B169" s="9"/>
      <c r="C169" s="9"/>
      <c r="D169" s="91" t="s">
        <v>120</v>
      </c>
      <c r="E169" s="27">
        <f>Місто!E172-'[1]Місто'!E167</f>
        <v>159464</v>
      </c>
      <c r="F169" s="27">
        <f>Місто!F172-'[1]Місто'!F167</f>
        <v>159464</v>
      </c>
      <c r="G169" s="27">
        <f>Місто!G172-'[1]Місто'!G167</f>
        <v>0</v>
      </c>
      <c r="H169" s="27">
        <f>Місто!H172-'[1]Місто'!H167</f>
        <v>0</v>
      </c>
      <c r="I169" s="27">
        <f>Місто!I172-'[1]Місто'!I167</f>
        <v>0</v>
      </c>
      <c r="J169" s="27">
        <f>Місто!J172-'[1]Місто'!J167</f>
        <v>0</v>
      </c>
      <c r="K169" s="27">
        <f>Місто!K172-'[1]Місто'!K167</f>
        <v>0</v>
      </c>
      <c r="L169" s="27">
        <f>Місто!L172-'[1]Місто'!L167</f>
        <v>0</v>
      </c>
      <c r="M169" s="27">
        <f>Місто!M172-'[1]Місто'!M167</f>
        <v>0</v>
      </c>
      <c r="N169" s="27">
        <f>Місто!N172-'[1]Місто'!N167</f>
        <v>0</v>
      </c>
      <c r="O169" s="27">
        <f>Місто!O172-'[1]Місто'!O167</f>
        <v>0</v>
      </c>
      <c r="P169" s="26">
        <f>Місто!P172-'[1]Місто'!P167</f>
        <v>159464</v>
      </c>
      <c r="Q169" s="53"/>
      <c r="W169" s="53">
        <f t="shared" si="2"/>
        <v>0</v>
      </c>
    </row>
    <row r="170" spans="1:23" s="3" customFormat="1" ht="45" hidden="1">
      <c r="A170" s="9"/>
      <c r="B170" s="9" t="s">
        <v>384</v>
      </c>
      <c r="C170" s="9" t="s">
        <v>455</v>
      </c>
      <c r="D170" s="91" t="s">
        <v>385</v>
      </c>
      <c r="E170" s="27">
        <f>Місто!E173-'[1]Місто'!E168</f>
        <v>0</v>
      </c>
      <c r="F170" s="27">
        <f>Місто!F173-'[1]Місто'!F168</f>
        <v>0</v>
      </c>
      <c r="G170" s="27">
        <f>Місто!G173-'[1]Місто'!G168</f>
        <v>0</v>
      </c>
      <c r="H170" s="27">
        <f>Місто!H173-'[1]Місто'!H168</f>
        <v>0</v>
      </c>
      <c r="I170" s="27">
        <f>Місто!I173-'[1]Місто'!I168</f>
        <v>0</v>
      </c>
      <c r="J170" s="27">
        <f>Місто!J173-'[1]Місто'!J168</f>
        <v>0</v>
      </c>
      <c r="K170" s="27">
        <f>Місто!K173-'[1]Місто'!K168</f>
        <v>0</v>
      </c>
      <c r="L170" s="27">
        <f>Місто!L173-'[1]Місто'!L168</f>
        <v>0</v>
      </c>
      <c r="M170" s="27">
        <f>Місто!M173-'[1]Місто'!M168</f>
        <v>0</v>
      </c>
      <c r="N170" s="27">
        <f>Місто!N173-'[1]Місто'!N168</f>
        <v>0</v>
      </c>
      <c r="O170" s="27">
        <f>Місто!O173-'[1]Місто'!O168</f>
        <v>0</v>
      </c>
      <c r="P170" s="26">
        <f>Місто!P173-'[1]Місто'!P168</f>
        <v>0</v>
      </c>
      <c r="Q170" s="53"/>
      <c r="W170" s="53">
        <f t="shared" si="2"/>
        <v>0</v>
      </c>
    </row>
    <row r="171" spans="1:23" s="3" customFormat="1" ht="67.5" hidden="1">
      <c r="A171" s="9"/>
      <c r="B171" s="9"/>
      <c r="C171" s="9"/>
      <c r="D171" s="91" t="s">
        <v>120</v>
      </c>
      <c r="E171" s="27">
        <f>Місто!E174-'[1]Місто'!E169</f>
        <v>0</v>
      </c>
      <c r="F171" s="27">
        <f>Місто!F174-'[1]Місто'!F169</f>
        <v>0</v>
      </c>
      <c r="G171" s="27">
        <f>Місто!G174-'[1]Місто'!G169</f>
        <v>0</v>
      </c>
      <c r="H171" s="27">
        <f>Місто!H174-'[1]Місто'!H169</f>
        <v>0</v>
      </c>
      <c r="I171" s="27">
        <f>Місто!I174-'[1]Місто'!I169</f>
        <v>0</v>
      </c>
      <c r="J171" s="27">
        <f>Місто!J174-'[1]Місто'!J169</f>
        <v>0</v>
      </c>
      <c r="K171" s="27">
        <f>Місто!K174-'[1]Місто'!K169</f>
        <v>0</v>
      </c>
      <c r="L171" s="27">
        <f>Місто!L174-'[1]Місто'!L169</f>
        <v>0</v>
      </c>
      <c r="M171" s="27">
        <f>Місто!M174-'[1]Місто'!M169</f>
        <v>0</v>
      </c>
      <c r="N171" s="27">
        <f>Місто!N174-'[1]Місто'!N169</f>
        <v>0</v>
      </c>
      <c r="O171" s="27">
        <f>Місто!O174-'[1]Місто'!O169</f>
        <v>0</v>
      </c>
      <c r="P171" s="26">
        <f>Місто!P174-'[1]Місто'!P169</f>
        <v>0</v>
      </c>
      <c r="Q171" s="53"/>
      <c r="W171" s="53">
        <f t="shared" si="2"/>
        <v>0</v>
      </c>
    </row>
    <row r="172" spans="1:23" s="3" customFormat="1" ht="25.5">
      <c r="A172" s="39"/>
      <c r="B172" s="39" t="s">
        <v>272</v>
      </c>
      <c r="C172" s="74" t="s">
        <v>465</v>
      </c>
      <c r="D172" s="36" t="s">
        <v>331</v>
      </c>
      <c r="E172" s="38">
        <f>Місто!E175-'[1]Місто'!E170</f>
        <v>3694385</v>
      </c>
      <c r="F172" s="38">
        <f>Місто!F175-'[1]Місто'!F170</f>
        <v>3694385</v>
      </c>
      <c r="G172" s="38">
        <f>Місто!G175-'[1]Місто'!G170</f>
        <v>0</v>
      </c>
      <c r="H172" s="38">
        <f>Місто!H175-'[1]Місто'!H170</f>
        <v>0</v>
      </c>
      <c r="I172" s="38">
        <f>Місто!I175-'[1]Місто'!I170</f>
        <v>0</v>
      </c>
      <c r="J172" s="38">
        <f>Місто!J175-'[1]Місто'!J170</f>
        <v>0</v>
      </c>
      <c r="K172" s="38">
        <f>Місто!K175-'[1]Місто'!K170</f>
        <v>0</v>
      </c>
      <c r="L172" s="38">
        <f>Місто!L175-'[1]Місто'!L170</f>
        <v>0</v>
      </c>
      <c r="M172" s="38">
        <f>Місто!M175-'[1]Місто'!M170</f>
        <v>0</v>
      </c>
      <c r="N172" s="38">
        <f>Місто!N175-'[1]Місто'!N170</f>
        <v>0</v>
      </c>
      <c r="O172" s="38">
        <f>Місто!O175-'[1]Місто'!O170</f>
        <v>0</v>
      </c>
      <c r="P172" s="55">
        <f>Місто!P175-'[1]Місто'!P170</f>
        <v>3694385</v>
      </c>
      <c r="Q172" s="53"/>
      <c r="W172" s="53">
        <f t="shared" si="2"/>
        <v>0</v>
      </c>
    </row>
    <row r="173" spans="1:23" ht="25.5" hidden="1">
      <c r="A173" s="39"/>
      <c r="B173" s="39"/>
      <c r="C173" s="39"/>
      <c r="D173" s="68" t="s">
        <v>101</v>
      </c>
      <c r="E173" s="38">
        <f>Місто!E176-'[1]Місто'!E171</f>
        <v>0</v>
      </c>
      <c r="F173" s="38">
        <f>Місто!F176-'[1]Місто'!F171</f>
        <v>0</v>
      </c>
      <c r="G173" s="38">
        <f>Місто!G176-'[1]Місто'!G171</f>
        <v>0</v>
      </c>
      <c r="H173" s="38">
        <f>Місто!H176-'[1]Місто'!H171</f>
        <v>0</v>
      </c>
      <c r="I173" s="38">
        <f>Місто!I176-'[1]Місто'!I171</f>
        <v>0</v>
      </c>
      <c r="J173" s="38">
        <f>Місто!J176-'[1]Місто'!J171</f>
        <v>0</v>
      </c>
      <c r="K173" s="38">
        <f>Місто!K176-'[1]Місто'!K171</f>
        <v>0</v>
      </c>
      <c r="L173" s="38">
        <f>Місто!L176-'[1]Місто'!L171</f>
        <v>0</v>
      </c>
      <c r="M173" s="38">
        <f>Місто!M176-'[1]Місто'!M171</f>
        <v>0</v>
      </c>
      <c r="N173" s="38">
        <f>Місто!N176-'[1]Місто'!N171</f>
        <v>0</v>
      </c>
      <c r="O173" s="38">
        <f>Місто!O176-'[1]Місто'!O171</f>
        <v>0</v>
      </c>
      <c r="P173" s="55">
        <f>Місто!P176-'[1]Місто'!P171</f>
        <v>0</v>
      </c>
      <c r="Q173" s="53"/>
      <c r="R173" s="59"/>
      <c r="W173" s="53">
        <f t="shared" si="2"/>
        <v>0</v>
      </c>
    </row>
    <row r="174" spans="1:23" ht="25.5">
      <c r="A174" s="39"/>
      <c r="B174" s="74" t="s">
        <v>434</v>
      </c>
      <c r="C174" s="74" t="s">
        <v>466</v>
      </c>
      <c r="D174" s="68" t="s">
        <v>435</v>
      </c>
      <c r="E174" s="38">
        <f>Місто!E177-'[1]Місто'!E172</f>
        <v>1200000</v>
      </c>
      <c r="F174" s="38">
        <f>Місто!F177-'[1]Місто'!F172</f>
        <v>1200000</v>
      </c>
      <c r="G174" s="38">
        <f>Місто!G177-'[1]Місто'!G172</f>
        <v>0</v>
      </c>
      <c r="H174" s="38">
        <f>Місто!H177-'[1]Місто'!H172</f>
        <v>0</v>
      </c>
      <c r="I174" s="38">
        <f>Місто!I177-'[1]Місто'!I172</f>
        <v>0</v>
      </c>
      <c r="J174" s="38">
        <f>Місто!J177-'[1]Місто'!J172</f>
        <v>0</v>
      </c>
      <c r="K174" s="38">
        <f>Місто!K177-'[1]Місто'!K172</f>
        <v>0</v>
      </c>
      <c r="L174" s="38">
        <f>Місто!L177-'[1]Місто'!L172</f>
        <v>0</v>
      </c>
      <c r="M174" s="38">
        <f>Місто!M177-'[1]Місто'!M172</f>
        <v>0</v>
      </c>
      <c r="N174" s="38">
        <f>Місто!N177-'[1]Місто'!N172</f>
        <v>0</v>
      </c>
      <c r="O174" s="38">
        <f>Місто!O177-'[1]Місто'!O172</f>
        <v>0</v>
      </c>
      <c r="P174" s="55">
        <f>Місто!P177-'[1]Місто'!P172</f>
        <v>1200000</v>
      </c>
      <c r="Q174" s="53"/>
      <c r="R174" s="59"/>
      <c r="W174" s="53">
        <f t="shared" si="2"/>
        <v>0</v>
      </c>
    </row>
    <row r="175" spans="1:23" ht="90">
      <c r="A175" s="39"/>
      <c r="B175" s="74"/>
      <c r="C175" s="39"/>
      <c r="D175" s="91" t="s">
        <v>429</v>
      </c>
      <c r="E175" s="38">
        <f>Місто!E178-'[1]Місто'!E173</f>
        <v>1200000</v>
      </c>
      <c r="F175" s="38">
        <f>Місто!F178-'[1]Місто'!F173</f>
        <v>1200000</v>
      </c>
      <c r="G175" s="38">
        <f>Місто!G178-'[1]Місто'!G173</f>
        <v>0</v>
      </c>
      <c r="H175" s="38">
        <f>Місто!H178-'[1]Місто'!H173</f>
        <v>0</v>
      </c>
      <c r="I175" s="38">
        <f>Місто!I178-'[1]Місто'!I173</f>
        <v>0</v>
      </c>
      <c r="J175" s="38">
        <f>Місто!J178-'[1]Місто'!J173</f>
        <v>0</v>
      </c>
      <c r="K175" s="38">
        <f>Місто!K178-'[1]Місто'!K173</f>
        <v>0</v>
      </c>
      <c r="L175" s="38">
        <f>Місто!L178-'[1]Місто'!L173</f>
        <v>0</v>
      </c>
      <c r="M175" s="38">
        <f>Місто!M178-'[1]Місто'!M173</f>
        <v>0</v>
      </c>
      <c r="N175" s="38">
        <f>Місто!N178-'[1]Місто'!N173</f>
        <v>0</v>
      </c>
      <c r="O175" s="38">
        <f>Місто!O178-'[1]Місто'!O173</f>
        <v>0</v>
      </c>
      <c r="P175" s="55">
        <f>Місто!P178-'[1]Місто'!P173</f>
        <v>1200000</v>
      </c>
      <c r="Q175" s="53"/>
      <c r="R175" s="59"/>
      <c r="W175" s="53">
        <f t="shared" si="2"/>
        <v>0</v>
      </c>
    </row>
    <row r="176" spans="1:23" ht="76.5" hidden="1">
      <c r="A176" s="9"/>
      <c r="B176" s="9" t="s">
        <v>68</v>
      </c>
      <c r="C176" s="9" t="s">
        <v>455</v>
      </c>
      <c r="D176" s="4" t="s">
        <v>313</v>
      </c>
      <c r="E176" s="27">
        <f>Місто!E179-'[1]Місто'!E174</f>
        <v>0</v>
      </c>
      <c r="F176" s="27">
        <f>Місто!F179-'[1]Місто'!F174</f>
        <v>0</v>
      </c>
      <c r="G176" s="27">
        <f>Місто!G179-'[1]Місто'!G174</f>
        <v>0</v>
      </c>
      <c r="H176" s="27">
        <f>Місто!H179-'[1]Місто'!H174</f>
        <v>0</v>
      </c>
      <c r="I176" s="27">
        <f>Місто!I179-'[1]Місто'!I174</f>
        <v>0</v>
      </c>
      <c r="J176" s="27">
        <f>Місто!J179-'[1]Місто'!J174</f>
        <v>0</v>
      </c>
      <c r="K176" s="27">
        <f>Місто!K179-'[1]Місто'!K174</f>
        <v>0</v>
      </c>
      <c r="L176" s="27">
        <f>Місто!L179-'[1]Місто'!L174</f>
        <v>0</v>
      </c>
      <c r="M176" s="27">
        <f>Місто!M179-'[1]Місто'!M174</f>
        <v>0</v>
      </c>
      <c r="N176" s="27">
        <f>Місто!N179-'[1]Місто'!N174</f>
        <v>0</v>
      </c>
      <c r="O176" s="27">
        <f>Місто!O179-'[1]Місто'!O174</f>
        <v>0</v>
      </c>
      <c r="P176" s="26">
        <f>Місто!P179-'[1]Місто'!P174</f>
        <v>0</v>
      </c>
      <c r="Q176" s="53"/>
      <c r="R176" s="59"/>
      <c r="W176" s="53">
        <f t="shared" si="2"/>
        <v>0</v>
      </c>
    </row>
    <row r="177" spans="1:23" ht="67.5" hidden="1">
      <c r="A177" s="9"/>
      <c r="B177" s="9"/>
      <c r="C177" s="9"/>
      <c r="D177" s="91" t="s">
        <v>120</v>
      </c>
      <c r="E177" s="27">
        <f>Місто!E180-'[1]Місто'!E175</f>
        <v>0</v>
      </c>
      <c r="F177" s="27">
        <f>Місто!F180-'[1]Місто'!F175</f>
        <v>0</v>
      </c>
      <c r="G177" s="27">
        <f>Місто!G180-'[1]Місто'!G175</f>
        <v>0</v>
      </c>
      <c r="H177" s="27">
        <f>Місто!H180-'[1]Місто'!H175</f>
        <v>0</v>
      </c>
      <c r="I177" s="27">
        <f>Місто!I180-'[1]Місто'!I175</f>
        <v>0</v>
      </c>
      <c r="J177" s="27">
        <f>Місто!J180-'[1]Місто'!J175</f>
        <v>0</v>
      </c>
      <c r="K177" s="27">
        <f>Місто!K180-'[1]Місто'!K175</f>
        <v>0</v>
      </c>
      <c r="L177" s="27">
        <f>Місто!L180-'[1]Місто'!L175</f>
        <v>0</v>
      </c>
      <c r="M177" s="27">
        <f>Місто!M180-'[1]Місто'!M175</f>
        <v>0</v>
      </c>
      <c r="N177" s="27">
        <f>Місто!N180-'[1]Місто'!N175</f>
        <v>0</v>
      </c>
      <c r="O177" s="27">
        <f>Місто!O180-'[1]Місто'!O175</f>
        <v>0</v>
      </c>
      <c r="P177" s="26">
        <f>Місто!P180-'[1]Місто'!P175</f>
        <v>0</v>
      </c>
      <c r="Q177" s="53"/>
      <c r="R177" s="59"/>
      <c r="W177" s="53">
        <f t="shared" si="2"/>
        <v>0</v>
      </c>
    </row>
    <row r="178" spans="1:23" ht="25.5">
      <c r="A178" s="9"/>
      <c r="B178" s="9" t="s">
        <v>343</v>
      </c>
      <c r="C178" s="9" t="s">
        <v>450</v>
      </c>
      <c r="D178" s="60" t="s">
        <v>74</v>
      </c>
      <c r="E178" s="27">
        <f>Місто!E181-'[1]Місто'!E176</f>
        <v>-98730</v>
      </c>
      <c r="F178" s="27">
        <f>Місто!F181-'[1]Місто'!F176</f>
        <v>-98730</v>
      </c>
      <c r="G178" s="27">
        <f>Місто!G181-'[1]Місто'!G176</f>
        <v>103942</v>
      </c>
      <c r="H178" s="27">
        <f>Місто!H181-'[1]Місто'!H176</f>
        <v>0</v>
      </c>
      <c r="I178" s="27">
        <f>Місто!I181-'[1]Місто'!I176</f>
        <v>0</v>
      </c>
      <c r="J178" s="27">
        <f>Місто!J181-'[1]Місто'!J176</f>
        <v>0</v>
      </c>
      <c r="K178" s="27">
        <f>Місто!K181-'[1]Місто'!K176</f>
        <v>0</v>
      </c>
      <c r="L178" s="27">
        <f>Місто!L181-'[1]Місто'!L176</f>
        <v>0</v>
      </c>
      <c r="M178" s="27">
        <f>Місто!M181-'[1]Місто'!M176</f>
        <v>0</v>
      </c>
      <c r="N178" s="27">
        <f>Місто!N181-'[1]Місто'!N176</f>
        <v>0</v>
      </c>
      <c r="O178" s="27">
        <f>Місто!O181-'[1]Місто'!O176</f>
        <v>0</v>
      </c>
      <c r="P178" s="26">
        <f>Місто!P181-'[1]Місто'!P176</f>
        <v>-98730</v>
      </c>
      <c r="Q178" s="53"/>
      <c r="R178" s="59"/>
      <c r="W178" s="53">
        <f t="shared" si="2"/>
        <v>0</v>
      </c>
    </row>
    <row r="179" spans="1:23" ht="25.5">
      <c r="A179" s="9"/>
      <c r="B179" s="9" t="s">
        <v>344</v>
      </c>
      <c r="C179" s="9" t="s">
        <v>450</v>
      </c>
      <c r="D179" s="60" t="s">
        <v>80</v>
      </c>
      <c r="E179" s="27">
        <f>Місто!E182-'[1]Місто'!E177</f>
        <v>3795</v>
      </c>
      <c r="F179" s="27">
        <f>Місто!F182-'[1]Місто'!F177</f>
        <v>3795</v>
      </c>
      <c r="G179" s="27">
        <f>Місто!G182-'[1]Місто'!G177</f>
        <v>20163</v>
      </c>
      <c r="H179" s="27">
        <f>Місто!H182-'[1]Місто'!H177</f>
        <v>0</v>
      </c>
      <c r="I179" s="27">
        <f>Місто!I182-'[1]Місто'!I177</f>
        <v>0</v>
      </c>
      <c r="J179" s="27">
        <f>Місто!J182-'[1]Місто'!J177</f>
        <v>0</v>
      </c>
      <c r="K179" s="27">
        <f>Місто!K182-'[1]Місто'!K177</f>
        <v>0</v>
      </c>
      <c r="L179" s="27">
        <f>Місто!L182-'[1]Місто'!L177</f>
        <v>0</v>
      </c>
      <c r="M179" s="27">
        <f>Місто!M182-'[1]Місто'!M177</f>
        <v>0</v>
      </c>
      <c r="N179" s="27">
        <f>Місто!N182-'[1]Місто'!N177</f>
        <v>0</v>
      </c>
      <c r="O179" s="27">
        <f>Місто!O182-'[1]Місто'!O177</f>
        <v>0</v>
      </c>
      <c r="P179" s="26">
        <f>Місто!P182-'[1]Місто'!P177</f>
        <v>3795</v>
      </c>
      <c r="Q179" s="53"/>
      <c r="R179" s="59"/>
      <c r="W179" s="53">
        <f t="shared" si="2"/>
        <v>0</v>
      </c>
    </row>
    <row r="180" spans="1:23" ht="25.5" hidden="1">
      <c r="A180" s="9"/>
      <c r="B180" s="9" t="s">
        <v>273</v>
      </c>
      <c r="C180" s="9"/>
      <c r="D180" s="60" t="s">
        <v>382</v>
      </c>
      <c r="E180" s="27">
        <f>Місто!E183-'[1]Місто'!E178</f>
        <v>0</v>
      </c>
      <c r="F180" s="27">
        <f>Місто!F183-'[1]Місто'!F178</f>
        <v>0</v>
      </c>
      <c r="G180" s="27">
        <f>Місто!G183-'[1]Місто'!G178</f>
        <v>0</v>
      </c>
      <c r="H180" s="27">
        <f>Місто!H183-'[1]Місто'!H178</f>
        <v>0</v>
      </c>
      <c r="I180" s="27">
        <f>Місто!I183-'[1]Місто'!I178</f>
        <v>0</v>
      </c>
      <c r="J180" s="27">
        <f>Місто!J183-'[1]Місто'!J178</f>
        <v>0</v>
      </c>
      <c r="K180" s="27">
        <f>Місто!K183-'[1]Місто'!K178</f>
        <v>0</v>
      </c>
      <c r="L180" s="27">
        <f>Місто!L183-'[1]Місто'!L178</f>
        <v>0</v>
      </c>
      <c r="M180" s="27">
        <f>Місто!M183-'[1]Місто'!M178</f>
        <v>0</v>
      </c>
      <c r="N180" s="27">
        <f>Місто!N183-'[1]Місто'!N178</f>
        <v>0</v>
      </c>
      <c r="O180" s="27">
        <f>Місто!O183-'[1]Місто'!O178</f>
        <v>0</v>
      </c>
      <c r="P180" s="26">
        <f>Місто!P183-'[1]Місто'!P178</f>
        <v>0</v>
      </c>
      <c r="Q180" s="53"/>
      <c r="R180" s="59"/>
      <c r="W180" s="53">
        <f t="shared" si="2"/>
        <v>0</v>
      </c>
    </row>
    <row r="181" spans="1:23" ht="76.5" hidden="1">
      <c r="A181" s="39"/>
      <c r="B181" s="39" t="s">
        <v>356</v>
      </c>
      <c r="C181" s="39"/>
      <c r="D181" s="36" t="s">
        <v>88</v>
      </c>
      <c r="E181" s="38">
        <f>Місто!E184-'[1]Місто'!E179</f>
        <v>0</v>
      </c>
      <c r="F181" s="38">
        <f>Місто!F184-'[1]Місто'!F179</f>
        <v>0</v>
      </c>
      <c r="G181" s="38">
        <f>Місто!G184-'[1]Місто'!G179</f>
        <v>0</v>
      </c>
      <c r="H181" s="38">
        <f>Місто!H184-'[1]Місто'!H179</f>
        <v>0</v>
      </c>
      <c r="I181" s="38">
        <f>Місто!I184-'[1]Місто'!I179</f>
        <v>0</v>
      </c>
      <c r="J181" s="38">
        <f>Місто!J184-'[1]Місто'!J179</f>
        <v>0</v>
      </c>
      <c r="K181" s="38">
        <f>Місто!K184-'[1]Місто'!K179</f>
        <v>0</v>
      </c>
      <c r="L181" s="38">
        <f>Місто!L184-'[1]Місто'!L179</f>
        <v>0</v>
      </c>
      <c r="M181" s="38">
        <f>Місто!M184-'[1]Місто'!M179</f>
        <v>0</v>
      </c>
      <c r="N181" s="38">
        <f>Місто!N184-'[1]Місто'!N179</f>
        <v>0</v>
      </c>
      <c r="O181" s="38">
        <f>Місто!O184-'[1]Місто'!O179</f>
        <v>0</v>
      </c>
      <c r="P181" s="55">
        <f>Місто!P184-'[1]Місто'!P179</f>
        <v>0</v>
      </c>
      <c r="Q181" s="53"/>
      <c r="R181" s="59"/>
      <c r="W181" s="53">
        <f t="shared" si="2"/>
        <v>0</v>
      </c>
    </row>
    <row r="182" spans="1:23" ht="38.25">
      <c r="A182" s="39"/>
      <c r="B182" s="39" t="s">
        <v>274</v>
      </c>
      <c r="C182" s="74" t="s">
        <v>467</v>
      </c>
      <c r="D182" s="68" t="s">
        <v>114</v>
      </c>
      <c r="E182" s="38">
        <f>Місто!E185-'[1]Місто'!E180</f>
        <v>-1024799</v>
      </c>
      <c r="F182" s="38">
        <f>Місто!F185-'[1]Місто'!F180</f>
        <v>-1024799</v>
      </c>
      <c r="G182" s="38">
        <f>Місто!G185-'[1]Місто'!G180</f>
        <v>152950</v>
      </c>
      <c r="H182" s="38">
        <f>Місто!H185-'[1]Місто'!H180</f>
        <v>0</v>
      </c>
      <c r="I182" s="38">
        <f>Місто!I185-'[1]Місто'!I180</f>
        <v>0</v>
      </c>
      <c r="J182" s="38">
        <f>Місто!J185-'[1]Місто'!J180</f>
        <v>1670549</v>
      </c>
      <c r="K182" s="38">
        <f>Місто!K185-'[1]Місто'!K180</f>
        <v>0</v>
      </c>
      <c r="L182" s="38">
        <f>Місто!L185-'[1]Місто'!L180</f>
        <v>0</v>
      </c>
      <c r="M182" s="38">
        <f>Місто!M185-'[1]Місто'!M180</f>
        <v>0</v>
      </c>
      <c r="N182" s="38">
        <f>Місто!N185-'[1]Місто'!N180</f>
        <v>1670549</v>
      </c>
      <c r="O182" s="76">
        <f>Місто!O185-'[1]Місто'!O180</f>
        <v>1670549</v>
      </c>
      <c r="P182" s="55">
        <f>Місто!P185-'[1]Місто'!P180</f>
        <v>645750</v>
      </c>
      <c r="Q182" s="53"/>
      <c r="R182" s="59"/>
      <c r="W182" s="53">
        <f t="shared" si="2"/>
        <v>0</v>
      </c>
    </row>
    <row r="183" spans="1:23" ht="89.25">
      <c r="A183" s="74"/>
      <c r="B183" s="74" t="s">
        <v>125</v>
      </c>
      <c r="C183" s="74" t="s">
        <v>466</v>
      </c>
      <c r="D183" s="68" t="s">
        <v>117</v>
      </c>
      <c r="E183" s="38">
        <f>Місто!E186-'[1]Місто'!E181</f>
        <v>0</v>
      </c>
      <c r="F183" s="38">
        <f>Місто!F186-'[1]Місто'!F181</f>
        <v>0</v>
      </c>
      <c r="G183" s="38">
        <f>Місто!G186-'[1]Місто'!G181</f>
        <v>0</v>
      </c>
      <c r="H183" s="38">
        <f>Місто!H186-'[1]Місто'!H181</f>
        <v>0</v>
      </c>
      <c r="I183" s="38">
        <f>Місто!I186-'[1]Місто'!I181</f>
        <v>0</v>
      </c>
      <c r="J183" s="38">
        <f>Місто!J186-'[1]Місто'!J181</f>
        <v>0</v>
      </c>
      <c r="K183" s="38">
        <f>Місто!K186-'[1]Місто'!K181</f>
        <v>0</v>
      </c>
      <c r="L183" s="38">
        <f>Місто!L186-'[1]Місто'!L181</f>
        <v>0</v>
      </c>
      <c r="M183" s="38">
        <f>Місто!M186-'[1]Місто'!M181</f>
        <v>0</v>
      </c>
      <c r="N183" s="38">
        <f>Місто!N186-'[1]Місто'!N181</f>
        <v>0</v>
      </c>
      <c r="O183" s="38">
        <f>Місто!O186-'[1]Місто'!O181</f>
        <v>0</v>
      </c>
      <c r="P183" s="55">
        <f>Місто!P186-'[1]Місто'!P181</f>
        <v>0</v>
      </c>
      <c r="Q183" s="53"/>
      <c r="R183" s="59"/>
      <c r="W183" s="53">
        <f t="shared" si="2"/>
        <v>0</v>
      </c>
    </row>
    <row r="184" spans="1:23" ht="25.5">
      <c r="A184" s="39"/>
      <c r="B184" s="39" t="s">
        <v>320</v>
      </c>
      <c r="C184" s="74" t="s">
        <v>463</v>
      </c>
      <c r="D184" s="90" t="s">
        <v>115</v>
      </c>
      <c r="E184" s="38">
        <f>Місто!E187-'[1]Місто'!E182</f>
        <v>0</v>
      </c>
      <c r="F184" s="38">
        <f>Місто!F187-'[1]Місто'!F182</f>
        <v>0</v>
      </c>
      <c r="G184" s="38">
        <f>Місто!G187-'[1]Місто'!G182</f>
        <v>0</v>
      </c>
      <c r="H184" s="38">
        <f>Місто!H187-'[1]Місто'!H182</f>
        <v>0</v>
      </c>
      <c r="I184" s="38">
        <f>Місто!I187-'[1]Місто'!I182</f>
        <v>0</v>
      </c>
      <c r="J184" s="151">
        <f>Місто!J187-'[1]Місто'!J182</f>
        <v>0</v>
      </c>
      <c r="K184" s="38">
        <f>Місто!K187-'[1]Місто'!K182</f>
        <v>0</v>
      </c>
      <c r="L184" s="38">
        <f>Місто!L187-'[1]Місто'!L182</f>
        <v>0</v>
      </c>
      <c r="M184" s="38">
        <f>Місто!M187-'[1]Місто'!M182</f>
        <v>0</v>
      </c>
      <c r="N184" s="151">
        <f>Місто!N187-'[1]Місто'!N182</f>
        <v>0</v>
      </c>
      <c r="O184" s="151">
        <f>Місто!O187-'[1]Місто'!O182</f>
        <v>0</v>
      </c>
      <c r="P184" s="55">
        <f>Місто!P187-'[1]Місто'!P182</f>
        <v>0</v>
      </c>
      <c r="Q184" s="53"/>
      <c r="R184" s="59"/>
      <c r="W184" s="53">
        <f t="shared" si="2"/>
        <v>0</v>
      </c>
    </row>
    <row r="185" spans="1:23" ht="38.25">
      <c r="A185" s="9"/>
      <c r="B185" s="9" t="s">
        <v>307</v>
      </c>
      <c r="C185" s="9" t="s">
        <v>466</v>
      </c>
      <c r="D185" s="15" t="s">
        <v>318</v>
      </c>
      <c r="E185" s="27">
        <f>Місто!E188-'[1]Місто'!E183</f>
        <v>11500000</v>
      </c>
      <c r="F185" s="27">
        <f>Місто!F188-'[1]Місто'!F183</f>
        <v>11500000</v>
      </c>
      <c r="G185" s="27">
        <f>Місто!G188-'[1]Місто'!G183</f>
        <v>0</v>
      </c>
      <c r="H185" s="27">
        <f>Місто!H188-'[1]Місто'!H183</f>
        <v>0</v>
      </c>
      <c r="I185" s="27">
        <f>Місто!I188-'[1]Місто'!I183</f>
        <v>0</v>
      </c>
      <c r="J185" s="27">
        <f>Місто!J188-'[1]Місто'!J183</f>
        <v>0</v>
      </c>
      <c r="K185" s="27">
        <f>Місто!K188-'[1]Місто'!K183</f>
        <v>0</v>
      </c>
      <c r="L185" s="27">
        <f>Місто!L188-'[1]Місто'!L183</f>
        <v>0</v>
      </c>
      <c r="M185" s="27">
        <f>Місто!M188-'[1]Місто'!M183</f>
        <v>0</v>
      </c>
      <c r="N185" s="27">
        <f>Місто!N188-'[1]Місто'!N183</f>
        <v>0</v>
      </c>
      <c r="O185" s="27">
        <f>Місто!O188-'[1]Місто'!O183</f>
        <v>0</v>
      </c>
      <c r="P185" s="26">
        <f>Місто!P188-'[1]Місто'!P183</f>
        <v>11500000</v>
      </c>
      <c r="Q185" s="53"/>
      <c r="R185" s="59"/>
      <c r="W185" s="53">
        <f t="shared" si="2"/>
        <v>0</v>
      </c>
    </row>
    <row r="186" spans="1:23" ht="90">
      <c r="A186" s="9"/>
      <c r="B186" s="9"/>
      <c r="C186" s="9"/>
      <c r="D186" s="91" t="s">
        <v>429</v>
      </c>
      <c r="E186" s="27">
        <f>Місто!E189-'[1]Місто'!E184</f>
        <v>11500000</v>
      </c>
      <c r="F186" s="27">
        <f>Місто!F189-'[1]Місто'!F184</f>
        <v>11500000</v>
      </c>
      <c r="G186" s="27">
        <f>Місто!G189-'[1]Місто'!G184</f>
        <v>0</v>
      </c>
      <c r="H186" s="27">
        <f>Місто!H189-'[1]Місто'!H184</f>
        <v>0</v>
      </c>
      <c r="I186" s="27">
        <f>Місто!I189-'[1]Місто'!I184</f>
        <v>0</v>
      </c>
      <c r="J186" s="27">
        <f>Місто!J189-'[1]Місто'!J184</f>
        <v>0</v>
      </c>
      <c r="K186" s="27">
        <f>Місто!K189-'[1]Місто'!K184</f>
        <v>0</v>
      </c>
      <c r="L186" s="27">
        <f>Місто!L189-'[1]Місто'!L184</f>
        <v>0</v>
      </c>
      <c r="M186" s="27">
        <f>Місто!M189-'[1]Місто'!M184</f>
        <v>0</v>
      </c>
      <c r="N186" s="27">
        <f>Місто!N189-'[1]Місто'!N184</f>
        <v>0</v>
      </c>
      <c r="O186" s="27">
        <f>Місто!O189-'[1]Місто'!O184</f>
        <v>0</v>
      </c>
      <c r="P186" s="26">
        <f>Місто!P189-'[1]Місто'!P184</f>
        <v>11500000</v>
      </c>
      <c r="Q186" s="53"/>
      <c r="R186" s="59"/>
      <c r="W186" s="53">
        <f t="shared" si="2"/>
        <v>0</v>
      </c>
    </row>
    <row r="187" spans="1:23" ht="12.75">
      <c r="A187" s="39"/>
      <c r="B187" s="39" t="s">
        <v>366</v>
      </c>
      <c r="C187" s="39"/>
      <c r="D187" s="63" t="s">
        <v>283</v>
      </c>
      <c r="E187" s="38">
        <f>Місто!E190-'[1]Місто'!E185</f>
        <v>0</v>
      </c>
      <c r="F187" s="38">
        <f>Місто!F190-'[1]Місто'!F185</f>
        <v>0</v>
      </c>
      <c r="G187" s="38">
        <f>Місто!G190-'[1]Місто'!G185</f>
        <v>0</v>
      </c>
      <c r="H187" s="38">
        <f>Місто!H190-'[1]Місто'!H185</f>
        <v>0</v>
      </c>
      <c r="I187" s="38">
        <f>Місто!I190-'[1]Місто'!I185</f>
        <v>0</v>
      </c>
      <c r="J187" s="38">
        <f>Місто!J190-'[1]Місто'!J185</f>
        <v>3954466</v>
      </c>
      <c r="K187" s="38">
        <f>Місто!K190-'[1]Місто'!K185</f>
        <v>0</v>
      </c>
      <c r="L187" s="38">
        <f>Місто!L190-'[1]Місто'!L185</f>
        <v>0</v>
      </c>
      <c r="M187" s="38">
        <f>Місто!M190-'[1]Місто'!M185</f>
        <v>0</v>
      </c>
      <c r="N187" s="38">
        <f>Місто!N190-'[1]Місто'!N185</f>
        <v>3954466</v>
      </c>
      <c r="O187" s="38">
        <f>Місто!O190-'[1]Місто'!O185</f>
        <v>3954466</v>
      </c>
      <c r="P187" s="55">
        <f>Місто!P190-'[1]Місто'!P185</f>
        <v>3954466</v>
      </c>
      <c r="Q187" s="53"/>
      <c r="R187" s="59"/>
      <c r="W187" s="53">
        <f t="shared" si="2"/>
        <v>0</v>
      </c>
    </row>
    <row r="188" spans="1:23" ht="12.75">
      <c r="A188" s="39"/>
      <c r="B188" s="39" t="s">
        <v>338</v>
      </c>
      <c r="C188" s="74" t="s">
        <v>443</v>
      </c>
      <c r="D188" s="63" t="s">
        <v>339</v>
      </c>
      <c r="E188" s="38">
        <f>Місто!E191-'[1]Місто'!E186</f>
        <v>0</v>
      </c>
      <c r="F188" s="38">
        <f>Місто!F191-'[1]Місто'!F186</f>
        <v>0</v>
      </c>
      <c r="G188" s="38">
        <f>Місто!G191-'[1]Місто'!G186</f>
        <v>0</v>
      </c>
      <c r="H188" s="38">
        <f>Місто!H191-'[1]Місто'!H186</f>
        <v>0</v>
      </c>
      <c r="I188" s="38">
        <f>Місто!I191-'[1]Місто'!I186</f>
        <v>0</v>
      </c>
      <c r="J188" s="38">
        <f>Місто!J191-'[1]Місто'!J186</f>
        <v>3954466</v>
      </c>
      <c r="K188" s="38">
        <f>Місто!K191-'[1]Місто'!K186</f>
        <v>0</v>
      </c>
      <c r="L188" s="38">
        <f>Місто!L191-'[1]Місто'!L186</f>
        <v>0</v>
      </c>
      <c r="M188" s="38">
        <f>Місто!M191-'[1]Місто'!M186</f>
        <v>0</v>
      </c>
      <c r="N188" s="38">
        <f>Місто!N191-'[1]Місто'!N186</f>
        <v>3954466</v>
      </c>
      <c r="O188" s="76">
        <f>Місто!O191-'[1]Місто'!O186</f>
        <v>3954466</v>
      </c>
      <c r="P188" s="55">
        <f>Місто!P191-'[1]Місто'!P186</f>
        <v>3954466</v>
      </c>
      <c r="Q188" s="53"/>
      <c r="R188" s="59"/>
      <c r="W188" s="53">
        <f t="shared" si="2"/>
        <v>0</v>
      </c>
    </row>
    <row r="189" spans="1:23" ht="45" hidden="1">
      <c r="A189" s="39"/>
      <c r="B189" s="39"/>
      <c r="C189" s="39"/>
      <c r="D189" s="91" t="s">
        <v>235</v>
      </c>
      <c r="E189" s="38">
        <f>Місто!E192-'[1]Місто'!E187</f>
        <v>0</v>
      </c>
      <c r="F189" s="38">
        <f>Місто!F192-'[1]Місто'!F187</f>
        <v>0</v>
      </c>
      <c r="G189" s="38">
        <f>Місто!G192-'[1]Місто'!G187</f>
        <v>0</v>
      </c>
      <c r="H189" s="38">
        <f>Місто!H192-'[1]Місто'!H187</f>
        <v>0</v>
      </c>
      <c r="I189" s="38">
        <f>Місто!I192-'[1]Місто'!I187</f>
        <v>0</v>
      </c>
      <c r="J189" s="38">
        <f>Місто!J192-'[1]Місто'!J187</f>
        <v>0</v>
      </c>
      <c r="K189" s="38">
        <f>Місто!K192-'[1]Місто'!K187</f>
        <v>0</v>
      </c>
      <c r="L189" s="38">
        <f>Місто!L192-'[1]Місто'!L187</f>
        <v>0</v>
      </c>
      <c r="M189" s="38">
        <f>Місто!M192-'[1]Місто'!M187</f>
        <v>0</v>
      </c>
      <c r="N189" s="38">
        <f>Місто!N192-'[1]Місто'!N187</f>
        <v>0</v>
      </c>
      <c r="O189" s="76">
        <f>Місто!O192-'[1]Місто'!O187</f>
        <v>0</v>
      </c>
      <c r="P189" s="55">
        <f>Місто!P192-'[1]Місто'!P187</f>
        <v>0</v>
      </c>
      <c r="Q189" s="53"/>
      <c r="R189" s="59"/>
      <c r="W189" s="53">
        <f t="shared" si="2"/>
        <v>0</v>
      </c>
    </row>
    <row r="190" spans="1:23" ht="24.75" customHeight="1">
      <c r="A190" s="39"/>
      <c r="B190" s="39" t="s">
        <v>367</v>
      </c>
      <c r="C190" s="39"/>
      <c r="D190" s="36" t="s">
        <v>368</v>
      </c>
      <c r="E190" s="38">
        <f>Місто!E193-'[1]Місто'!E188</f>
        <v>9270</v>
      </c>
      <c r="F190" s="38">
        <f>Місто!F193-'[1]Місто'!F188</f>
        <v>9270</v>
      </c>
      <c r="G190" s="38">
        <f>Місто!G193-'[1]Місто'!G188</f>
        <v>0</v>
      </c>
      <c r="H190" s="38">
        <f>Місто!H193-'[1]Місто'!H188</f>
        <v>0</v>
      </c>
      <c r="I190" s="38">
        <f>Місто!I193-'[1]Місто'!I188</f>
        <v>0</v>
      </c>
      <c r="J190" s="38">
        <f>Місто!J193-'[1]Місто'!J188</f>
        <v>0</v>
      </c>
      <c r="K190" s="38">
        <f>Місто!K193-'[1]Місто'!K188</f>
        <v>0</v>
      </c>
      <c r="L190" s="38">
        <f>Місто!L193-'[1]Місто'!L188</f>
        <v>0</v>
      </c>
      <c r="M190" s="38">
        <f>Місто!M193-'[1]Місто'!M188</f>
        <v>0</v>
      </c>
      <c r="N190" s="38">
        <f>Місто!N193-'[1]Місто'!N188</f>
        <v>0</v>
      </c>
      <c r="O190" s="38">
        <f>Місто!O193-'[1]Місто'!O188</f>
        <v>0</v>
      </c>
      <c r="P190" s="55">
        <f>Місто!P193-'[1]Місто'!P188</f>
        <v>9270</v>
      </c>
      <c r="Q190" s="53"/>
      <c r="R190" s="59"/>
      <c r="W190" s="53">
        <f t="shared" si="2"/>
        <v>0</v>
      </c>
    </row>
    <row r="191" spans="1:23" ht="38.25">
      <c r="A191" s="39"/>
      <c r="B191" s="39" t="s">
        <v>308</v>
      </c>
      <c r="C191" s="74" t="s">
        <v>464</v>
      </c>
      <c r="D191" s="36" t="s">
        <v>243</v>
      </c>
      <c r="E191" s="76">
        <f>Місто!E194-'[1]Місто'!E189</f>
        <v>-381456</v>
      </c>
      <c r="F191" s="76">
        <f>Місто!F194-'[1]Місто'!F189</f>
        <v>-381456</v>
      </c>
      <c r="G191" s="38">
        <f>Місто!G194-'[1]Місто'!G189</f>
        <v>0</v>
      </c>
      <c r="H191" s="38">
        <f>Місто!H194-'[1]Місто'!H189</f>
        <v>0</v>
      </c>
      <c r="I191" s="38">
        <f>Місто!I194-'[1]Місто'!I189</f>
        <v>0</v>
      </c>
      <c r="J191" s="38">
        <f>Місто!J194-'[1]Місто'!J189</f>
        <v>0</v>
      </c>
      <c r="K191" s="38">
        <f>Місто!K194-'[1]Місто'!K189</f>
        <v>0</v>
      </c>
      <c r="L191" s="38">
        <f>Місто!L194-'[1]Місто'!L189</f>
        <v>0</v>
      </c>
      <c r="M191" s="38">
        <f>Місто!M194-'[1]Місто'!M189</f>
        <v>0</v>
      </c>
      <c r="N191" s="38">
        <f>Місто!N194-'[1]Місто'!N189</f>
        <v>0</v>
      </c>
      <c r="O191" s="38">
        <f>Місто!O194-'[1]Місто'!O189</f>
        <v>0</v>
      </c>
      <c r="P191" s="55">
        <f>Місто!P194-'[1]Місто'!P189</f>
        <v>-381456</v>
      </c>
      <c r="Q191" s="53"/>
      <c r="R191" s="59"/>
      <c r="W191" s="53">
        <f t="shared" si="2"/>
        <v>0</v>
      </c>
    </row>
    <row r="192" spans="1:23" s="3" customFormat="1" ht="213.75" hidden="1">
      <c r="A192" s="39"/>
      <c r="B192" s="39"/>
      <c r="C192" s="39"/>
      <c r="D192" s="91" t="s">
        <v>238</v>
      </c>
      <c r="E192" s="140">
        <f>Місто!E195-'[1]Місто'!E190</f>
        <v>-5256998</v>
      </c>
      <c r="F192" s="76">
        <f>Місто!F195-'[1]Місто'!F190</f>
        <v>-5256998</v>
      </c>
      <c r="G192" s="38">
        <f>Місто!G195-'[1]Місто'!G190</f>
        <v>0</v>
      </c>
      <c r="H192" s="38">
        <f>Місто!H195-'[1]Місто'!H190</f>
        <v>0</v>
      </c>
      <c r="I192" s="38">
        <f>Місто!I195-'[1]Місто'!I190</f>
        <v>0</v>
      </c>
      <c r="J192" s="38">
        <f>Місто!J195-'[1]Місто'!J190</f>
        <v>0</v>
      </c>
      <c r="K192" s="38">
        <f>Місто!K195-'[1]Місто'!K190</f>
        <v>0</v>
      </c>
      <c r="L192" s="38">
        <f>Місто!L195-'[1]Місто'!L190</f>
        <v>0</v>
      </c>
      <c r="M192" s="38">
        <f>Місто!M195-'[1]Місто'!M190</f>
        <v>0</v>
      </c>
      <c r="N192" s="38">
        <f>Місто!N195-'[1]Місто'!N190</f>
        <v>0</v>
      </c>
      <c r="O192" s="38">
        <f>Місто!O195-'[1]Місто'!O190</f>
        <v>0</v>
      </c>
      <c r="P192" s="55">
        <f>Місто!P195-'[1]Місто'!P190</f>
        <v>-5256998</v>
      </c>
      <c r="Q192" s="53"/>
      <c r="W192" s="53">
        <f t="shared" si="2"/>
        <v>0</v>
      </c>
    </row>
    <row r="193" spans="1:23" ht="38.25">
      <c r="A193" s="39"/>
      <c r="B193" s="39" t="s">
        <v>79</v>
      </c>
      <c r="C193" s="74" t="s">
        <v>464</v>
      </c>
      <c r="D193" s="36" t="s">
        <v>91</v>
      </c>
      <c r="E193" s="38">
        <f>Місто!E196-'[1]Місто'!E191</f>
        <v>862730</v>
      </c>
      <c r="F193" s="38">
        <f>Місто!F196-'[1]Місто'!F191</f>
        <v>862730</v>
      </c>
      <c r="G193" s="38">
        <f>Місто!G196-'[1]Місто'!G191</f>
        <v>0</v>
      </c>
      <c r="H193" s="38">
        <f>Місто!H196-'[1]Місто'!H191</f>
        <v>0</v>
      </c>
      <c r="I193" s="38">
        <f>Місто!I196-'[1]Місто'!I191</f>
        <v>0</v>
      </c>
      <c r="J193" s="38">
        <f>Місто!J196-'[1]Місто'!J191</f>
        <v>0</v>
      </c>
      <c r="K193" s="38">
        <f>Місто!K196-'[1]Місто'!K191</f>
        <v>0</v>
      </c>
      <c r="L193" s="38">
        <f>Місто!L196-'[1]Місто'!L191</f>
        <v>0</v>
      </c>
      <c r="M193" s="38">
        <f>Місто!M196-'[1]Місто'!M191</f>
        <v>0</v>
      </c>
      <c r="N193" s="38">
        <f>Місто!N196-'[1]Місто'!N191</f>
        <v>0</v>
      </c>
      <c r="O193" s="38">
        <f>Місто!O196-'[1]Місто'!O191</f>
        <v>0</v>
      </c>
      <c r="P193" s="55">
        <f>Місто!P196-'[1]Місто'!P191</f>
        <v>862730</v>
      </c>
      <c r="Q193" s="53"/>
      <c r="R193" s="59"/>
      <c r="W193" s="53">
        <f t="shared" si="2"/>
        <v>0</v>
      </c>
    </row>
    <row r="194" spans="1:23" s="3" customFormat="1" ht="213.75" hidden="1">
      <c r="A194" s="39"/>
      <c r="B194" s="39"/>
      <c r="C194" s="39"/>
      <c r="D194" s="91" t="s">
        <v>238</v>
      </c>
      <c r="E194" s="38">
        <f>Місто!E197-'[1]Місто'!E192</f>
        <v>-1284900</v>
      </c>
      <c r="F194" s="38">
        <f>Місто!F197-'[1]Місто'!F192</f>
        <v>-1284900</v>
      </c>
      <c r="G194" s="38">
        <f>Місто!G197-'[1]Місто'!G192</f>
        <v>0</v>
      </c>
      <c r="H194" s="38">
        <f>Місто!H197-'[1]Місто'!H192</f>
        <v>0</v>
      </c>
      <c r="I194" s="38">
        <f>Місто!I197-'[1]Місто'!I192</f>
        <v>0</v>
      </c>
      <c r="J194" s="38">
        <f>Місто!J197-'[1]Місто'!J192</f>
        <v>0</v>
      </c>
      <c r="K194" s="38">
        <f>Місто!K197-'[1]Місто'!K192</f>
        <v>0</v>
      </c>
      <c r="L194" s="38">
        <f>Місто!L197-'[1]Місто'!L192</f>
        <v>0</v>
      </c>
      <c r="M194" s="38">
        <f>Місто!M197-'[1]Місто'!M192</f>
        <v>0</v>
      </c>
      <c r="N194" s="38">
        <f>Місто!N197-'[1]Місто'!N192</f>
        <v>0</v>
      </c>
      <c r="O194" s="38">
        <f>Місто!O197-'[1]Місто'!O192</f>
        <v>0</v>
      </c>
      <c r="P194" s="55">
        <f>Місто!P197-'[1]Місто'!P192</f>
        <v>-1284900</v>
      </c>
      <c r="Q194" s="53"/>
      <c r="W194" s="53">
        <f t="shared" si="2"/>
        <v>0</v>
      </c>
    </row>
    <row r="195" spans="1:23" s="3" customFormat="1" ht="38.25">
      <c r="A195" s="39"/>
      <c r="B195" s="39" t="s">
        <v>77</v>
      </c>
      <c r="C195" s="74" t="s">
        <v>464</v>
      </c>
      <c r="D195" s="60" t="s">
        <v>78</v>
      </c>
      <c r="E195" s="38">
        <f>Місто!E198-'[1]Місто'!E193</f>
        <v>-1485179</v>
      </c>
      <c r="F195" s="38">
        <f>Місто!F198-'[1]Місто'!F193</f>
        <v>-1485179</v>
      </c>
      <c r="G195" s="38">
        <f>Місто!G198-'[1]Місто'!G193</f>
        <v>0</v>
      </c>
      <c r="H195" s="38">
        <f>Місто!H198-'[1]Місто'!H193</f>
        <v>0</v>
      </c>
      <c r="I195" s="38">
        <f>Місто!I198-'[1]Місто'!I193</f>
        <v>0</v>
      </c>
      <c r="J195" s="38">
        <f>Місто!J198-'[1]Місто'!J193</f>
        <v>0</v>
      </c>
      <c r="K195" s="38">
        <f>Місто!K198-'[1]Місто'!K193</f>
        <v>0</v>
      </c>
      <c r="L195" s="38">
        <f>Місто!L198-'[1]Місто'!L193</f>
        <v>0</v>
      </c>
      <c r="M195" s="38">
        <f>Місто!M198-'[1]Місто'!M193</f>
        <v>0</v>
      </c>
      <c r="N195" s="38">
        <f>Місто!N198-'[1]Місто'!N193</f>
        <v>0</v>
      </c>
      <c r="O195" s="38">
        <f>Місто!O198-'[1]Місто'!O193</f>
        <v>0</v>
      </c>
      <c r="P195" s="55">
        <f>Місто!P198-'[1]Місто'!P193</f>
        <v>-1485179</v>
      </c>
      <c r="Q195" s="53"/>
      <c r="W195" s="53">
        <f t="shared" si="2"/>
        <v>0</v>
      </c>
    </row>
    <row r="196" spans="1:23" s="3" customFormat="1" ht="213.75" hidden="1">
      <c r="A196" s="39"/>
      <c r="B196" s="39"/>
      <c r="C196" s="39"/>
      <c r="D196" s="91" t="s">
        <v>238</v>
      </c>
      <c r="E196" s="38">
        <f>Місто!E199-'[1]Місто'!E194</f>
        <v>-5808000</v>
      </c>
      <c r="F196" s="38">
        <f>Місто!F199-'[1]Місто'!F194</f>
        <v>-5808000</v>
      </c>
      <c r="G196" s="38">
        <f>Місто!G199-'[1]Місто'!G194</f>
        <v>0</v>
      </c>
      <c r="H196" s="38">
        <f>Місто!H199-'[1]Місто'!H194</f>
        <v>0</v>
      </c>
      <c r="I196" s="38">
        <f>Місто!I199-'[1]Місто'!I194</f>
        <v>0</v>
      </c>
      <c r="J196" s="38">
        <f>Місто!J199-'[1]Місто'!J194</f>
        <v>0</v>
      </c>
      <c r="K196" s="38">
        <f>Місто!K199-'[1]Місто'!K194</f>
        <v>0</v>
      </c>
      <c r="L196" s="38">
        <f>Місто!L199-'[1]Місто'!L194</f>
        <v>0</v>
      </c>
      <c r="M196" s="38">
        <f>Місто!M199-'[1]Місто'!M194</f>
        <v>0</v>
      </c>
      <c r="N196" s="38">
        <f>Місто!N199-'[1]Місто'!N194</f>
        <v>0</v>
      </c>
      <c r="O196" s="38">
        <f>Місто!O199-'[1]Місто'!O194</f>
        <v>0</v>
      </c>
      <c r="P196" s="55">
        <f>Місто!P199-'[1]Місто'!P194</f>
        <v>-5808000</v>
      </c>
      <c r="Q196" s="53"/>
      <c r="W196" s="53">
        <f t="shared" si="2"/>
        <v>0</v>
      </c>
    </row>
    <row r="197" spans="1:23" s="3" customFormat="1" ht="38.25">
      <c r="A197" s="39"/>
      <c r="B197" s="39" t="s">
        <v>309</v>
      </c>
      <c r="C197" s="74" t="s">
        <v>464</v>
      </c>
      <c r="D197" s="68" t="s">
        <v>234</v>
      </c>
      <c r="E197" s="76">
        <f>Місто!E200-'[1]Місто'!E195</f>
        <v>1013175</v>
      </c>
      <c r="F197" s="76">
        <f>Місто!F200-'[1]Місто'!F195</f>
        <v>1013175</v>
      </c>
      <c r="G197" s="38">
        <f>Місто!G200-'[1]Місто'!G195</f>
        <v>0</v>
      </c>
      <c r="H197" s="38">
        <f>Місто!H200-'[1]Місто'!H195</f>
        <v>0</v>
      </c>
      <c r="I197" s="38">
        <f>Місто!I200-'[1]Місто'!I195</f>
        <v>0</v>
      </c>
      <c r="J197" s="38">
        <f>Місто!J200-'[1]Місто'!J195</f>
        <v>0</v>
      </c>
      <c r="K197" s="38">
        <f>Місто!K200-'[1]Місто'!K195</f>
        <v>0</v>
      </c>
      <c r="L197" s="38">
        <f>Місто!L200-'[1]Місто'!L195</f>
        <v>0</v>
      </c>
      <c r="M197" s="38">
        <f>Місто!M200-'[1]Місто'!M195</f>
        <v>0</v>
      </c>
      <c r="N197" s="38">
        <f>Місто!N200-'[1]Місто'!N195</f>
        <v>0</v>
      </c>
      <c r="O197" s="38">
        <f>Місто!O200-'[1]Місто'!O195</f>
        <v>0</v>
      </c>
      <c r="P197" s="55">
        <f>Місто!P200-'[1]Місто'!P195</f>
        <v>1013175</v>
      </c>
      <c r="Q197" s="53"/>
      <c r="W197" s="53">
        <f t="shared" si="2"/>
        <v>0</v>
      </c>
    </row>
    <row r="198" spans="1:23" s="3" customFormat="1" ht="213.75" hidden="1">
      <c r="A198" s="39"/>
      <c r="B198" s="39"/>
      <c r="C198" s="39"/>
      <c r="D198" s="91" t="s">
        <v>238</v>
      </c>
      <c r="E198" s="38">
        <f>Місто!E201-'[1]Місто'!E196</f>
        <v>-41303200</v>
      </c>
      <c r="F198" s="38">
        <f>Місто!F201-'[1]Місто'!F196</f>
        <v>-41303200</v>
      </c>
      <c r="G198" s="38">
        <f>Місто!G201-'[1]Місто'!G196</f>
        <v>0</v>
      </c>
      <c r="H198" s="38">
        <f>Місто!H201-'[1]Місто'!H196</f>
        <v>0</v>
      </c>
      <c r="I198" s="38">
        <f>Місто!I201-'[1]Місто'!I196</f>
        <v>0</v>
      </c>
      <c r="J198" s="38">
        <f>Місто!J201-'[1]Місто'!J196</f>
        <v>0</v>
      </c>
      <c r="K198" s="38">
        <f>Місто!K201-'[1]Місто'!K196</f>
        <v>0</v>
      </c>
      <c r="L198" s="38">
        <f>Місто!L201-'[1]Місто'!L196</f>
        <v>0</v>
      </c>
      <c r="M198" s="38">
        <f>Місто!M201-'[1]Місто'!M196</f>
        <v>0</v>
      </c>
      <c r="N198" s="38">
        <f>Місто!N201-'[1]Місто'!N196</f>
        <v>0</v>
      </c>
      <c r="O198" s="38">
        <f>Місто!O201-'[1]Місто'!O196</f>
        <v>0</v>
      </c>
      <c r="P198" s="55">
        <f>Місто!P201-'[1]Місто'!P196</f>
        <v>-41303200</v>
      </c>
      <c r="Q198" s="53"/>
      <c r="W198" s="53">
        <f t="shared" si="2"/>
        <v>0</v>
      </c>
    </row>
    <row r="199" spans="1:23" s="54" customFormat="1" ht="12.75" hidden="1">
      <c r="A199" s="39"/>
      <c r="B199" s="39" t="s">
        <v>369</v>
      </c>
      <c r="C199" s="39"/>
      <c r="D199" s="36" t="s">
        <v>373</v>
      </c>
      <c r="E199" s="38">
        <f>Місто!E202-'[1]Місто'!E197</f>
        <v>0</v>
      </c>
      <c r="F199" s="38">
        <f>Місто!F202-'[1]Місто'!F197</f>
        <v>0</v>
      </c>
      <c r="G199" s="38">
        <f>Місто!G202-'[1]Місто'!G197</f>
        <v>0</v>
      </c>
      <c r="H199" s="38">
        <f>Місто!H202-'[1]Місто'!H197</f>
        <v>0</v>
      </c>
      <c r="I199" s="38">
        <f>Місто!I202-'[1]Місто'!I197</f>
        <v>0</v>
      </c>
      <c r="J199" s="38">
        <f>Місто!J202-'[1]Місто'!J197</f>
        <v>0</v>
      </c>
      <c r="K199" s="38">
        <f>Місто!K202-'[1]Місто'!K197</f>
        <v>0</v>
      </c>
      <c r="L199" s="38">
        <f>Місто!L202-'[1]Місто'!L197</f>
        <v>0</v>
      </c>
      <c r="M199" s="38">
        <f>Місто!M202-'[1]Місто'!M197</f>
        <v>0</v>
      </c>
      <c r="N199" s="38">
        <f>Місто!N202-'[1]Місто'!N197</f>
        <v>0</v>
      </c>
      <c r="O199" s="38">
        <f>Місто!O202-'[1]Місто'!O197</f>
        <v>0</v>
      </c>
      <c r="P199" s="55">
        <f>Місто!P202-'[1]Місто'!P197</f>
        <v>0</v>
      </c>
      <c r="Q199" s="53"/>
      <c r="R199" s="53"/>
      <c r="W199" s="53">
        <f t="shared" si="2"/>
        <v>0</v>
      </c>
    </row>
    <row r="200" spans="1:23" s="57" customFormat="1" ht="25.5" hidden="1">
      <c r="A200" s="39"/>
      <c r="B200" s="39" t="s">
        <v>287</v>
      </c>
      <c r="C200" s="39"/>
      <c r="D200" s="60" t="s">
        <v>333</v>
      </c>
      <c r="E200" s="38">
        <f>Місто!E203-'[1]Місто'!E198</f>
        <v>0</v>
      </c>
      <c r="F200" s="38">
        <f>Місто!F203-'[1]Місто'!F198</f>
        <v>0</v>
      </c>
      <c r="G200" s="38">
        <f>Місто!G203-'[1]Місто'!G198</f>
        <v>0</v>
      </c>
      <c r="H200" s="38">
        <f>Місто!H203-'[1]Місто'!H198</f>
        <v>0</v>
      </c>
      <c r="I200" s="38">
        <f>Місто!I203-'[1]Місто'!I198</f>
        <v>0</v>
      </c>
      <c r="J200" s="38">
        <f>Місто!J203-'[1]Місто'!J198</f>
        <v>0</v>
      </c>
      <c r="K200" s="38">
        <f>Місто!K203-'[1]Місто'!K198</f>
        <v>0</v>
      </c>
      <c r="L200" s="38">
        <f>Місто!L203-'[1]Місто'!L198</f>
        <v>0</v>
      </c>
      <c r="M200" s="38">
        <f>Місто!M203-'[1]Місто'!M198</f>
        <v>0</v>
      </c>
      <c r="N200" s="38">
        <f>Місто!N203-'[1]Місто'!N198</f>
        <v>0</v>
      </c>
      <c r="O200" s="38">
        <f>Місто!O203-'[1]Місто'!O198</f>
        <v>0</v>
      </c>
      <c r="P200" s="55">
        <f>Місто!P203-'[1]Місто'!P198</f>
        <v>0</v>
      </c>
      <c r="Q200" s="53"/>
      <c r="R200" s="56"/>
      <c r="W200" s="53">
        <f t="shared" si="2"/>
        <v>0</v>
      </c>
    </row>
    <row r="201" spans="1:23" ht="25.5" hidden="1">
      <c r="A201" s="9"/>
      <c r="B201" s="9" t="s">
        <v>371</v>
      </c>
      <c r="C201" s="9"/>
      <c r="D201" s="6" t="s">
        <v>372</v>
      </c>
      <c r="E201" s="27">
        <f>Місто!E204-'[1]Місто'!E199</f>
        <v>0</v>
      </c>
      <c r="F201" s="27">
        <f>Місто!F204-'[1]Місто'!F199</f>
        <v>0</v>
      </c>
      <c r="G201" s="27">
        <f>Місто!G204-'[1]Місто'!G199</f>
        <v>0</v>
      </c>
      <c r="H201" s="27">
        <f>Місто!H204-'[1]Місто'!H199</f>
        <v>0</v>
      </c>
      <c r="I201" s="27">
        <f>Місто!I204-'[1]Місто'!I199</f>
        <v>0</v>
      </c>
      <c r="J201" s="27">
        <f>Місто!J204-'[1]Місто'!J199</f>
        <v>0</v>
      </c>
      <c r="K201" s="27">
        <f>Місто!K204-'[1]Місто'!K199</f>
        <v>0</v>
      </c>
      <c r="L201" s="27">
        <f>Місто!L204-'[1]Місто'!L199</f>
        <v>0</v>
      </c>
      <c r="M201" s="27">
        <f>Місто!M204-'[1]Місто'!M199</f>
        <v>0</v>
      </c>
      <c r="N201" s="27">
        <f>Місто!N204-'[1]Місто'!N199</f>
        <v>0</v>
      </c>
      <c r="O201" s="27">
        <f>Місто!O204-'[1]Місто'!O199</f>
        <v>0</v>
      </c>
      <c r="P201" s="26">
        <f>Місто!P204-'[1]Місто'!P199</f>
        <v>0</v>
      </c>
      <c r="Q201" s="53"/>
      <c r="R201" s="59"/>
      <c r="W201" s="53">
        <f t="shared" si="2"/>
        <v>0</v>
      </c>
    </row>
    <row r="202" spans="1:23" ht="12.75" hidden="1">
      <c r="A202" s="39"/>
      <c r="B202" s="39" t="s">
        <v>288</v>
      </c>
      <c r="C202" s="39"/>
      <c r="D202" s="36" t="s">
        <v>316</v>
      </c>
      <c r="E202" s="38">
        <f>Місто!E205-'[1]Місто'!E200</f>
        <v>0</v>
      </c>
      <c r="F202" s="38">
        <f>Місто!F205-'[1]Місто'!F200</f>
        <v>0</v>
      </c>
      <c r="G202" s="38">
        <f>Місто!G205-'[1]Місто'!G200</f>
        <v>0</v>
      </c>
      <c r="H202" s="38">
        <f>Місто!H205-'[1]Місто'!H200</f>
        <v>0</v>
      </c>
      <c r="I202" s="38">
        <f>Місто!I205-'[1]Місто'!I200</f>
        <v>0</v>
      </c>
      <c r="J202" s="38">
        <f>Місто!J205-'[1]Місто'!J200</f>
        <v>0</v>
      </c>
      <c r="K202" s="38">
        <f>Місто!K205-'[1]Місто'!K200</f>
        <v>0</v>
      </c>
      <c r="L202" s="38">
        <f>Місто!L205-'[1]Місто'!L200</f>
        <v>0</v>
      </c>
      <c r="M202" s="38">
        <f>Місто!M205-'[1]Місто'!M200</f>
        <v>0</v>
      </c>
      <c r="N202" s="38">
        <f>Місто!N205-'[1]Місто'!N200</f>
        <v>0</v>
      </c>
      <c r="O202" s="38">
        <f>Місто!O205-'[1]Місто'!O200</f>
        <v>0</v>
      </c>
      <c r="P202" s="55">
        <f>Місто!P205-'[1]Місто'!P200</f>
        <v>0</v>
      </c>
      <c r="Q202" s="53"/>
      <c r="R202" s="59"/>
      <c r="W202" s="53">
        <f t="shared" si="2"/>
        <v>0</v>
      </c>
    </row>
    <row r="203" spans="1:23" ht="140.25" hidden="1">
      <c r="A203" s="9"/>
      <c r="B203" s="9" t="s">
        <v>389</v>
      </c>
      <c r="C203" s="9"/>
      <c r="D203" s="6" t="s">
        <v>390</v>
      </c>
      <c r="E203" s="27">
        <f>Місто!E206-'[1]Місто'!E201</f>
        <v>0</v>
      </c>
      <c r="F203" s="27">
        <f>Місто!F206-'[1]Місто'!F201</f>
        <v>0</v>
      </c>
      <c r="G203" s="27">
        <f>Місто!G206-'[1]Місто'!G201</f>
        <v>0</v>
      </c>
      <c r="H203" s="27">
        <f>Місто!H206-'[1]Місто'!H201</f>
        <v>0</v>
      </c>
      <c r="I203" s="27">
        <f>Місто!I206-'[1]Місто'!I201</f>
        <v>0</v>
      </c>
      <c r="J203" s="27">
        <f>Місто!J206-'[1]Місто'!J201</f>
        <v>0</v>
      </c>
      <c r="K203" s="27">
        <f>Місто!K206-'[1]Місто'!K201</f>
        <v>0</v>
      </c>
      <c r="L203" s="27">
        <f>Місто!L206-'[1]Місто'!L201</f>
        <v>0</v>
      </c>
      <c r="M203" s="27">
        <f>Місто!M206-'[1]Місто'!M201</f>
        <v>0</v>
      </c>
      <c r="N203" s="27">
        <f>Місто!N206-'[1]Місто'!N201</f>
        <v>0</v>
      </c>
      <c r="O203" s="27">
        <f>Місто!O206-'[1]Місто'!O201</f>
        <v>0</v>
      </c>
      <c r="P203" s="26">
        <f>Місто!P206-'[1]Місто'!P201</f>
        <v>0</v>
      </c>
      <c r="Q203" s="53"/>
      <c r="R203" s="59"/>
      <c r="W203" s="53">
        <f t="shared" si="2"/>
        <v>0</v>
      </c>
    </row>
    <row r="204" spans="1:23" ht="135" hidden="1">
      <c r="A204" s="9"/>
      <c r="B204" s="9"/>
      <c r="C204" s="9"/>
      <c r="D204" s="92" t="s">
        <v>121</v>
      </c>
      <c r="E204" s="27">
        <f>Місто!E207-'[1]Місто'!E202</f>
        <v>0</v>
      </c>
      <c r="F204" s="27">
        <f>Місто!F207-'[1]Місто'!F202</f>
        <v>0</v>
      </c>
      <c r="G204" s="27">
        <f>Місто!G207-'[1]Місто'!G202</f>
        <v>0</v>
      </c>
      <c r="H204" s="27">
        <f>Місто!H207-'[1]Місто'!H202</f>
        <v>0</v>
      </c>
      <c r="I204" s="27">
        <f>Місто!I207-'[1]Місто'!I202</f>
        <v>0</v>
      </c>
      <c r="J204" s="27">
        <f>Місто!J207-'[1]Місто'!J202</f>
        <v>0</v>
      </c>
      <c r="K204" s="27">
        <f>Місто!K207-'[1]Місто'!K202</f>
        <v>0</v>
      </c>
      <c r="L204" s="27">
        <f>Місто!L207-'[1]Місто'!L202</f>
        <v>0</v>
      </c>
      <c r="M204" s="27">
        <f>Місто!M207-'[1]Місто'!M202</f>
        <v>0</v>
      </c>
      <c r="N204" s="27">
        <f>Місто!N207-'[1]Місто'!N202</f>
        <v>0</v>
      </c>
      <c r="O204" s="27">
        <f>Місто!O207-'[1]Місто'!O202</f>
        <v>0</v>
      </c>
      <c r="P204" s="26">
        <f>Місто!P207-'[1]Місто'!P202</f>
        <v>0</v>
      </c>
      <c r="Q204" s="53"/>
      <c r="R204" s="59"/>
      <c r="W204" s="53">
        <f t="shared" si="2"/>
        <v>0</v>
      </c>
    </row>
    <row r="205" spans="1:23" ht="25.5">
      <c r="A205" s="98"/>
      <c r="B205" s="98" t="s">
        <v>173</v>
      </c>
      <c r="C205" s="98"/>
      <c r="D205" s="99" t="s">
        <v>151</v>
      </c>
      <c r="E205" s="51">
        <f>Місто!E208-'[1]Місто'!E203</f>
        <v>383490</v>
      </c>
      <c r="F205" s="51">
        <f>Місто!F208-'[1]Місто'!F203</f>
        <v>383490</v>
      </c>
      <c r="G205" s="51">
        <f>Місто!G208-'[1]Місто'!G203</f>
        <v>380431</v>
      </c>
      <c r="H205" s="51">
        <f>Місто!H208-'[1]Місто'!H203</f>
        <v>0</v>
      </c>
      <c r="I205" s="51">
        <f>Місто!I208-'[1]Місто'!I203</f>
        <v>0</v>
      </c>
      <c r="J205" s="51">
        <f>Місто!J208-'[1]Місто'!J203</f>
        <v>168971</v>
      </c>
      <c r="K205" s="51">
        <f>Місто!K208-'[1]Місто'!K203</f>
        <v>0</v>
      </c>
      <c r="L205" s="51">
        <f>Місто!L208-'[1]Місто'!L203</f>
        <v>0</v>
      </c>
      <c r="M205" s="51">
        <f>Місто!M208-'[1]Місто'!M203</f>
        <v>0</v>
      </c>
      <c r="N205" s="51">
        <f>Місто!N208-'[1]Місто'!N203</f>
        <v>168971</v>
      </c>
      <c r="O205" s="51">
        <f>Місто!O208-'[1]Місто'!O203</f>
        <v>168971</v>
      </c>
      <c r="P205" s="52">
        <f>Місто!P208-'[1]Місто'!P203</f>
        <v>552461</v>
      </c>
      <c r="Q205" s="53"/>
      <c r="R205" s="59"/>
      <c r="W205" s="53">
        <f t="shared" si="2"/>
        <v>0</v>
      </c>
    </row>
    <row r="206" spans="1:23" ht="12.75">
      <c r="A206" s="42"/>
      <c r="B206" s="42" t="s">
        <v>362</v>
      </c>
      <c r="C206" s="42"/>
      <c r="D206" s="43" t="s">
        <v>363</v>
      </c>
      <c r="E206" s="38">
        <f>Місто!E209-'[1]Місто'!E204</f>
        <v>383490</v>
      </c>
      <c r="F206" s="38">
        <f>Місто!F209-'[1]Місто'!F204</f>
        <v>383490</v>
      </c>
      <c r="G206" s="38">
        <f>Місто!G209-'[1]Місто'!G204</f>
        <v>380431</v>
      </c>
      <c r="H206" s="38">
        <f>Місто!H209-'[1]Місто'!H204</f>
        <v>0</v>
      </c>
      <c r="I206" s="38">
        <f>Місто!I209-'[1]Місто'!I204</f>
        <v>0</v>
      </c>
      <c r="J206" s="38">
        <f>Місто!J209-'[1]Місто'!J204</f>
        <v>168971</v>
      </c>
      <c r="K206" s="38">
        <f>Місто!K209-'[1]Місто'!K204</f>
        <v>0</v>
      </c>
      <c r="L206" s="38">
        <f>Місто!L209-'[1]Місто'!L204</f>
        <v>0</v>
      </c>
      <c r="M206" s="38">
        <f>Місто!M209-'[1]Місто'!M204</f>
        <v>0</v>
      </c>
      <c r="N206" s="38">
        <f>Місто!N209-'[1]Місто'!N204</f>
        <v>168971</v>
      </c>
      <c r="O206" s="38">
        <f>Місто!O209-'[1]Місто'!O204</f>
        <v>168971</v>
      </c>
      <c r="P206" s="55">
        <f>Місто!P209-'[1]Місто'!P204</f>
        <v>552461</v>
      </c>
      <c r="Q206" s="53"/>
      <c r="R206" s="59"/>
      <c r="W206" s="53">
        <f t="shared" si="2"/>
        <v>0</v>
      </c>
    </row>
    <row r="207" spans="1:23" ht="12.75">
      <c r="A207" s="39"/>
      <c r="B207" s="39" t="s">
        <v>249</v>
      </c>
      <c r="C207" s="74" t="s">
        <v>441</v>
      </c>
      <c r="D207" s="58" t="s">
        <v>250</v>
      </c>
      <c r="E207" s="38">
        <f>Місто!E210-'[1]Місто'!E205</f>
        <v>383490</v>
      </c>
      <c r="F207" s="38">
        <f>Місто!F210-'[1]Місто'!F205</f>
        <v>383490</v>
      </c>
      <c r="G207" s="38">
        <f>Місто!G210-'[1]Місто'!G205</f>
        <v>380431</v>
      </c>
      <c r="H207" s="37">
        <f>Місто!H210-'[1]Місто'!H205</f>
        <v>0</v>
      </c>
      <c r="I207" s="37">
        <f>Місто!I210-'[1]Місто'!I205</f>
        <v>0</v>
      </c>
      <c r="J207" s="38">
        <f>Місто!J210-'[1]Місто'!J205</f>
        <v>168971</v>
      </c>
      <c r="K207" s="38">
        <f>Місто!K210-'[1]Місто'!K205</f>
        <v>0</v>
      </c>
      <c r="L207" s="38">
        <f>Місто!L210-'[1]Місто'!L205</f>
        <v>0</v>
      </c>
      <c r="M207" s="38">
        <f>Місто!M210-'[1]Місто'!M205</f>
        <v>0</v>
      </c>
      <c r="N207" s="38">
        <f>Місто!N210-'[1]Місто'!N205</f>
        <v>168971</v>
      </c>
      <c r="O207" s="38">
        <f>Місто!O210-'[1]Місто'!O205</f>
        <v>168971</v>
      </c>
      <c r="P207" s="55">
        <f>Місто!P210-'[1]Місто'!P205</f>
        <v>552461</v>
      </c>
      <c r="Q207" s="53"/>
      <c r="R207" s="59"/>
      <c r="W207" s="53">
        <f t="shared" si="2"/>
        <v>0</v>
      </c>
    </row>
    <row r="208" spans="1:23" ht="12.75" hidden="1">
      <c r="A208" s="39"/>
      <c r="B208" s="9" t="s">
        <v>251</v>
      </c>
      <c r="C208" s="9"/>
      <c r="D208" s="15" t="s">
        <v>252</v>
      </c>
      <c r="E208" s="38">
        <f>Місто!E211-'[1]Місто'!E206</f>
        <v>0</v>
      </c>
      <c r="F208" s="38">
        <f>Місто!F211-'[1]Місто'!F206</f>
        <v>0</v>
      </c>
      <c r="G208" s="38">
        <f>Місто!G211-'[1]Місто'!G206</f>
        <v>0</v>
      </c>
      <c r="H208" s="37">
        <f>Місто!H211-'[1]Місто'!H206</f>
        <v>0</v>
      </c>
      <c r="I208" s="37">
        <f>Місто!I211-'[1]Місто'!I206</f>
        <v>0</v>
      </c>
      <c r="J208" s="38">
        <f>Місто!J211-'[1]Місто'!J206</f>
        <v>0</v>
      </c>
      <c r="K208" s="38">
        <f>Місто!K211-'[1]Місто'!K206</f>
        <v>0</v>
      </c>
      <c r="L208" s="38">
        <f>Місто!L211-'[1]Місто'!L206</f>
        <v>0</v>
      </c>
      <c r="M208" s="38">
        <f>Місто!M211-'[1]Місто'!M206</f>
        <v>0</v>
      </c>
      <c r="N208" s="38">
        <f>Місто!N211-'[1]Місто'!N206</f>
        <v>0</v>
      </c>
      <c r="O208" s="38">
        <f>Місто!O211-'[1]Місто'!O206</f>
        <v>0</v>
      </c>
      <c r="P208" s="55">
        <f>Місто!P211-'[1]Місто'!P206</f>
        <v>0</v>
      </c>
      <c r="Q208" s="53"/>
      <c r="R208" s="59"/>
      <c r="W208" s="53"/>
    </row>
    <row r="209" spans="1:23" ht="25.5" hidden="1">
      <c r="A209" s="39"/>
      <c r="B209" s="9" t="s">
        <v>246</v>
      </c>
      <c r="C209" s="9" t="s">
        <v>445</v>
      </c>
      <c r="D209" s="15" t="s">
        <v>247</v>
      </c>
      <c r="E209" s="38">
        <f>Місто!E212-'[1]Місто'!E207</f>
        <v>0</v>
      </c>
      <c r="F209" s="38">
        <f>Місто!F212-'[1]Місто'!F207</f>
        <v>0</v>
      </c>
      <c r="G209" s="38">
        <f>Місто!G212-'[1]Місто'!G207</f>
        <v>0</v>
      </c>
      <c r="H209" s="37">
        <f>Місто!H212-'[1]Місто'!H207</f>
        <v>0</v>
      </c>
      <c r="I209" s="37">
        <f>Місто!I212-'[1]Місто'!I207</f>
        <v>0</v>
      </c>
      <c r="J209" s="38">
        <f>Місто!J212-'[1]Місто'!J207</f>
        <v>0</v>
      </c>
      <c r="K209" s="38">
        <f>Місто!K212-'[1]Місто'!K207</f>
        <v>0</v>
      </c>
      <c r="L209" s="38">
        <f>Місто!L212-'[1]Місто'!L207</f>
        <v>0</v>
      </c>
      <c r="M209" s="38">
        <f>Місто!M212-'[1]Місто'!M207</f>
        <v>0</v>
      </c>
      <c r="N209" s="38">
        <f>Місто!N212-'[1]Місто'!N207</f>
        <v>0</v>
      </c>
      <c r="O209" s="38">
        <f>Місто!O212-'[1]Місто'!O207</f>
        <v>0</v>
      </c>
      <c r="P209" s="55">
        <f>Місто!P212-'[1]Місто'!P207</f>
        <v>0</v>
      </c>
      <c r="Q209" s="53"/>
      <c r="R209" s="59"/>
      <c r="W209" s="53"/>
    </row>
    <row r="210" spans="1:23" ht="12.75" hidden="1">
      <c r="A210" s="39"/>
      <c r="B210" s="39" t="s">
        <v>369</v>
      </c>
      <c r="C210" s="39"/>
      <c r="D210" s="36" t="s">
        <v>373</v>
      </c>
      <c r="E210" s="38">
        <f>Місто!E213-'[1]Місто'!E208</f>
        <v>0</v>
      </c>
      <c r="F210" s="38">
        <f>Місто!F213-'[1]Місто'!F208</f>
        <v>0</v>
      </c>
      <c r="G210" s="38">
        <f>Місто!G213-'[1]Місто'!G208</f>
        <v>0</v>
      </c>
      <c r="H210" s="38">
        <f>Місто!H213-'[1]Місто'!H208</f>
        <v>0</v>
      </c>
      <c r="I210" s="38">
        <f>Місто!I213-'[1]Місто'!I208</f>
        <v>0</v>
      </c>
      <c r="J210" s="38">
        <f>Місто!J213-'[1]Місто'!J208</f>
        <v>0</v>
      </c>
      <c r="K210" s="38">
        <f>Місто!K213-'[1]Місто'!K208</f>
        <v>0</v>
      </c>
      <c r="L210" s="38">
        <f>Місто!L213-'[1]Місто'!L208</f>
        <v>0</v>
      </c>
      <c r="M210" s="38">
        <f>Місто!M213-'[1]Місто'!M208</f>
        <v>0</v>
      </c>
      <c r="N210" s="38">
        <f>Місто!N213-'[1]Місто'!N208</f>
        <v>0</v>
      </c>
      <c r="O210" s="38">
        <f>Місто!O213-'[1]Місто'!O208</f>
        <v>0</v>
      </c>
      <c r="P210" s="55">
        <f>Місто!P213-'[1]Місто'!P208</f>
        <v>0</v>
      </c>
      <c r="Q210" s="53"/>
      <c r="R210" s="59"/>
      <c r="W210" s="53">
        <f aca="true" t="shared" si="3" ref="W210:W273">N210-O210</f>
        <v>0</v>
      </c>
    </row>
    <row r="211" spans="1:23" ht="25.5" hidden="1">
      <c r="A211" s="39"/>
      <c r="B211" s="39" t="s">
        <v>287</v>
      </c>
      <c r="C211" s="39"/>
      <c r="D211" s="36" t="s">
        <v>333</v>
      </c>
      <c r="E211" s="38">
        <f>Місто!E214-'[1]Місто'!E209</f>
        <v>0</v>
      </c>
      <c r="F211" s="38">
        <f>Місто!F214-'[1]Місто'!F209</f>
        <v>0</v>
      </c>
      <c r="G211" s="38">
        <f>Місто!G214-'[1]Місто'!G209</f>
        <v>0</v>
      </c>
      <c r="H211" s="38">
        <f>Місто!H214-'[1]Місто'!H209</f>
        <v>0</v>
      </c>
      <c r="I211" s="38">
        <f>Місто!I214-'[1]Місто'!I209</f>
        <v>0</v>
      </c>
      <c r="J211" s="38">
        <f>Місто!J214-'[1]Місто'!J209</f>
        <v>0</v>
      </c>
      <c r="K211" s="38">
        <f>Місто!K214-'[1]Місто'!K209</f>
        <v>0</v>
      </c>
      <c r="L211" s="38">
        <f>Місто!L214-'[1]Місто'!L209</f>
        <v>0</v>
      </c>
      <c r="M211" s="38">
        <f>Місто!M214-'[1]Місто'!M209</f>
        <v>0</v>
      </c>
      <c r="N211" s="38">
        <f>Місто!N214-'[1]Місто'!N209</f>
        <v>0</v>
      </c>
      <c r="O211" s="38">
        <f>Місто!O214-'[1]Місто'!O209</f>
        <v>0</v>
      </c>
      <c r="P211" s="55">
        <f>Місто!P214-'[1]Місто'!P209</f>
        <v>0</v>
      </c>
      <c r="Q211" s="53"/>
      <c r="R211" s="59"/>
      <c r="W211" s="53">
        <f t="shared" si="3"/>
        <v>0</v>
      </c>
    </row>
    <row r="212" spans="1:23" s="3" customFormat="1" ht="51">
      <c r="A212" s="18"/>
      <c r="B212" s="18" t="s">
        <v>169</v>
      </c>
      <c r="C212" s="18"/>
      <c r="D212" s="20" t="s">
        <v>131</v>
      </c>
      <c r="E212" s="31">
        <f>Місто!E215-'[1]Місто'!E210</f>
        <v>72289</v>
      </c>
      <c r="F212" s="31">
        <f>Місто!F215-'[1]Місто'!F210</f>
        <v>72289</v>
      </c>
      <c r="G212" s="31">
        <f>Місто!G215-'[1]Місто'!G210</f>
        <v>141330</v>
      </c>
      <c r="H212" s="31">
        <f>Місто!H215-'[1]Місто'!H210</f>
        <v>0</v>
      </c>
      <c r="I212" s="31">
        <f>Місто!I215-'[1]Місто'!I210</f>
        <v>0</v>
      </c>
      <c r="J212" s="31">
        <f>Місто!J215-'[1]Місто'!J210</f>
        <v>0</v>
      </c>
      <c r="K212" s="31">
        <f>Місто!K215-'[1]Місто'!K210</f>
        <v>0</v>
      </c>
      <c r="L212" s="31">
        <f>Місто!L215-'[1]Місто'!L210</f>
        <v>0</v>
      </c>
      <c r="M212" s="31">
        <f>Місто!M215-'[1]Місто'!M210</f>
        <v>0</v>
      </c>
      <c r="N212" s="31">
        <f>Місто!N215-'[1]Місто'!N210</f>
        <v>0</v>
      </c>
      <c r="O212" s="31">
        <f>Місто!O215-'[1]Місто'!O210</f>
        <v>0</v>
      </c>
      <c r="P212" s="52">
        <f>Місто!P215-'[1]Місто'!P210</f>
        <v>72289</v>
      </c>
      <c r="Q212" s="53"/>
      <c r="W212" s="53">
        <f t="shared" si="3"/>
        <v>0</v>
      </c>
    </row>
    <row r="213" spans="1:23" s="3" customFormat="1" ht="12.75">
      <c r="A213" s="69"/>
      <c r="B213" s="69" t="s">
        <v>362</v>
      </c>
      <c r="C213" s="69"/>
      <c r="D213" s="70" t="s">
        <v>363</v>
      </c>
      <c r="E213" s="27">
        <f>Місто!E216-'[1]Місто'!E211</f>
        <v>72289</v>
      </c>
      <c r="F213" s="27">
        <f>Місто!F216-'[1]Місто'!F211</f>
        <v>72289</v>
      </c>
      <c r="G213" s="27">
        <f>Місто!G216-'[1]Місто'!G211</f>
        <v>141330</v>
      </c>
      <c r="H213" s="27">
        <f>Місто!H216-'[1]Місто'!H211</f>
        <v>0</v>
      </c>
      <c r="I213" s="27">
        <f>Місто!I216-'[1]Місто'!I211</f>
        <v>0</v>
      </c>
      <c r="J213" s="27">
        <f>Місто!J216-'[1]Місто'!J211</f>
        <v>0</v>
      </c>
      <c r="K213" s="27">
        <f>Місто!K216-'[1]Місто'!K211</f>
        <v>0</v>
      </c>
      <c r="L213" s="27">
        <f>Місто!L216-'[1]Місто'!L211</f>
        <v>0</v>
      </c>
      <c r="M213" s="27">
        <f>Місто!M216-'[1]Місто'!M211</f>
        <v>0</v>
      </c>
      <c r="N213" s="27">
        <f>Місто!N216-'[1]Місто'!N211</f>
        <v>0</v>
      </c>
      <c r="O213" s="27">
        <f>Місто!O216-'[1]Місто'!O211</f>
        <v>0</v>
      </c>
      <c r="P213" s="55">
        <f>Місто!P216-'[1]Місто'!P211</f>
        <v>72289</v>
      </c>
      <c r="Q213" s="53"/>
      <c r="W213" s="53">
        <f t="shared" si="3"/>
        <v>0</v>
      </c>
    </row>
    <row r="214" spans="1:23" s="3" customFormat="1" ht="12.75">
      <c r="A214" s="7"/>
      <c r="B214" s="7" t="s">
        <v>249</v>
      </c>
      <c r="C214" s="7" t="s">
        <v>441</v>
      </c>
      <c r="D214" s="71" t="s">
        <v>250</v>
      </c>
      <c r="E214" s="27">
        <f>Місто!E217-'[1]Місто'!E212</f>
        <v>72289</v>
      </c>
      <c r="F214" s="27">
        <f>Місто!F217-'[1]Місто'!F212</f>
        <v>72289</v>
      </c>
      <c r="G214" s="27">
        <f>Місто!G217-'[1]Місто'!G212</f>
        <v>141330</v>
      </c>
      <c r="H214" s="27">
        <f>Місто!H217-'[1]Місто'!H212</f>
        <v>0</v>
      </c>
      <c r="I214" s="27">
        <f>Місто!I217-'[1]Місто'!I212</f>
        <v>0</v>
      </c>
      <c r="J214" s="27">
        <f>Місто!J217-'[1]Місто'!J212</f>
        <v>0</v>
      </c>
      <c r="K214" s="119">
        <f>Місто!K217-'[1]Місто'!K212</f>
        <v>0</v>
      </c>
      <c r="L214" s="27">
        <f>Місто!L217-'[1]Місто'!L212</f>
        <v>0</v>
      </c>
      <c r="M214" s="27">
        <f>Місто!M217-'[1]Місто'!M212</f>
        <v>0</v>
      </c>
      <c r="N214" s="27">
        <f>Місто!N217-'[1]Місто'!N212</f>
        <v>0</v>
      </c>
      <c r="O214" s="27">
        <f>Місто!O217-'[1]Місто'!O212</f>
        <v>0</v>
      </c>
      <c r="P214" s="55">
        <f>Місто!P217-'[1]Місто'!P212</f>
        <v>72289</v>
      </c>
      <c r="Q214" s="53"/>
      <c r="W214" s="53">
        <f t="shared" si="3"/>
        <v>0</v>
      </c>
    </row>
    <row r="215" spans="1:23" ht="25.5">
      <c r="A215" s="98"/>
      <c r="B215" s="98" t="s">
        <v>178</v>
      </c>
      <c r="C215" s="98"/>
      <c r="D215" s="105" t="s">
        <v>135</v>
      </c>
      <c r="E215" s="51">
        <f>Місто!E218-'[1]Місто'!E213</f>
        <v>-1705610</v>
      </c>
      <c r="F215" s="51">
        <f>Місто!F218-'[1]Місто'!F213</f>
        <v>-1705610</v>
      </c>
      <c r="G215" s="51">
        <f>Місто!G218-'[1]Місто'!G213</f>
        <v>5333565</v>
      </c>
      <c r="H215" s="51">
        <f>Місто!H218-'[1]Місто'!H213</f>
        <v>0</v>
      </c>
      <c r="I215" s="51">
        <f>Місто!I218-'[1]Місто'!I213</f>
        <v>0</v>
      </c>
      <c r="J215" s="51">
        <f>Місто!J218-'[1]Місто'!J213</f>
        <v>10978785</v>
      </c>
      <c r="K215" s="51">
        <f>Місто!K218-'[1]Місто'!K213</f>
        <v>0</v>
      </c>
      <c r="L215" s="51">
        <f>Місто!L218-'[1]Місто'!L213</f>
        <v>0</v>
      </c>
      <c r="M215" s="51">
        <f>Місто!M218-'[1]Місто'!M213</f>
        <v>0</v>
      </c>
      <c r="N215" s="51">
        <f>Місто!N218-'[1]Місто'!N213</f>
        <v>10978785</v>
      </c>
      <c r="O215" s="51">
        <f>Місто!O218-'[1]Місто'!O213</f>
        <v>10978785</v>
      </c>
      <c r="P215" s="52">
        <f>Місто!P218-'[1]Місто'!P213</f>
        <v>9273175</v>
      </c>
      <c r="Q215" s="53"/>
      <c r="R215" s="59"/>
      <c r="W215" s="53">
        <f t="shared" si="3"/>
        <v>0</v>
      </c>
    </row>
    <row r="216" spans="1:23" ht="12.75">
      <c r="A216" s="42"/>
      <c r="B216" s="42" t="s">
        <v>362</v>
      </c>
      <c r="C216" s="42"/>
      <c r="D216" s="64" t="s">
        <v>363</v>
      </c>
      <c r="E216" s="37">
        <f>Місто!E219-'[1]Місто'!E214</f>
        <v>88930</v>
      </c>
      <c r="F216" s="37">
        <f>Місто!F219-'[1]Місто'!F214</f>
        <v>88930</v>
      </c>
      <c r="G216" s="37">
        <f>Місто!G219-'[1]Місто'!G214</f>
        <v>149045</v>
      </c>
      <c r="H216" s="37">
        <f>Місто!H219-'[1]Місто'!H214</f>
        <v>0</v>
      </c>
      <c r="I216" s="37">
        <f>Місто!I219-'[1]Місто'!I214</f>
        <v>0</v>
      </c>
      <c r="J216" s="38">
        <f>Місто!J219-'[1]Місто'!J214</f>
        <v>41908</v>
      </c>
      <c r="K216" s="37">
        <f>Місто!K219-'[1]Місто'!K214</f>
        <v>0</v>
      </c>
      <c r="L216" s="37">
        <f>Місто!L219-'[1]Місто'!L214</f>
        <v>0</v>
      </c>
      <c r="M216" s="37">
        <f>Місто!M219-'[1]Місто'!M214</f>
        <v>0</v>
      </c>
      <c r="N216" s="37">
        <f>Місто!N219-'[1]Місто'!N214</f>
        <v>41908</v>
      </c>
      <c r="O216" s="37">
        <f>Місто!O219-'[1]Місто'!O214</f>
        <v>41908</v>
      </c>
      <c r="P216" s="55">
        <f>Місто!P219-'[1]Місто'!P214</f>
        <v>130838</v>
      </c>
      <c r="Q216" s="53"/>
      <c r="R216" s="59"/>
      <c r="W216" s="53">
        <f t="shared" si="3"/>
        <v>0</v>
      </c>
    </row>
    <row r="217" spans="1:23" ht="12.75">
      <c r="A217" s="39"/>
      <c r="B217" s="39" t="s">
        <v>249</v>
      </c>
      <c r="C217" s="74" t="s">
        <v>441</v>
      </c>
      <c r="D217" s="75" t="s">
        <v>250</v>
      </c>
      <c r="E217" s="38">
        <f>Місто!E220-'[1]Місто'!E215</f>
        <v>88930</v>
      </c>
      <c r="F217" s="38">
        <f>Місто!F220-'[1]Місто'!F215</f>
        <v>88930</v>
      </c>
      <c r="G217" s="38">
        <f>Місто!G220-'[1]Місто'!G215</f>
        <v>149045</v>
      </c>
      <c r="H217" s="38">
        <f>Місто!H220-'[1]Місто'!H215</f>
        <v>0</v>
      </c>
      <c r="I217" s="38">
        <f>Місто!I220-'[1]Місто'!I215</f>
        <v>0</v>
      </c>
      <c r="J217" s="38">
        <f>Місто!J220-'[1]Місто'!J215</f>
        <v>41908</v>
      </c>
      <c r="K217" s="38">
        <f>Місто!K220-'[1]Місто'!K215</f>
        <v>0</v>
      </c>
      <c r="L217" s="38">
        <f>Місто!L220-'[1]Місто'!L215</f>
        <v>0</v>
      </c>
      <c r="M217" s="38">
        <f>Місто!M220-'[1]Місто'!M215</f>
        <v>0</v>
      </c>
      <c r="N217" s="38">
        <f>Місто!N220-'[1]Місто'!N215</f>
        <v>41908</v>
      </c>
      <c r="O217" s="38">
        <f>Місто!O220-'[1]Місто'!O215</f>
        <v>41908</v>
      </c>
      <c r="P217" s="55">
        <f>Місто!P220-'[1]Місто'!P215</f>
        <v>130838</v>
      </c>
      <c r="Q217" s="53"/>
      <c r="R217" s="59"/>
      <c r="W217" s="53">
        <f t="shared" si="3"/>
        <v>0</v>
      </c>
    </row>
    <row r="218" spans="1:23" ht="12.75">
      <c r="A218" s="39"/>
      <c r="B218" s="39" t="s">
        <v>275</v>
      </c>
      <c r="C218" s="39"/>
      <c r="D218" s="36" t="s">
        <v>240</v>
      </c>
      <c r="E218" s="38">
        <f>Місто!E221-'[1]Місто'!E216</f>
        <v>-1794540</v>
      </c>
      <c r="F218" s="38">
        <f>Місто!F221-'[1]Місто'!F216</f>
        <v>-1794540</v>
      </c>
      <c r="G218" s="38">
        <f>Місто!G221-'[1]Місто'!G216</f>
        <v>5184520</v>
      </c>
      <c r="H218" s="38">
        <f>Місто!H221-'[1]Місто'!H216</f>
        <v>0</v>
      </c>
      <c r="I218" s="38">
        <f>Місто!I221-'[1]Місто'!I216</f>
        <v>0</v>
      </c>
      <c r="J218" s="38">
        <f>Місто!J221-'[1]Місто'!J216</f>
        <v>8437938</v>
      </c>
      <c r="K218" s="38">
        <f>Місто!K221-'[1]Місто'!K216</f>
        <v>0</v>
      </c>
      <c r="L218" s="38">
        <f>Місто!L221-'[1]Місто'!L216</f>
        <v>0</v>
      </c>
      <c r="M218" s="38">
        <f>Місто!M221-'[1]Місто'!M216</f>
        <v>0</v>
      </c>
      <c r="N218" s="38">
        <f>Місто!N221-'[1]Місто'!N216</f>
        <v>8437938</v>
      </c>
      <c r="O218" s="38">
        <f>Місто!O221-'[1]Місто'!O216</f>
        <v>8437938</v>
      </c>
      <c r="P218" s="55">
        <f>Місто!P221-'[1]Місто'!P216</f>
        <v>6643398</v>
      </c>
      <c r="Q218" s="53"/>
      <c r="R218" s="59"/>
      <c r="W218" s="53">
        <f t="shared" si="3"/>
        <v>0</v>
      </c>
    </row>
    <row r="219" spans="1:23" ht="12.75">
      <c r="A219" s="39"/>
      <c r="B219" s="74" t="s">
        <v>2</v>
      </c>
      <c r="C219" s="74" t="s">
        <v>468</v>
      </c>
      <c r="D219" s="68" t="s">
        <v>276</v>
      </c>
      <c r="E219" s="38">
        <f>Місто!E222-'[1]Місто'!E217</f>
        <v>-81220</v>
      </c>
      <c r="F219" s="38">
        <f>Місто!F222-'[1]Місто'!F217</f>
        <v>-81220</v>
      </c>
      <c r="G219" s="38">
        <f>Місто!G222-'[1]Місто'!G217</f>
        <v>0</v>
      </c>
      <c r="H219" s="38">
        <f>Місто!H222-'[1]Місто'!H217</f>
        <v>0</v>
      </c>
      <c r="I219" s="38">
        <f>Місто!I222-'[1]Місто'!I217</f>
        <v>0</v>
      </c>
      <c r="J219" s="38">
        <f>Місто!J222-'[1]Місто'!J217</f>
        <v>0</v>
      </c>
      <c r="K219" s="38">
        <f>Місто!K222-'[1]Місто'!K217</f>
        <v>0</v>
      </c>
      <c r="L219" s="38">
        <f>Місто!L222-'[1]Місто'!L217</f>
        <v>0</v>
      </c>
      <c r="M219" s="38">
        <f>Місто!M222-'[1]Місто'!M217</f>
        <v>0</v>
      </c>
      <c r="N219" s="38">
        <f>Місто!N222-'[1]Місто'!N217</f>
        <v>0</v>
      </c>
      <c r="O219" s="38">
        <f>Місто!O222-'[1]Місто'!O217</f>
        <v>0</v>
      </c>
      <c r="P219" s="55">
        <f>Місто!P222-'[1]Місто'!P217</f>
        <v>-81220</v>
      </c>
      <c r="Q219" s="53"/>
      <c r="R219" s="59"/>
      <c r="W219" s="53">
        <f t="shared" si="3"/>
        <v>0</v>
      </c>
    </row>
    <row r="220" spans="1:23" ht="12.75">
      <c r="A220" s="39"/>
      <c r="B220" s="74" t="s">
        <v>3</v>
      </c>
      <c r="C220" s="74" t="s">
        <v>469</v>
      </c>
      <c r="D220" s="68" t="s">
        <v>277</v>
      </c>
      <c r="E220" s="38">
        <f>Місто!E223-'[1]Місто'!E218</f>
        <v>-508994</v>
      </c>
      <c r="F220" s="38">
        <f>Місто!F223-'[1]Місто'!F218</f>
        <v>-508994</v>
      </c>
      <c r="G220" s="38">
        <f>Місто!G223-'[1]Місто'!G218</f>
        <v>793988</v>
      </c>
      <c r="H220" s="38">
        <f>Місто!H223-'[1]Місто'!H218</f>
        <v>0</v>
      </c>
      <c r="I220" s="38">
        <f>Місто!I223-'[1]Місто'!I218</f>
        <v>0</v>
      </c>
      <c r="J220" s="38">
        <f>Місто!J223-'[1]Місто'!J218</f>
        <v>1116324</v>
      </c>
      <c r="K220" s="38">
        <f>Місто!K223-'[1]Місто'!K218</f>
        <v>0</v>
      </c>
      <c r="L220" s="38">
        <f>Місто!L223-'[1]Місто'!L218</f>
        <v>0</v>
      </c>
      <c r="M220" s="38">
        <f>Місто!M223-'[1]Місто'!M218</f>
        <v>0</v>
      </c>
      <c r="N220" s="38">
        <f>Місто!N223-'[1]Місто'!N218</f>
        <v>1116324</v>
      </c>
      <c r="O220" s="38">
        <f>Місто!O223-'[1]Місто'!O218</f>
        <v>1116324</v>
      </c>
      <c r="P220" s="55">
        <f>Місто!P223-'[1]Місто'!P218</f>
        <v>607330</v>
      </c>
      <c r="Q220" s="53"/>
      <c r="R220" s="59"/>
      <c r="W220" s="53">
        <f t="shared" si="3"/>
        <v>0</v>
      </c>
    </row>
    <row r="221" spans="1:23" ht="25.5">
      <c r="A221" s="39"/>
      <c r="B221" s="74" t="s">
        <v>4</v>
      </c>
      <c r="C221" s="74" t="s">
        <v>470</v>
      </c>
      <c r="D221" s="68" t="s">
        <v>350</v>
      </c>
      <c r="E221" s="38">
        <f>Місто!E224-'[1]Місто'!E219</f>
        <v>-906968</v>
      </c>
      <c r="F221" s="38">
        <f>Місто!F224-'[1]Місто'!F219</f>
        <v>-906968</v>
      </c>
      <c r="G221" s="38">
        <f>Місто!G224-'[1]Місто'!G219</f>
        <v>0</v>
      </c>
      <c r="H221" s="38">
        <f>Місто!H224-'[1]Місто'!H219</f>
        <v>0</v>
      </c>
      <c r="I221" s="38">
        <f>Місто!I224-'[1]Місто'!I219</f>
        <v>0</v>
      </c>
      <c r="J221" s="38">
        <f>Місто!J224-'[1]Місто'!J219</f>
        <v>1422630</v>
      </c>
      <c r="K221" s="38">
        <f>Місто!K224-'[1]Місто'!K219</f>
        <v>0</v>
      </c>
      <c r="L221" s="38">
        <f>Місто!L224-'[1]Місто'!L219</f>
        <v>0</v>
      </c>
      <c r="M221" s="38">
        <f>Місто!M224-'[1]Місто'!M219</f>
        <v>0</v>
      </c>
      <c r="N221" s="38">
        <f>Місто!N224-'[1]Місто'!N219</f>
        <v>1422630</v>
      </c>
      <c r="O221" s="38">
        <f>Місто!O224-'[1]Місто'!O219</f>
        <v>1422630</v>
      </c>
      <c r="P221" s="55">
        <f>Місто!P224-'[1]Місто'!P219</f>
        <v>515662</v>
      </c>
      <c r="Q221" s="53"/>
      <c r="R221" s="59"/>
      <c r="W221" s="53">
        <f t="shared" si="3"/>
        <v>0</v>
      </c>
    </row>
    <row r="222" spans="1:23" ht="12.75">
      <c r="A222" s="39"/>
      <c r="B222" s="74" t="s">
        <v>5</v>
      </c>
      <c r="C222" s="74" t="s">
        <v>448</v>
      </c>
      <c r="D222" s="68" t="s">
        <v>278</v>
      </c>
      <c r="E222" s="38">
        <f>Місто!E225-'[1]Місто'!E220</f>
        <v>-188630</v>
      </c>
      <c r="F222" s="38">
        <f>Місто!F225-'[1]Місто'!F220</f>
        <v>-188630</v>
      </c>
      <c r="G222" s="38">
        <f>Місто!G225-'[1]Місто'!G220</f>
        <v>4287127</v>
      </c>
      <c r="H222" s="38">
        <f>Місто!H225-'[1]Місто'!H220</f>
        <v>0</v>
      </c>
      <c r="I222" s="38">
        <f>Місто!I225-'[1]Місто'!I220</f>
        <v>0</v>
      </c>
      <c r="J222" s="38">
        <f>Місто!J225-'[1]Місто'!J220</f>
        <v>5898984</v>
      </c>
      <c r="K222" s="38">
        <f>Місто!K225-'[1]Місто'!K220</f>
        <v>0</v>
      </c>
      <c r="L222" s="38">
        <f>Місто!L225-'[1]Місто'!L220</f>
        <v>0</v>
      </c>
      <c r="M222" s="38">
        <f>Місто!M225-'[1]Місто'!M220</f>
        <v>0</v>
      </c>
      <c r="N222" s="38">
        <f>Місто!N225-'[1]Місто'!N220</f>
        <v>5898984</v>
      </c>
      <c r="O222" s="76">
        <f>Місто!O225-'[1]Місто'!O220</f>
        <v>5898984</v>
      </c>
      <c r="P222" s="55">
        <f>Місто!P225-'[1]Місто'!P220</f>
        <v>5710354</v>
      </c>
      <c r="Q222" s="53"/>
      <c r="R222" s="59"/>
      <c r="W222" s="53">
        <f t="shared" si="3"/>
        <v>0</v>
      </c>
    </row>
    <row r="223" spans="1:23" ht="102" hidden="1">
      <c r="A223" s="39"/>
      <c r="B223" s="39" t="s">
        <v>85</v>
      </c>
      <c r="C223" s="39"/>
      <c r="D223" s="36" t="s">
        <v>84</v>
      </c>
      <c r="E223" s="38">
        <f>Місто!E226-'[1]Місто'!E221</f>
        <v>0</v>
      </c>
      <c r="F223" s="38">
        <f>Місто!F226-'[1]Місто'!F221</f>
        <v>0</v>
      </c>
      <c r="G223" s="38">
        <f>Місто!G226-'[1]Місто'!G221</f>
        <v>0</v>
      </c>
      <c r="H223" s="38">
        <f>Місто!H226-'[1]Місто'!H221</f>
        <v>0</v>
      </c>
      <c r="I223" s="38">
        <f>Місто!I226-'[1]Місто'!I221</f>
        <v>0</v>
      </c>
      <c r="J223" s="38">
        <f>Місто!J226-'[1]Місто'!J221</f>
        <v>0</v>
      </c>
      <c r="K223" s="38">
        <f>Місто!K226-'[1]Місто'!K221</f>
        <v>0</v>
      </c>
      <c r="L223" s="38">
        <f>Місто!L226-'[1]Місто'!L221</f>
        <v>0</v>
      </c>
      <c r="M223" s="38">
        <f>Місто!M226-'[1]Місто'!M221</f>
        <v>0</v>
      </c>
      <c r="N223" s="38">
        <f>Місто!N226-'[1]Місто'!N221</f>
        <v>0</v>
      </c>
      <c r="O223" s="38">
        <f>Місто!O226-'[1]Місто'!O221</f>
        <v>0</v>
      </c>
      <c r="P223" s="55">
        <f>Місто!P226-'[1]Місто'!P221</f>
        <v>0</v>
      </c>
      <c r="Q223" s="53"/>
      <c r="R223" s="59"/>
      <c r="W223" s="53">
        <f t="shared" si="3"/>
        <v>0</v>
      </c>
    </row>
    <row r="224" spans="1:23" ht="25.5" hidden="1">
      <c r="A224" s="39"/>
      <c r="B224" s="39"/>
      <c r="C224" s="39"/>
      <c r="D224" s="36" t="s">
        <v>381</v>
      </c>
      <c r="E224" s="38">
        <f>Місто!E227-'[1]Місто'!E222</f>
        <v>0</v>
      </c>
      <c r="F224" s="38">
        <f>Місто!F227-'[1]Місто'!F222</f>
        <v>0</v>
      </c>
      <c r="G224" s="38">
        <f>Місто!G227-'[1]Місто'!G222</f>
        <v>0</v>
      </c>
      <c r="H224" s="38">
        <f>Місто!H227-'[1]Місто'!H222</f>
        <v>0</v>
      </c>
      <c r="I224" s="38">
        <f>Місто!I227-'[1]Місто'!I222</f>
        <v>0</v>
      </c>
      <c r="J224" s="38">
        <f>Місто!J227-'[1]Місто'!J222</f>
        <v>0</v>
      </c>
      <c r="K224" s="38">
        <f>Місто!K227-'[1]Місто'!K222</f>
        <v>0</v>
      </c>
      <c r="L224" s="38">
        <f>Місто!L227-'[1]Місто'!L222</f>
        <v>0</v>
      </c>
      <c r="M224" s="38">
        <f>Місто!M227-'[1]Місто'!M222</f>
        <v>0</v>
      </c>
      <c r="N224" s="38">
        <f>Місто!N227-'[1]Місто'!N222</f>
        <v>0</v>
      </c>
      <c r="O224" s="38">
        <f>Місто!O227-'[1]Місто'!O222</f>
        <v>0</v>
      </c>
      <c r="P224" s="55">
        <f>Місто!P227-'[1]Місто'!P222</f>
        <v>0</v>
      </c>
      <c r="Q224" s="53"/>
      <c r="R224" s="59"/>
      <c r="W224" s="53">
        <f t="shared" si="3"/>
        <v>0</v>
      </c>
    </row>
    <row r="225" spans="1:23" ht="12.75">
      <c r="A225" s="39"/>
      <c r="B225" s="39" t="s">
        <v>393</v>
      </c>
      <c r="C225" s="74" t="s">
        <v>471</v>
      </c>
      <c r="D225" s="36" t="s">
        <v>394</v>
      </c>
      <c r="E225" s="38">
        <f>Місто!E228-'[1]Місто'!E223</f>
        <v>0</v>
      </c>
      <c r="F225" s="38">
        <f>Місто!F228-'[1]Місто'!F223</f>
        <v>0</v>
      </c>
      <c r="G225" s="38">
        <f>Місто!G228-'[1]Місто'!G223</f>
        <v>0</v>
      </c>
      <c r="H225" s="38">
        <f>Місто!H228-'[1]Місто'!H223</f>
        <v>0</v>
      </c>
      <c r="I225" s="38">
        <f>Місто!I228-'[1]Місто'!I223</f>
        <v>0</v>
      </c>
      <c r="J225" s="38">
        <f>Місто!J228-'[1]Місто'!J223</f>
        <v>0</v>
      </c>
      <c r="K225" s="38">
        <f>Місто!K228-'[1]Місто'!K223</f>
        <v>0</v>
      </c>
      <c r="L225" s="38">
        <f>Місто!L228-'[1]Місто'!L223</f>
        <v>0</v>
      </c>
      <c r="M225" s="38">
        <f>Місто!M228-'[1]Місто'!M223</f>
        <v>0</v>
      </c>
      <c r="N225" s="38">
        <f>Місто!N228-'[1]Місто'!N223</f>
        <v>0</v>
      </c>
      <c r="O225" s="38">
        <f>Місто!O228-'[1]Місто'!O223</f>
        <v>0</v>
      </c>
      <c r="P225" s="55">
        <f>Місто!P228-'[1]Місто'!P223</f>
        <v>0</v>
      </c>
      <c r="Q225" s="53"/>
      <c r="R225" s="59"/>
      <c r="W225" s="53">
        <f t="shared" si="3"/>
        <v>0</v>
      </c>
    </row>
    <row r="226" spans="1:23" ht="25.5">
      <c r="A226" s="39"/>
      <c r="B226" s="74" t="s">
        <v>6</v>
      </c>
      <c r="C226" s="74" t="s">
        <v>472</v>
      </c>
      <c r="D226" s="36" t="s">
        <v>279</v>
      </c>
      <c r="E226" s="38">
        <f>Місто!E229-'[1]Місто'!E224</f>
        <v>-108728</v>
      </c>
      <c r="F226" s="38">
        <f>Місто!F229-'[1]Місто'!F224</f>
        <v>-108728</v>
      </c>
      <c r="G226" s="38">
        <f>Місто!G229-'[1]Місто'!G224</f>
        <v>103405</v>
      </c>
      <c r="H226" s="38">
        <f>Місто!H229-'[1]Місто'!H224</f>
        <v>0</v>
      </c>
      <c r="I226" s="38">
        <f>Місто!I229-'[1]Місто'!I224</f>
        <v>0</v>
      </c>
      <c r="J226" s="38">
        <f>Місто!J229-'[1]Місто'!J224</f>
        <v>0</v>
      </c>
      <c r="K226" s="38">
        <f>Місто!K229-'[1]Місто'!K224</f>
        <v>0</v>
      </c>
      <c r="L226" s="38">
        <f>Місто!L229-'[1]Місто'!L224</f>
        <v>0</v>
      </c>
      <c r="M226" s="38">
        <f>Місто!M229-'[1]Місто'!M224</f>
        <v>0</v>
      </c>
      <c r="N226" s="38">
        <f>Місто!N229-'[1]Місто'!N224</f>
        <v>0</v>
      </c>
      <c r="O226" s="38">
        <f>Місто!O229-'[1]Місто'!O224</f>
        <v>0</v>
      </c>
      <c r="P226" s="55">
        <f>Місто!P229-'[1]Місто'!P224</f>
        <v>-108728</v>
      </c>
      <c r="Q226" s="53"/>
      <c r="R226" s="59"/>
      <c r="W226" s="53">
        <f t="shared" si="3"/>
        <v>0</v>
      </c>
    </row>
    <row r="227" spans="1:23" ht="12.75" hidden="1">
      <c r="A227" s="39"/>
      <c r="B227" s="39" t="s">
        <v>366</v>
      </c>
      <c r="C227" s="39"/>
      <c r="D227" s="36" t="s">
        <v>283</v>
      </c>
      <c r="E227" s="38">
        <f>Місто!E230-'[1]Місто'!E225</f>
        <v>0</v>
      </c>
      <c r="F227" s="38">
        <f>Місто!F230-'[1]Місто'!F225</f>
        <v>0</v>
      </c>
      <c r="G227" s="38">
        <f>Місто!G230-'[1]Місто'!G225</f>
        <v>0</v>
      </c>
      <c r="H227" s="38">
        <f>Місто!H230-'[1]Місто'!H225</f>
        <v>0</v>
      </c>
      <c r="I227" s="38">
        <f>Місто!I230-'[1]Місто'!I225</f>
        <v>0</v>
      </c>
      <c r="J227" s="38">
        <f>Місто!J230-'[1]Місто'!J225</f>
        <v>2498939</v>
      </c>
      <c r="K227" s="38">
        <f>Місто!K230-'[1]Місто'!K225</f>
        <v>0</v>
      </c>
      <c r="L227" s="38">
        <f>Місто!L230-'[1]Місто'!L225</f>
        <v>0</v>
      </c>
      <c r="M227" s="38">
        <f>Місто!M230-'[1]Місто'!M225</f>
        <v>0</v>
      </c>
      <c r="N227" s="38">
        <f>Місто!N230-'[1]Місто'!N225</f>
        <v>2498939</v>
      </c>
      <c r="O227" s="38">
        <f>Місто!O230-'[1]Місто'!O225</f>
        <v>2498939</v>
      </c>
      <c r="P227" s="55">
        <f>Місто!P230-'[1]Місто'!P225</f>
        <v>2498939</v>
      </c>
      <c r="Q227" s="53"/>
      <c r="R227" s="59"/>
      <c r="W227" s="53">
        <f t="shared" si="3"/>
        <v>0</v>
      </c>
    </row>
    <row r="228" spans="1:23" s="54" customFormat="1" ht="12.75" hidden="1">
      <c r="A228" s="39"/>
      <c r="B228" s="39" t="s">
        <v>338</v>
      </c>
      <c r="C228" s="74" t="s">
        <v>443</v>
      </c>
      <c r="D228" s="36" t="s">
        <v>339</v>
      </c>
      <c r="E228" s="38">
        <f>Місто!E231-'[1]Місто'!E226</f>
        <v>0</v>
      </c>
      <c r="F228" s="38">
        <f>Місто!F231-'[1]Місто'!F226</f>
        <v>0</v>
      </c>
      <c r="G228" s="38">
        <f>Місто!G231-'[1]Місто'!G226</f>
        <v>0</v>
      </c>
      <c r="H228" s="38">
        <f>Місто!H231-'[1]Місто'!H226</f>
        <v>0</v>
      </c>
      <c r="I228" s="38">
        <f>Місто!I231-'[1]Місто'!I226</f>
        <v>0</v>
      </c>
      <c r="J228" s="38">
        <f>Місто!J231-'[1]Місто'!J226</f>
        <v>2498939</v>
      </c>
      <c r="K228" s="38">
        <f>Місто!K231-'[1]Місто'!K226</f>
        <v>0</v>
      </c>
      <c r="L228" s="38">
        <f>Місто!L231-'[1]Місто'!L226</f>
        <v>0</v>
      </c>
      <c r="M228" s="38">
        <f>Місто!M231-'[1]Місто'!M226</f>
        <v>0</v>
      </c>
      <c r="N228" s="38">
        <f>Місто!N231-'[1]Місто'!N226</f>
        <v>2498939</v>
      </c>
      <c r="O228" s="76">
        <f>Місто!O231-'[1]Місто'!O226</f>
        <v>2498939</v>
      </c>
      <c r="P228" s="55">
        <f>Місто!P231-'[1]Місто'!P226</f>
        <v>2498939</v>
      </c>
      <c r="Q228" s="53"/>
      <c r="R228" s="53"/>
      <c r="W228" s="53">
        <f t="shared" si="3"/>
        <v>0</v>
      </c>
    </row>
    <row r="229" spans="1:23" s="57" customFormat="1" ht="12.75" hidden="1">
      <c r="A229" s="39"/>
      <c r="B229" s="39" t="s">
        <v>369</v>
      </c>
      <c r="C229" s="39"/>
      <c r="D229" s="36" t="s">
        <v>373</v>
      </c>
      <c r="E229" s="38">
        <f>Місто!E232-'[1]Місто'!E227</f>
        <v>0</v>
      </c>
      <c r="F229" s="38">
        <f>Місто!F232-'[1]Місто'!F227</f>
        <v>0</v>
      </c>
      <c r="G229" s="38">
        <f>Місто!G232-'[1]Місто'!G227</f>
        <v>0</v>
      </c>
      <c r="H229" s="38">
        <f>Місто!H232-'[1]Місто'!H227</f>
        <v>0</v>
      </c>
      <c r="I229" s="38">
        <f>Місто!I232-'[1]Місто'!I227</f>
        <v>0</v>
      </c>
      <c r="J229" s="38">
        <f>Місто!J232-'[1]Місто'!J227</f>
        <v>0</v>
      </c>
      <c r="K229" s="38">
        <f>Місто!K232-'[1]Місто'!K227</f>
        <v>0</v>
      </c>
      <c r="L229" s="38">
        <f>Місто!L232-'[1]Місто'!L227</f>
        <v>0</v>
      </c>
      <c r="M229" s="38">
        <f>Місто!M232-'[1]Місто'!M227</f>
        <v>0</v>
      </c>
      <c r="N229" s="38">
        <f>Місто!N232-'[1]Місто'!N227</f>
        <v>0</v>
      </c>
      <c r="O229" s="38">
        <f>Місто!O232-'[1]Місто'!O227</f>
        <v>0</v>
      </c>
      <c r="P229" s="55">
        <f>Місто!P232-'[1]Місто'!P227</f>
        <v>0</v>
      </c>
      <c r="Q229" s="53"/>
      <c r="R229" s="56"/>
      <c r="W229" s="53">
        <f t="shared" si="3"/>
        <v>0</v>
      </c>
    </row>
    <row r="230" spans="1:23" ht="25.5" hidden="1">
      <c r="A230" s="39"/>
      <c r="B230" s="39" t="s">
        <v>287</v>
      </c>
      <c r="C230" s="74" t="s">
        <v>444</v>
      </c>
      <c r="D230" s="60" t="s">
        <v>333</v>
      </c>
      <c r="E230" s="38">
        <f>Місто!E233-'[1]Місто'!E228</f>
        <v>0</v>
      </c>
      <c r="F230" s="38">
        <f>Місто!F233-'[1]Місто'!F228</f>
        <v>0</v>
      </c>
      <c r="G230" s="38">
        <f>Місто!G233-'[1]Місто'!G228</f>
        <v>0</v>
      </c>
      <c r="H230" s="38">
        <f>Місто!H233-'[1]Місто'!H228</f>
        <v>0</v>
      </c>
      <c r="I230" s="38">
        <f>Місто!I233-'[1]Місто'!I228</f>
        <v>0</v>
      </c>
      <c r="J230" s="38">
        <f>Місто!J233-'[1]Місто'!J228</f>
        <v>0</v>
      </c>
      <c r="K230" s="38">
        <f>Місто!K233-'[1]Місто'!K228</f>
        <v>0</v>
      </c>
      <c r="L230" s="38">
        <f>Місто!L233-'[1]Місто'!L228</f>
        <v>0</v>
      </c>
      <c r="M230" s="38">
        <f>Місто!M233-'[1]Місто'!M228</f>
        <v>0</v>
      </c>
      <c r="N230" s="38">
        <f>Місто!N233-'[1]Місто'!N228</f>
        <v>0</v>
      </c>
      <c r="O230" s="38">
        <f>Місто!O233-'[1]Місто'!O228</f>
        <v>0</v>
      </c>
      <c r="P230" s="55">
        <f>Місто!P233-'[1]Місто'!P228</f>
        <v>0</v>
      </c>
      <c r="Q230" s="53"/>
      <c r="R230" s="59"/>
      <c r="W230" s="53">
        <f t="shared" si="3"/>
        <v>0</v>
      </c>
    </row>
    <row r="231" spans="1:23" ht="18.75" customHeight="1" hidden="1">
      <c r="A231" s="39"/>
      <c r="B231" s="39" t="s">
        <v>371</v>
      </c>
      <c r="C231" s="39"/>
      <c r="D231" s="43" t="s">
        <v>372</v>
      </c>
      <c r="E231" s="38">
        <f>Місто!E234-'[1]Місто'!E229</f>
        <v>0</v>
      </c>
      <c r="F231" s="38">
        <f>Місто!F234-'[1]Місто'!F229</f>
        <v>0</v>
      </c>
      <c r="G231" s="38">
        <f>Місто!G234-'[1]Місто'!G229</f>
        <v>0</v>
      </c>
      <c r="H231" s="38">
        <f>Місто!H234-'[1]Місто'!H229</f>
        <v>0</v>
      </c>
      <c r="I231" s="38">
        <f>Місто!I234-'[1]Місто'!I229</f>
        <v>0</v>
      </c>
      <c r="J231" s="38">
        <f>Місто!J234-'[1]Місто'!J229</f>
        <v>0</v>
      </c>
      <c r="K231" s="38">
        <f>Місто!K234-'[1]Місто'!K229</f>
        <v>0</v>
      </c>
      <c r="L231" s="38">
        <f>Місто!L234-'[1]Місто'!L229</f>
        <v>0</v>
      </c>
      <c r="M231" s="38">
        <f>Місто!M234-'[1]Місто'!M229</f>
        <v>0</v>
      </c>
      <c r="N231" s="38">
        <f>Місто!N234-'[1]Місто'!N229</f>
        <v>0</v>
      </c>
      <c r="O231" s="38">
        <f>Місто!O234-'[1]Місто'!O229</f>
        <v>0</v>
      </c>
      <c r="P231" s="55">
        <f>Місто!P234-'[1]Місто'!P229</f>
        <v>0</v>
      </c>
      <c r="Q231" s="53"/>
      <c r="R231" s="59"/>
      <c r="W231" s="53">
        <f t="shared" si="3"/>
        <v>0</v>
      </c>
    </row>
    <row r="232" spans="1:23" ht="12.75" hidden="1">
      <c r="A232" s="39"/>
      <c r="B232" s="39" t="s">
        <v>288</v>
      </c>
      <c r="C232" s="39"/>
      <c r="D232" s="36" t="s">
        <v>316</v>
      </c>
      <c r="E232" s="38">
        <f>Місто!E235-'[1]Місто'!E230</f>
        <v>0</v>
      </c>
      <c r="F232" s="38">
        <f>Місто!F235-'[1]Місто'!F230</f>
        <v>0</v>
      </c>
      <c r="G232" s="38">
        <f>Місто!G235-'[1]Місто'!G230</f>
        <v>0</v>
      </c>
      <c r="H232" s="38">
        <f>Місто!H235-'[1]Місто'!H230</f>
        <v>0</v>
      </c>
      <c r="I232" s="38">
        <f>Місто!I235-'[1]Місто'!I230</f>
        <v>0</v>
      </c>
      <c r="J232" s="38">
        <f>Місто!J235-'[1]Місто'!J230</f>
        <v>0</v>
      </c>
      <c r="K232" s="38">
        <f>Місто!K235-'[1]Місто'!K230</f>
        <v>0</v>
      </c>
      <c r="L232" s="38">
        <f>Місто!L235-'[1]Місто'!L230</f>
        <v>0</v>
      </c>
      <c r="M232" s="38">
        <f>Місто!M235-'[1]Місто'!M230</f>
        <v>0</v>
      </c>
      <c r="N232" s="38">
        <f>Місто!N235-'[1]Місто'!N230</f>
        <v>0</v>
      </c>
      <c r="O232" s="38">
        <f>Місто!O235-'[1]Місто'!O230</f>
        <v>0</v>
      </c>
      <c r="P232" s="55">
        <f>Місто!P235-'[1]Місто'!P230</f>
        <v>0</v>
      </c>
      <c r="Q232" s="53"/>
      <c r="R232" s="59"/>
      <c r="W232" s="53">
        <f t="shared" si="3"/>
        <v>0</v>
      </c>
    </row>
    <row r="233" spans="1:23" ht="12.75" hidden="1">
      <c r="A233" s="39"/>
      <c r="B233" s="39"/>
      <c r="C233" s="39"/>
      <c r="D233" s="60"/>
      <c r="E233" s="38">
        <f>Місто!E236-'[1]Місто'!E231</f>
        <v>0</v>
      </c>
      <c r="F233" s="38">
        <f>Місто!F236-'[1]Місто'!F231</f>
        <v>0</v>
      </c>
      <c r="G233" s="38">
        <f>Місто!G236-'[1]Місто'!G231</f>
        <v>0</v>
      </c>
      <c r="H233" s="38">
        <f>Місто!H236-'[1]Місто'!H231</f>
        <v>0</v>
      </c>
      <c r="I233" s="38">
        <f>Місто!I236-'[1]Місто'!I231</f>
        <v>0</v>
      </c>
      <c r="J233" s="38">
        <f>Місто!J236-'[1]Місто'!J231</f>
        <v>0</v>
      </c>
      <c r="K233" s="38">
        <f>Місто!K236-'[1]Місто'!K231</f>
        <v>0</v>
      </c>
      <c r="L233" s="38">
        <f>Місто!L236-'[1]Місто'!L231</f>
        <v>0</v>
      </c>
      <c r="M233" s="38">
        <f>Місто!M236-'[1]Місто'!M231</f>
        <v>0</v>
      </c>
      <c r="N233" s="38">
        <f>Місто!N236-'[1]Місто'!N231</f>
        <v>0</v>
      </c>
      <c r="O233" s="38">
        <f>Місто!O236-'[1]Місто'!O231</f>
        <v>0</v>
      </c>
      <c r="P233" s="55">
        <f>Місто!P236-'[1]Місто'!P231</f>
        <v>0</v>
      </c>
      <c r="Q233" s="53"/>
      <c r="R233" s="59"/>
      <c r="W233" s="53">
        <f t="shared" si="3"/>
        <v>0</v>
      </c>
    </row>
    <row r="234" spans="1:23" ht="25.5" hidden="1">
      <c r="A234" s="98"/>
      <c r="B234" s="98" t="s">
        <v>230</v>
      </c>
      <c r="C234" s="98"/>
      <c r="D234" s="104" t="s">
        <v>231</v>
      </c>
      <c r="E234" s="51">
        <f>Місто!E237-'[1]Місто'!E232</f>
        <v>0</v>
      </c>
      <c r="F234" s="51">
        <f>Місто!F237-'[1]Місто'!F232</f>
        <v>0</v>
      </c>
      <c r="G234" s="51">
        <f>Місто!G237-'[1]Місто'!G232</f>
        <v>0</v>
      </c>
      <c r="H234" s="51">
        <f>Місто!H237-'[1]Місто'!H232</f>
        <v>0</v>
      </c>
      <c r="I234" s="51">
        <f>Місто!I237-'[1]Місто'!I232</f>
        <v>0</v>
      </c>
      <c r="J234" s="51">
        <f>Місто!J237-'[1]Місто'!J232</f>
        <v>0</v>
      </c>
      <c r="K234" s="51">
        <f>Місто!K237-'[1]Місто'!K232</f>
        <v>0</v>
      </c>
      <c r="L234" s="51">
        <f>Місто!L237-'[1]Місто'!L232</f>
        <v>0</v>
      </c>
      <c r="M234" s="51">
        <f>Місто!M237-'[1]Місто'!M232</f>
        <v>0</v>
      </c>
      <c r="N234" s="51">
        <f>Місто!N237-'[1]Місто'!N232</f>
        <v>0</v>
      </c>
      <c r="O234" s="51">
        <f>Місто!O237-'[1]Місто'!O232</f>
        <v>0</v>
      </c>
      <c r="P234" s="52">
        <f>Місто!P237-'[1]Місто'!P232</f>
        <v>0</v>
      </c>
      <c r="Q234" s="53"/>
      <c r="R234" s="59"/>
      <c r="W234" s="53">
        <f t="shared" si="3"/>
        <v>0</v>
      </c>
    </row>
    <row r="235" spans="1:23" ht="12.75" hidden="1">
      <c r="A235" s="42"/>
      <c r="B235" s="42" t="s">
        <v>362</v>
      </c>
      <c r="C235" s="42"/>
      <c r="D235" s="64" t="s">
        <v>363</v>
      </c>
      <c r="E235" s="37">
        <f>Місто!E238-'[1]Місто'!E233</f>
        <v>0</v>
      </c>
      <c r="F235" s="37">
        <f>Місто!F238-'[1]Місто'!F233</f>
        <v>0</v>
      </c>
      <c r="G235" s="37">
        <f>Місто!G238-'[1]Місто'!G233</f>
        <v>0</v>
      </c>
      <c r="H235" s="37">
        <f>Місто!H238-'[1]Місто'!H233</f>
        <v>0</v>
      </c>
      <c r="I235" s="37">
        <f>Місто!I238-'[1]Місто'!I233</f>
        <v>0</v>
      </c>
      <c r="J235" s="38">
        <f>Місто!J238-'[1]Місто'!J233</f>
        <v>0</v>
      </c>
      <c r="K235" s="38">
        <f>Місто!K238-'[1]Місто'!K233</f>
        <v>0</v>
      </c>
      <c r="L235" s="38">
        <f>Місто!L238-'[1]Місто'!L233</f>
        <v>0</v>
      </c>
      <c r="M235" s="38">
        <f>Місто!M238-'[1]Місто'!M233</f>
        <v>0</v>
      </c>
      <c r="N235" s="38">
        <f>Місто!N238-'[1]Місто'!N233</f>
        <v>0</v>
      </c>
      <c r="O235" s="76">
        <f>Місто!O238-'[1]Місто'!O233</f>
        <v>0</v>
      </c>
      <c r="P235" s="55">
        <f>Місто!P238-'[1]Місто'!P233</f>
        <v>0</v>
      </c>
      <c r="Q235" s="53"/>
      <c r="R235" s="59"/>
      <c r="W235" s="53">
        <f t="shared" si="3"/>
        <v>0</v>
      </c>
    </row>
    <row r="236" spans="1:23" ht="12.75" hidden="1">
      <c r="A236" s="39"/>
      <c r="B236" s="39" t="s">
        <v>249</v>
      </c>
      <c r="C236" s="39"/>
      <c r="D236" s="75" t="s">
        <v>250</v>
      </c>
      <c r="E236" s="38">
        <f>Місто!E239-'[1]Місто'!E234</f>
        <v>0</v>
      </c>
      <c r="F236" s="38">
        <f>Місто!F239-'[1]Місто'!F234</f>
        <v>0</v>
      </c>
      <c r="G236" s="38">
        <f>Місто!G239-'[1]Місто'!G234</f>
        <v>0</v>
      </c>
      <c r="H236" s="38">
        <f>Місто!H239-'[1]Місто'!H234</f>
        <v>0</v>
      </c>
      <c r="I236" s="38">
        <f>Місто!I239-'[1]Місто'!I234</f>
        <v>0</v>
      </c>
      <c r="J236" s="38">
        <f>Місто!J239-'[1]Місто'!J234</f>
        <v>0</v>
      </c>
      <c r="K236" s="38">
        <f>Місто!K239-'[1]Місто'!K234</f>
        <v>0</v>
      </c>
      <c r="L236" s="38">
        <f>Місто!L239-'[1]Місто'!L234</f>
        <v>0</v>
      </c>
      <c r="M236" s="38">
        <f>Місто!M239-'[1]Місто'!M234</f>
        <v>0</v>
      </c>
      <c r="N236" s="38">
        <f>Місто!N239-'[1]Місто'!N234</f>
        <v>0</v>
      </c>
      <c r="O236" s="38">
        <f>Місто!O239-'[1]Місто'!O234</f>
        <v>0</v>
      </c>
      <c r="P236" s="55">
        <f>Місто!P239-'[1]Місто'!P234</f>
        <v>0</v>
      </c>
      <c r="Q236" s="53"/>
      <c r="R236" s="59"/>
      <c r="W236" s="53">
        <f t="shared" si="3"/>
        <v>0</v>
      </c>
    </row>
    <row r="237" spans="1:23" ht="38.25">
      <c r="A237" s="98"/>
      <c r="B237" s="98" t="s">
        <v>177</v>
      </c>
      <c r="C237" s="98"/>
      <c r="D237" s="104" t="s">
        <v>154</v>
      </c>
      <c r="E237" s="51">
        <f>Місто!E240-'[1]Місто'!E235</f>
        <v>3455923</v>
      </c>
      <c r="F237" s="51">
        <f>Місто!F240-'[1]Місто'!F235</f>
        <v>3455923</v>
      </c>
      <c r="G237" s="51">
        <f>Місто!G240-'[1]Місто'!G235</f>
        <v>620050</v>
      </c>
      <c r="H237" s="51">
        <f>Місто!H240-'[1]Місто'!H235</f>
        <v>99163</v>
      </c>
      <c r="I237" s="51">
        <f>Місто!I240-'[1]Місто'!I235</f>
        <v>0</v>
      </c>
      <c r="J237" s="51">
        <f>Місто!J240-'[1]Місто'!J235</f>
        <v>-3085987</v>
      </c>
      <c r="K237" s="51">
        <f>Місто!K240-'[1]Місто'!K235</f>
        <v>0</v>
      </c>
      <c r="L237" s="51">
        <f>Місто!L240-'[1]Місто'!L235</f>
        <v>0</v>
      </c>
      <c r="M237" s="51">
        <f>Місто!M240-'[1]Місто'!M235</f>
        <v>0</v>
      </c>
      <c r="N237" s="51">
        <f>Місто!N240-'[1]Місто'!N235</f>
        <v>-3085987</v>
      </c>
      <c r="O237" s="51">
        <f>Місто!O240-'[1]Місто'!O235</f>
        <v>-3085987</v>
      </c>
      <c r="P237" s="52">
        <f>Місто!P240-'[1]Місто'!P235</f>
        <v>369936</v>
      </c>
      <c r="Q237" s="53"/>
      <c r="R237" s="59"/>
      <c r="W237" s="53">
        <f t="shared" si="3"/>
        <v>0</v>
      </c>
    </row>
    <row r="238" spans="1:23" ht="12.75">
      <c r="A238" s="42"/>
      <c r="B238" s="42" t="s">
        <v>362</v>
      </c>
      <c r="C238" s="42"/>
      <c r="D238" s="43" t="s">
        <v>363</v>
      </c>
      <c r="E238" s="37">
        <f>Місто!E241-'[1]Місто'!E236</f>
        <v>3455923</v>
      </c>
      <c r="F238" s="37">
        <f>Місто!F241-'[1]Місто'!F236</f>
        <v>3455923</v>
      </c>
      <c r="G238" s="37">
        <f>Місто!G241-'[1]Місто'!G236</f>
        <v>620050</v>
      </c>
      <c r="H238" s="37">
        <f>Місто!H241-'[1]Місто'!H236</f>
        <v>99163</v>
      </c>
      <c r="I238" s="37">
        <f>Місто!I241-'[1]Місто'!I236</f>
        <v>0</v>
      </c>
      <c r="J238" s="38">
        <f>Місто!J241-'[1]Місто'!J236</f>
        <v>3265882</v>
      </c>
      <c r="K238" s="37">
        <f>Місто!K241-'[1]Місто'!K236</f>
        <v>0</v>
      </c>
      <c r="L238" s="37">
        <f>Місто!L241-'[1]Місто'!L236</f>
        <v>0</v>
      </c>
      <c r="M238" s="37">
        <f>Місто!M241-'[1]Місто'!M236</f>
        <v>0</v>
      </c>
      <c r="N238" s="37">
        <f>Місто!N241-'[1]Місто'!N236</f>
        <v>3265882</v>
      </c>
      <c r="O238" s="37">
        <f>Місто!O241-'[1]Місто'!O236</f>
        <v>3265882</v>
      </c>
      <c r="P238" s="55">
        <f>Місто!P241-'[1]Місто'!P236</f>
        <v>6721805</v>
      </c>
      <c r="Q238" s="53"/>
      <c r="R238" s="59"/>
      <c r="W238" s="53">
        <f t="shared" si="3"/>
        <v>0</v>
      </c>
    </row>
    <row r="239" spans="1:23" ht="12.75">
      <c r="A239" s="39"/>
      <c r="B239" s="39" t="s">
        <v>249</v>
      </c>
      <c r="C239" s="74" t="s">
        <v>441</v>
      </c>
      <c r="D239" s="58" t="s">
        <v>250</v>
      </c>
      <c r="E239" s="38">
        <f>Місто!E242-'[1]Місто'!E237</f>
        <v>3455923</v>
      </c>
      <c r="F239" s="38">
        <f>Місто!F242-'[1]Місто'!F237</f>
        <v>3455923</v>
      </c>
      <c r="G239" s="38">
        <f>Місто!G242-'[1]Місто'!G237</f>
        <v>620050</v>
      </c>
      <c r="H239" s="38">
        <f>Місто!H242-'[1]Місто'!H237</f>
        <v>99163</v>
      </c>
      <c r="I239" s="38">
        <f>Місто!I242-'[1]Місто'!I237</f>
        <v>0</v>
      </c>
      <c r="J239" s="38">
        <f>Місто!J242-'[1]Місто'!J237</f>
        <v>3265882</v>
      </c>
      <c r="K239" s="38">
        <f>Місто!K242-'[1]Місто'!K237</f>
        <v>0</v>
      </c>
      <c r="L239" s="38">
        <f>Місто!L242-'[1]Місто'!L237</f>
        <v>0</v>
      </c>
      <c r="M239" s="38">
        <f>Місто!M242-'[1]Місто'!M237</f>
        <v>0</v>
      </c>
      <c r="N239" s="38">
        <f>Місто!N242-'[1]Місто'!N237</f>
        <v>3265882</v>
      </c>
      <c r="O239" s="38">
        <f>Місто!O242-'[1]Місто'!O237</f>
        <v>3265882</v>
      </c>
      <c r="P239" s="55">
        <f>Місто!P242-'[1]Місто'!P237</f>
        <v>6721805</v>
      </c>
      <c r="Q239" s="53"/>
      <c r="R239" s="59"/>
      <c r="W239" s="53">
        <f t="shared" si="3"/>
        <v>0</v>
      </c>
    </row>
    <row r="240" spans="1:23" ht="12.75">
      <c r="A240" s="39"/>
      <c r="B240" s="39" t="s">
        <v>366</v>
      </c>
      <c r="C240" s="39"/>
      <c r="D240" s="36" t="s">
        <v>283</v>
      </c>
      <c r="E240" s="38">
        <f>Місто!E243-'[1]Місто'!E238</f>
        <v>0</v>
      </c>
      <c r="F240" s="38">
        <f>Місто!F243-'[1]Місто'!F238</f>
        <v>0</v>
      </c>
      <c r="G240" s="38">
        <f>Місто!G243-'[1]Місто'!G238</f>
        <v>0</v>
      </c>
      <c r="H240" s="38">
        <f>Місто!H243-'[1]Місто'!H238</f>
        <v>0</v>
      </c>
      <c r="I240" s="38">
        <f>Місто!I243-'[1]Місто'!I238</f>
        <v>0</v>
      </c>
      <c r="J240" s="38">
        <f>Місто!J243-'[1]Місто'!J238</f>
        <v>-6351869</v>
      </c>
      <c r="K240" s="38">
        <f>Місто!K243-'[1]Місто'!K238</f>
        <v>0</v>
      </c>
      <c r="L240" s="38">
        <f>Місто!L243-'[1]Місто'!L238</f>
        <v>0</v>
      </c>
      <c r="M240" s="38">
        <f>Місто!M243-'[1]Місто'!M238</f>
        <v>0</v>
      </c>
      <c r="N240" s="38">
        <f>Місто!N243-'[1]Місто'!N238</f>
        <v>-6351869</v>
      </c>
      <c r="O240" s="38">
        <f>Місто!O243-'[1]Місто'!O238</f>
        <v>-6351869</v>
      </c>
      <c r="P240" s="55">
        <f>Місто!P243-'[1]Місто'!P238</f>
        <v>-6351869</v>
      </c>
      <c r="Q240" s="53"/>
      <c r="R240" s="59"/>
      <c r="W240" s="53">
        <f t="shared" si="3"/>
        <v>0</v>
      </c>
    </row>
    <row r="241" spans="1:23" ht="12.75">
      <c r="A241" s="39"/>
      <c r="B241" s="39" t="s">
        <v>338</v>
      </c>
      <c r="C241" s="74" t="s">
        <v>443</v>
      </c>
      <c r="D241" s="36" t="s">
        <v>339</v>
      </c>
      <c r="E241" s="38">
        <f>Місто!E244-'[1]Місто'!E239</f>
        <v>0</v>
      </c>
      <c r="F241" s="38">
        <f>Місто!F244-'[1]Місто'!F239</f>
        <v>0</v>
      </c>
      <c r="G241" s="38">
        <f>Місто!G244-'[1]Місто'!G239</f>
        <v>0</v>
      </c>
      <c r="H241" s="38">
        <f>Місто!H244-'[1]Місто'!H239</f>
        <v>0</v>
      </c>
      <c r="I241" s="38">
        <f>Місто!I244-'[1]Місто'!I239</f>
        <v>0</v>
      </c>
      <c r="J241" s="38">
        <f>Місто!J244-'[1]Місто'!J239</f>
        <v>-6351869</v>
      </c>
      <c r="K241" s="38">
        <f>Місто!K244-'[1]Місто'!K239</f>
        <v>0</v>
      </c>
      <c r="L241" s="38">
        <f>Місто!L244-'[1]Місто'!L239</f>
        <v>0</v>
      </c>
      <c r="M241" s="38">
        <f>Місто!M244-'[1]Місто'!M239</f>
        <v>0</v>
      </c>
      <c r="N241" s="38">
        <f>Місто!N244-'[1]Місто'!N239</f>
        <v>-6351869</v>
      </c>
      <c r="O241" s="76">
        <f>Місто!O244-'[1]Місто'!O239</f>
        <v>-6351869</v>
      </c>
      <c r="P241" s="55">
        <f>Місто!P244-'[1]Місто'!P239</f>
        <v>-6351869</v>
      </c>
      <c r="Q241" s="53"/>
      <c r="R241" s="59"/>
      <c r="W241" s="53">
        <f t="shared" si="3"/>
        <v>0</v>
      </c>
    </row>
    <row r="242" spans="1:23" ht="25.5" hidden="1">
      <c r="A242" s="39"/>
      <c r="B242" s="39" t="s">
        <v>376</v>
      </c>
      <c r="C242" s="39"/>
      <c r="D242" s="58" t="s">
        <v>377</v>
      </c>
      <c r="E242" s="95">
        <f>Місто!E245-'[1]Місто'!E240</f>
        <v>0</v>
      </c>
      <c r="F242" s="95">
        <f>Місто!F245-'[1]Місто'!F240</f>
        <v>0</v>
      </c>
      <c r="G242" s="38">
        <f>Місто!G245-'[1]Місто'!G240</f>
        <v>0</v>
      </c>
      <c r="H242" s="38">
        <f>Місто!H245-'[1]Місто'!H240</f>
        <v>0</v>
      </c>
      <c r="I242" s="38">
        <f>Місто!I245-'[1]Місто'!I240</f>
        <v>0</v>
      </c>
      <c r="J242" s="38">
        <f>Місто!J245-'[1]Місто'!J240</f>
        <v>0</v>
      </c>
      <c r="K242" s="38">
        <f>Місто!K245-'[1]Місто'!K240</f>
        <v>0</v>
      </c>
      <c r="L242" s="38">
        <f>Місто!L245-'[1]Місто'!L240</f>
        <v>0</v>
      </c>
      <c r="M242" s="38">
        <f>Місто!M245-'[1]Місто'!M240</f>
        <v>0</v>
      </c>
      <c r="N242" s="38">
        <f>Місто!N245-'[1]Місто'!N240</f>
        <v>0</v>
      </c>
      <c r="O242" s="38">
        <f>Місто!O245-'[1]Місто'!O240</f>
        <v>0</v>
      </c>
      <c r="P242" s="96">
        <f>Місто!P245-'[1]Місто'!P240</f>
        <v>0</v>
      </c>
      <c r="Q242" s="53"/>
      <c r="R242" s="59"/>
      <c r="W242" s="53">
        <f t="shared" si="3"/>
        <v>0</v>
      </c>
    </row>
    <row r="243" spans="1:23" ht="25.5" hidden="1">
      <c r="A243" s="39"/>
      <c r="B243" s="39" t="s">
        <v>284</v>
      </c>
      <c r="C243" s="74" t="s">
        <v>452</v>
      </c>
      <c r="D243" s="68" t="s">
        <v>116</v>
      </c>
      <c r="E243" s="38">
        <f>Місто!E246-'[1]Місто'!E241</f>
        <v>0</v>
      </c>
      <c r="F243" s="38">
        <f>Місто!F246-'[1]Місто'!F241</f>
        <v>0</v>
      </c>
      <c r="G243" s="38">
        <f>Місто!G246-'[1]Місто'!G241</f>
        <v>0</v>
      </c>
      <c r="H243" s="38">
        <f>Місто!H246-'[1]Місто'!H241</f>
        <v>0</v>
      </c>
      <c r="I243" s="38">
        <f>Місто!I246-'[1]Місто'!I241</f>
        <v>0</v>
      </c>
      <c r="J243" s="38">
        <f>Місто!J246-'[1]Місто'!J241</f>
        <v>0</v>
      </c>
      <c r="K243" s="38">
        <f>Місто!K246-'[1]Місто'!K241</f>
        <v>0</v>
      </c>
      <c r="L243" s="38">
        <f>Місто!L246-'[1]Місто'!L241</f>
        <v>0</v>
      </c>
      <c r="M243" s="38">
        <f>Місто!M246-'[1]Місто'!M241</f>
        <v>0</v>
      </c>
      <c r="N243" s="38">
        <f>Місто!N246-'[1]Місто'!N241</f>
        <v>0</v>
      </c>
      <c r="O243" s="38">
        <f>Місто!O246-'[1]Місто'!O241</f>
        <v>0</v>
      </c>
      <c r="P243" s="55">
        <f>Місто!P246-'[1]Місто'!P241</f>
        <v>0</v>
      </c>
      <c r="Q243" s="53"/>
      <c r="R243" s="59"/>
      <c r="W243" s="53">
        <f t="shared" si="3"/>
        <v>0</v>
      </c>
    </row>
    <row r="244" spans="1:23" s="54" customFormat="1" ht="25.5" hidden="1">
      <c r="A244" s="74"/>
      <c r="B244" s="74" t="s">
        <v>303</v>
      </c>
      <c r="C244" s="74"/>
      <c r="D244" s="68" t="s">
        <v>304</v>
      </c>
      <c r="E244" s="38">
        <f>Місто!E247-'[1]Місто'!E242</f>
        <v>0</v>
      </c>
      <c r="F244" s="38">
        <f>Місто!F247-'[1]Місто'!F242</f>
        <v>0</v>
      </c>
      <c r="G244" s="38">
        <f>Місто!G247-'[1]Місто'!G242</f>
        <v>0</v>
      </c>
      <c r="H244" s="38">
        <f>Місто!H247-'[1]Місто'!H242</f>
        <v>0</v>
      </c>
      <c r="I244" s="38">
        <f>Місто!I247-'[1]Місто'!I242</f>
        <v>0</v>
      </c>
      <c r="J244" s="38">
        <f>Місто!J247-'[1]Місто'!J242</f>
        <v>0</v>
      </c>
      <c r="K244" s="38">
        <f>Місто!K247-'[1]Місто'!K242</f>
        <v>0</v>
      </c>
      <c r="L244" s="38">
        <f>Місто!L247-'[1]Місто'!L242</f>
        <v>0</v>
      </c>
      <c r="M244" s="38">
        <f>Місто!M247-'[1]Місто'!M242</f>
        <v>0</v>
      </c>
      <c r="N244" s="38">
        <f>Місто!N247-'[1]Місто'!N242</f>
        <v>0</v>
      </c>
      <c r="O244" s="38">
        <f>Місто!O247-'[1]Місто'!O242</f>
        <v>0</v>
      </c>
      <c r="P244" s="55">
        <f>Місто!P247-'[1]Місто'!P242</f>
        <v>0</v>
      </c>
      <c r="Q244" s="53"/>
      <c r="R244" s="53"/>
      <c r="W244" s="53">
        <f t="shared" si="3"/>
        <v>0</v>
      </c>
    </row>
    <row r="245" spans="1:23" s="57" customFormat="1" ht="12.75" hidden="1">
      <c r="A245" s="39"/>
      <c r="B245" s="39" t="s">
        <v>369</v>
      </c>
      <c r="C245" s="39"/>
      <c r="D245" s="60" t="s">
        <v>373</v>
      </c>
      <c r="E245" s="38">
        <f>Місто!E248-'[1]Місто'!E243</f>
        <v>0</v>
      </c>
      <c r="F245" s="38">
        <f>Місто!F248-'[1]Місто'!F243</f>
        <v>0</v>
      </c>
      <c r="G245" s="38">
        <f>Місто!G248-'[1]Місто'!G243</f>
        <v>0</v>
      </c>
      <c r="H245" s="38">
        <f>Місто!H248-'[1]Місто'!H243</f>
        <v>0</v>
      </c>
      <c r="I245" s="38">
        <f>Місто!I248-'[1]Місто'!I243</f>
        <v>0</v>
      </c>
      <c r="J245" s="38">
        <f>Місто!J248-'[1]Місто'!J243</f>
        <v>0</v>
      </c>
      <c r="K245" s="38">
        <f>Місто!K248-'[1]Місто'!K243</f>
        <v>0</v>
      </c>
      <c r="L245" s="38">
        <f>Місто!L248-'[1]Місто'!L243</f>
        <v>0</v>
      </c>
      <c r="M245" s="38">
        <f>Місто!M248-'[1]Місто'!M243</f>
        <v>0</v>
      </c>
      <c r="N245" s="38">
        <f>Місто!N248-'[1]Місто'!N243</f>
        <v>0</v>
      </c>
      <c r="O245" s="38">
        <f>Місто!O248-'[1]Місто'!O243</f>
        <v>0</v>
      </c>
      <c r="P245" s="55">
        <f>Місто!P248-'[1]Місто'!P243</f>
        <v>0</v>
      </c>
      <c r="Q245" s="53"/>
      <c r="R245" s="56"/>
      <c r="W245" s="53">
        <f t="shared" si="3"/>
        <v>0</v>
      </c>
    </row>
    <row r="246" spans="1:23" ht="25.5" hidden="1">
      <c r="A246" s="39"/>
      <c r="B246" s="39" t="s">
        <v>287</v>
      </c>
      <c r="C246" s="39"/>
      <c r="D246" s="60" t="s">
        <v>333</v>
      </c>
      <c r="E246" s="38">
        <f>Місто!E249-'[1]Місто'!E244</f>
        <v>0</v>
      </c>
      <c r="F246" s="38">
        <f>Місто!F249-'[1]Місто'!F244</f>
        <v>0</v>
      </c>
      <c r="G246" s="38">
        <f>Місто!G249-'[1]Місто'!G244</f>
        <v>0</v>
      </c>
      <c r="H246" s="38">
        <f>Місто!H249-'[1]Місто'!H244</f>
        <v>0</v>
      </c>
      <c r="I246" s="38">
        <f>Місто!I249-'[1]Місто'!I244</f>
        <v>0</v>
      </c>
      <c r="J246" s="38">
        <f>Місто!J249-'[1]Місто'!J244</f>
        <v>0</v>
      </c>
      <c r="K246" s="38">
        <f>Місто!K249-'[1]Місто'!K244</f>
        <v>0</v>
      </c>
      <c r="L246" s="38">
        <f>Місто!L249-'[1]Місто'!L244</f>
        <v>0</v>
      </c>
      <c r="M246" s="38">
        <f>Місто!M249-'[1]Місто'!M244</f>
        <v>0</v>
      </c>
      <c r="N246" s="38">
        <f>Місто!N249-'[1]Місто'!N244</f>
        <v>0</v>
      </c>
      <c r="O246" s="38">
        <f>Місто!O249-'[1]Місто'!O244</f>
        <v>0</v>
      </c>
      <c r="P246" s="55">
        <f>Місто!P249-'[1]Місто'!P244</f>
        <v>0</v>
      </c>
      <c r="Q246" s="53"/>
      <c r="R246" s="59"/>
      <c r="W246" s="53">
        <f t="shared" si="3"/>
        <v>0</v>
      </c>
    </row>
    <row r="247" spans="1:23" ht="25.5" hidden="1">
      <c r="A247" s="39"/>
      <c r="B247" s="39" t="s">
        <v>371</v>
      </c>
      <c r="C247" s="39"/>
      <c r="D247" s="60" t="s">
        <v>372</v>
      </c>
      <c r="E247" s="38">
        <f>Місто!E250-'[1]Місто'!E245</f>
        <v>0</v>
      </c>
      <c r="F247" s="38">
        <f>Місто!F250-'[1]Місто'!F245</f>
        <v>0</v>
      </c>
      <c r="G247" s="38">
        <f>Місто!G250-'[1]Місто'!G245</f>
        <v>0</v>
      </c>
      <c r="H247" s="38">
        <f>Місто!H250-'[1]Місто'!H245</f>
        <v>0</v>
      </c>
      <c r="I247" s="38">
        <f>Місто!I250-'[1]Місто'!I245</f>
        <v>0</v>
      </c>
      <c r="J247" s="38">
        <f>Місто!J250-'[1]Місто'!J245</f>
        <v>0</v>
      </c>
      <c r="K247" s="38">
        <f>Місто!K250-'[1]Місто'!K245</f>
        <v>0</v>
      </c>
      <c r="L247" s="38">
        <f>Місто!L250-'[1]Місто'!L245</f>
        <v>0</v>
      </c>
      <c r="M247" s="38">
        <f>Місто!M250-'[1]Місто'!M245</f>
        <v>0</v>
      </c>
      <c r="N247" s="38">
        <f>Місто!N250-'[1]Місто'!N245</f>
        <v>0</v>
      </c>
      <c r="O247" s="38">
        <f>Місто!O250-'[1]Місто'!O245</f>
        <v>0</v>
      </c>
      <c r="P247" s="55">
        <f>Місто!P250-'[1]Місто'!P245</f>
        <v>0</v>
      </c>
      <c r="Q247" s="53"/>
      <c r="R247" s="59"/>
      <c r="W247" s="53">
        <f t="shared" si="3"/>
        <v>0</v>
      </c>
    </row>
    <row r="248" spans="1:23" ht="12.75" hidden="1">
      <c r="A248" s="39"/>
      <c r="B248" s="39" t="s">
        <v>288</v>
      </c>
      <c r="C248" s="74" t="s">
        <v>444</v>
      </c>
      <c r="D248" s="36" t="s">
        <v>316</v>
      </c>
      <c r="E248" s="38">
        <f>Місто!E251-'[1]Місто'!E246</f>
        <v>0</v>
      </c>
      <c r="F248" s="38">
        <f>Місто!F251-'[1]Місто'!F246</f>
        <v>0</v>
      </c>
      <c r="G248" s="38">
        <f>Місто!G251-'[1]Місто'!G246</f>
        <v>0</v>
      </c>
      <c r="H248" s="38">
        <f>Місто!H251-'[1]Місто'!H246</f>
        <v>0</v>
      </c>
      <c r="I248" s="38">
        <f>Місто!I251-'[1]Місто'!I246</f>
        <v>0</v>
      </c>
      <c r="J248" s="38">
        <f>Місто!J251-'[1]Місто'!J246</f>
        <v>0</v>
      </c>
      <c r="K248" s="38">
        <f>Місто!K251-'[1]Місто'!K246</f>
        <v>0</v>
      </c>
      <c r="L248" s="38">
        <f>Місто!L251-'[1]Місто'!L246</f>
        <v>0</v>
      </c>
      <c r="M248" s="38">
        <f>Місто!M251-'[1]Місто'!M246</f>
        <v>0</v>
      </c>
      <c r="N248" s="38">
        <f>Місто!N251-'[1]Місто'!N246</f>
        <v>0</v>
      </c>
      <c r="O248" s="38">
        <f>Місто!O251-'[1]Місто'!O246</f>
        <v>0</v>
      </c>
      <c r="P248" s="55">
        <f>Місто!P251-'[1]Місто'!P246</f>
        <v>0</v>
      </c>
      <c r="Q248" s="53"/>
      <c r="R248" s="59"/>
      <c r="W248" s="53">
        <f t="shared" si="3"/>
        <v>0</v>
      </c>
    </row>
    <row r="249" spans="1:23" s="158" customFormat="1" ht="25.5" hidden="1">
      <c r="A249" s="152"/>
      <c r="B249" s="39"/>
      <c r="C249" s="39"/>
      <c r="D249" s="36" t="s">
        <v>242</v>
      </c>
      <c r="E249" s="38">
        <f>Місто!E252-'[1]Місто'!E247</f>
        <v>0</v>
      </c>
      <c r="F249" s="38">
        <f>Місто!F252-'[1]Місто'!F247</f>
        <v>0</v>
      </c>
      <c r="G249" s="38">
        <f>Місто!G252-'[1]Місто'!G247</f>
        <v>0</v>
      </c>
      <c r="H249" s="38">
        <f>Місто!H252-'[1]Місто'!H247</f>
        <v>0</v>
      </c>
      <c r="I249" s="38">
        <f>Місто!I252-'[1]Місто'!I247</f>
        <v>0</v>
      </c>
      <c r="J249" s="38">
        <f>Місто!J252-'[1]Місто'!J247</f>
        <v>0</v>
      </c>
      <c r="K249" s="38">
        <f>Місто!K252-'[1]Місто'!K247</f>
        <v>0</v>
      </c>
      <c r="L249" s="38">
        <f>Місто!L252-'[1]Місто'!L247</f>
        <v>0</v>
      </c>
      <c r="M249" s="38">
        <f>Місто!M252-'[1]Місто'!M247</f>
        <v>0</v>
      </c>
      <c r="N249" s="38">
        <f>Місто!N252-'[1]Місто'!N247</f>
        <v>0</v>
      </c>
      <c r="O249" s="38">
        <f>Місто!O252-'[1]Місто'!O247</f>
        <v>0</v>
      </c>
      <c r="P249" s="55">
        <f>Місто!P252-'[1]Місто'!P247</f>
        <v>0</v>
      </c>
      <c r="Q249" s="156"/>
      <c r="R249" s="157"/>
      <c r="W249" s="156">
        <f t="shared" si="3"/>
        <v>0</v>
      </c>
    </row>
    <row r="250" spans="1:23" ht="24">
      <c r="A250" s="126"/>
      <c r="B250" s="126" t="s">
        <v>175</v>
      </c>
      <c r="C250" s="126"/>
      <c r="D250" s="106" t="s">
        <v>199</v>
      </c>
      <c r="E250" s="51">
        <f>Місто!E256-'[1]Місто'!E248</f>
        <v>33039453</v>
      </c>
      <c r="F250" s="51">
        <f>Місто!F256-'[1]Місто'!F248</f>
        <v>33039453</v>
      </c>
      <c r="G250" s="51">
        <f>Місто!G256-'[1]Місто'!G248</f>
        <v>689830</v>
      </c>
      <c r="H250" s="51">
        <f>Місто!H256-'[1]Місто'!H248</f>
        <v>0</v>
      </c>
      <c r="I250" s="51">
        <f>Місто!I256-'[1]Місто'!I248</f>
        <v>0</v>
      </c>
      <c r="J250" s="51">
        <f>Місто!J256-'[1]Місто'!J248</f>
        <v>150319810</v>
      </c>
      <c r="K250" s="51">
        <f>Місто!K256-'[1]Місто'!K248</f>
        <v>389888</v>
      </c>
      <c r="L250" s="51">
        <f>Місто!L256-'[1]Місто'!L248</f>
        <v>0</v>
      </c>
      <c r="M250" s="51">
        <f>Місто!M256-'[1]Місто'!M248</f>
        <v>0</v>
      </c>
      <c r="N250" s="51">
        <f>Місто!N256-'[1]Місто'!N248</f>
        <v>149929922</v>
      </c>
      <c r="O250" s="51">
        <f>Місто!O256-'[1]Місто'!O248</f>
        <v>148319922</v>
      </c>
      <c r="P250" s="52">
        <f>Місто!P256-'[1]Місто'!P248</f>
        <v>183359263</v>
      </c>
      <c r="Q250" s="53"/>
      <c r="R250" s="59"/>
      <c r="W250" s="53">
        <f>N250-O250</f>
        <v>1610000</v>
      </c>
    </row>
    <row r="251" spans="1:23" ht="12.75">
      <c r="A251" s="42"/>
      <c r="B251" s="42" t="s">
        <v>362</v>
      </c>
      <c r="C251" s="42"/>
      <c r="D251" s="43" t="s">
        <v>363</v>
      </c>
      <c r="E251" s="37">
        <f>Місто!E257-'[1]Місто'!E249</f>
        <v>688013</v>
      </c>
      <c r="F251" s="37">
        <f>Місто!F257-'[1]Місто'!F249</f>
        <v>688013</v>
      </c>
      <c r="G251" s="37">
        <f>Місто!G257-'[1]Місто'!G249</f>
        <v>689830</v>
      </c>
      <c r="H251" s="37">
        <f>Місто!H257-'[1]Місто'!H249</f>
        <v>0</v>
      </c>
      <c r="I251" s="37">
        <f>Місто!I257-'[1]Місто'!I249</f>
        <v>0</v>
      </c>
      <c r="J251" s="38">
        <f>Місто!J257-'[1]Місто'!J249</f>
        <v>109041</v>
      </c>
      <c r="K251" s="37">
        <f>Місто!K257-'[1]Місто'!K249</f>
        <v>0</v>
      </c>
      <c r="L251" s="37">
        <f>Місто!L257-'[1]Місто'!L249</f>
        <v>0</v>
      </c>
      <c r="M251" s="37">
        <f>Місто!M257-'[1]Місто'!M249</f>
        <v>0</v>
      </c>
      <c r="N251" s="37">
        <f>Місто!N257-'[1]Місто'!N249</f>
        <v>109041</v>
      </c>
      <c r="O251" s="37">
        <f>Місто!O257-'[1]Місто'!O249</f>
        <v>109041</v>
      </c>
      <c r="P251" s="55">
        <f>Місто!P257-'[1]Місто'!P249</f>
        <v>797054</v>
      </c>
      <c r="Q251" s="53"/>
      <c r="R251" s="59"/>
      <c r="W251" s="53">
        <f t="shared" si="3"/>
        <v>0</v>
      </c>
    </row>
    <row r="252" spans="1:23" ht="12.75">
      <c r="A252" s="39"/>
      <c r="B252" s="39" t="s">
        <v>249</v>
      </c>
      <c r="C252" s="74" t="s">
        <v>441</v>
      </c>
      <c r="D252" s="58" t="s">
        <v>250</v>
      </c>
      <c r="E252" s="38">
        <f>Місто!E258-'[1]Місто'!E250</f>
        <v>688013</v>
      </c>
      <c r="F252" s="38">
        <f>Місто!F258-'[1]Місто'!F250</f>
        <v>688013</v>
      </c>
      <c r="G252" s="38">
        <f>Місто!G258-'[1]Місто'!G250</f>
        <v>689830</v>
      </c>
      <c r="H252" s="38">
        <f>Місто!H258-'[1]Місто'!H250</f>
        <v>0</v>
      </c>
      <c r="I252" s="38">
        <f>Місто!I258-'[1]Місто'!I250</f>
        <v>0</v>
      </c>
      <c r="J252" s="38">
        <f>Місто!J258-'[1]Місто'!J250</f>
        <v>109041</v>
      </c>
      <c r="K252" s="38">
        <f>Місто!K258-'[1]Місто'!K250</f>
        <v>0</v>
      </c>
      <c r="L252" s="38">
        <f>Місто!L258-'[1]Місто'!L250</f>
        <v>0</v>
      </c>
      <c r="M252" s="38">
        <f>Місто!M258-'[1]Місто'!M250</f>
        <v>0</v>
      </c>
      <c r="N252" s="76">
        <f>Місто!N258-'[1]Місто'!N250</f>
        <v>109041</v>
      </c>
      <c r="O252" s="76">
        <f>Місто!O258-'[1]Місто'!O250</f>
        <v>109041</v>
      </c>
      <c r="P252" s="55">
        <f>Місто!P258-'[1]Місто'!P250</f>
        <v>797054</v>
      </c>
      <c r="Q252" s="53"/>
      <c r="R252" s="59"/>
      <c r="W252" s="53">
        <f t="shared" si="3"/>
        <v>0</v>
      </c>
    </row>
    <row r="253" spans="1:23" ht="25.5">
      <c r="A253" s="39"/>
      <c r="B253" s="39" t="s">
        <v>271</v>
      </c>
      <c r="C253" s="39"/>
      <c r="D253" s="58" t="s">
        <v>317</v>
      </c>
      <c r="E253" s="38">
        <f>Місто!E259-'[1]Місто'!E251</f>
        <v>195000</v>
      </c>
      <c r="F253" s="38">
        <f>Місто!F259-'[1]Місто'!F251</f>
        <v>195000</v>
      </c>
      <c r="G253" s="38">
        <f>Місто!G259-'[1]Місто'!G251</f>
        <v>0</v>
      </c>
      <c r="H253" s="38">
        <f>Місто!H259-'[1]Місто'!H251</f>
        <v>0</v>
      </c>
      <c r="I253" s="38">
        <f>Місто!I259-'[1]Місто'!I251</f>
        <v>0</v>
      </c>
      <c r="J253" s="38">
        <f>Місто!J259-'[1]Місто'!J251</f>
        <v>0</v>
      </c>
      <c r="K253" s="38">
        <f>Місто!K259-'[1]Місто'!K251</f>
        <v>0</v>
      </c>
      <c r="L253" s="38">
        <f>Місто!L259-'[1]Місто'!L251</f>
        <v>0</v>
      </c>
      <c r="M253" s="38">
        <f>Місто!M259-'[1]Місто'!M251</f>
        <v>0</v>
      </c>
      <c r="N253" s="76">
        <f>Місто!N259-'[1]Місто'!N251</f>
        <v>0</v>
      </c>
      <c r="O253" s="76">
        <f>Місто!O259-'[1]Місто'!O251</f>
        <v>0</v>
      </c>
      <c r="P253" s="55">
        <f>Місто!P259-'[1]Місто'!P251</f>
        <v>195000</v>
      </c>
      <c r="Q253" s="53"/>
      <c r="R253" s="59"/>
      <c r="W253" s="53">
        <f t="shared" si="3"/>
        <v>0</v>
      </c>
    </row>
    <row r="254" spans="1:23" ht="25.5">
      <c r="A254" s="39"/>
      <c r="B254" s="39" t="s">
        <v>272</v>
      </c>
      <c r="C254" s="74" t="s">
        <v>465</v>
      </c>
      <c r="D254" s="36" t="s">
        <v>331</v>
      </c>
      <c r="E254" s="38">
        <f>Місто!E260-'[1]Місто'!E252</f>
        <v>0</v>
      </c>
      <c r="F254" s="38">
        <f>Місто!F260-'[1]Місто'!F252</f>
        <v>0</v>
      </c>
      <c r="G254" s="38">
        <f>Місто!G260-'[1]Місто'!G252</f>
        <v>0</v>
      </c>
      <c r="H254" s="38">
        <f>Місто!H260-'[1]Місто'!H252</f>
        <v>0</v>
      </c>
      <c r="I254" s="38">
        <f>Місто!I260-'[1]Місто'!I252</f>
        <v>0</v>
      </c>
      <c r="J254" s="38">
        <f>Місто!J260-'[1]Місто'!J252</f>
        <v>0</v>
      </c>
      <c r="K254" s="38">
        <f>Місто!K260-'[1]Місто'!K252</f>
        <v>0</v>
      </c>
      <c r="L254" s="38">
        <f>Місто!L260-'[1]Місто'!L252</f>
        <v>0</v>
      </c>
      <c r="M254" s="38">
        <f>Місто!M260-'[1]Місто'!M252</f>
        <v>0</v>
      </c>
      <c r="N254" s="76">
        <f>Місто!N260-'[1]Місто'!N252</f>
        <v>0</v>
      </c>
      <c r="O254" s="76">
        <f>Місто!O260-'[1]Місто'!O252</f>
        <v>0</v>
      </c>
      <c r="P254" s="55">
        <f>Місто!P260-'[1]Місто'!P252</f>
        <v>0</v>
      </c>
      <c r="Q254" s="53"/>
      <c r="R254" s="59"/>
      <c r="W254" s="53">
        <f t="shared" si="3"/>
        <v>0</v>
      </c>
    </row>
    <row r="255" spans="1:23" ht="12.75">
      <c r="A255" s="39"/>
      <c r="B255" s="39" t="s">
        <v>374</v>
      </c>
      <c r="C255" s="39"/>
      <c r="D255" s="36" t="s">
        <v>375</v>
      </c>
      <c r="E255" s="38">
        <f>Місто!E262-'[1]Місто'!E253</f>
        <v>-17453672</v>
      </c>
      <c r="F255" s="38">
        <f>Місто!F262-'[1]Місто'!F253</f>
        <v>-17453672</v>
      </c>
      <c r="G255" s="38">
        <f>Місто!G262-'[1]Місто'!G253</f>
        <v>0</v>
      </c>
      <c r="H255" s="38">
        <f>Місто!H262-'[1]Місто'!H253</f>
        <v>0</v>
      </c>
      <c r="I255" s="38">
        <f>Місто!I262-'[1]Місто'!I253</f>
        <v>0</v>
      </c>
      <c r="J255" s="38">
        <f>Місто!J262-'[1]Місто'!J253</f>
        <v>125169161</v>
      </c>
      <c r="K255" s="38">
        <f>Місто!K262-'[1]Місто'!K253</f>
        <v>0</v>
      </c>
      <c r="L255" s="38">
        <f>Місто!L262-'[1]Місто'!L253</f>
        <v>0</v>
      </c>
      <c r="M255" s="38">
        <f>Місто!M262-'[1]Місто'!M253</f>
        <v>0</v>
      </c>
      <c r="N255" s="38">
        <f>Місто!N262-'[1]Місто'!N253</f>
        <v>125169161</v>
      </c>
      <c r="O255" s="38">
        <f>Місто!O262-'[1]Місто'!O253</f>
        <v>125169161</v>
      </c>
      <c r="P255" s="55">
        <f>Місто!P262-'[1]Місто'!P253</f>
        <v>107715489</v>
      </c>
      <c r="Q255" s="53"/>
      <c r="R255" s="59"/>
      <c r="W255" s="53">
        <f t="shared" si="3"/>
        <v>0</v>
      </c>
    </row>
    <row r="256" spans="1:23" ht="15" customHeight="1">
      <c r="A256" s="74"/>
      <c r="B256" s="74" t="s">
        <v>200</v>
      </c>
      <c r="C256" s="74" t="s">
        <v>473</v>
      </c>
      <c r="D256" s="75" t="s">
        <v>201</v>
      </c>
      <c r="E256" s="38">
        <f>Місто!E263-'[1]Місто'!E254</f>
        <v>-25443338</v>
      </c>
      <c r="F256" s="38">
        <f>Місто!F263-'[1]Місто'!F254</f>
        <v>-25443338</v>
      </c>
      <c r="G256" s="38">
        <f>Місто!G263-'[1]Місто'!G254</f>
        <v>0</v>
      </c>
      <c r="H256" s="38">
        <f>Місто!H263-'[1]Місто'!H254</f>
        <v>0</v>
      </c>
      <c r="I256" s="38">
        <f>Місто!I263-'[1]Місто'!I254</f>
        <v>0</v>
      </c>
      <c r="J256" s="38">
        <f>Місто!J263-'[1]Місто'!J254</f>
        <v>0</v>
      </c>
      <c r="K256" s="38">
        <f>Місто!K263-'[1]Місто'!K254</f>
        <v>0</v>
      </c>
      <c r="L256" s="38">
        <f>Місто!L263-'[1]Місто'!L254</f>
        <v>0</v>
      </c>
      <c r="M256" s="38">
        <f>Місто!M263-'[1]Місто'!M254</f>
        <v>0</v>
      </c>
      <c r="N256" s="76">
        <f>Місто!N263-'[1]Місто'!N254</f>
        <v>0</v>
      </c>
      <c r="O256" s="76">
        <f>Місто!O263-'[1]Місто'!O254</f>
        <v>0</v>
      </c>
      <c r="P256" s="55">
        <f>Місто!P263-'[1]Місто'!P254</f>
        <v>-25443338</v>
      </c>
      <c r="Q256" s="53"/>
      <c r="R256" s="59"/>
      <c r="W256" s="53">
        <f t="shared" si="3"/>
        <v>0</v>
      </c>
    </row>
    <row r="257" spans="1:23" s="158" customFormat="1" ht="25.5" hidden="1">
      <c r="A257" s="152"/>
      <c r="B257" s="39"/>
      <c r="C257" s="39"/>
      <c r="D257" s="58" t="s">
        <v>202</v>
      </c>
      <c r="E257" s="38">
        <f>Місто!E264-'[1]Місто'!E255</f>
        <v>-25669461</v>
      </c>
      <c r="F257" s="38">
        <f>Місто!F264-'[1]Місто'!F255</f>
        <v>-25669461</v>
      </c>
      <c r="G257" s="38">
        <f>Місто!G264-'[1]Місто'!G255</f>
        <v>0</v>
      </c>
      <c r="H257" s="38">
        <f>Місто!H264-'[1]Місто'!H255</f>
        <v>0</v>
      </c>
      <c r="I257" s="38">
        <f>Місто!I264-'[1]Місто'!I255</f>
        <v>0</v>
      </c>
      <c r="J257" s="38">
        <f>Місто!J264-'[1]Місто'!J255</f>
        <v>0</v>
      </c>
      <c r="K257" s="38">
        <f>Місто!K264-'[1]Місто'!K255</f>
        <v>0</v>
      </c>
      <c r="L257" s="38">
        <f>Місто!L264-'[1]Місто'!L255</f>
        <v>0</v>
      </c>
      <c r="M257" s="38">
        <f>Місто!M264-'[1]Місто'!M255</f>
        <v>0</v>
      </c>
      <c r="N257" s="38">
        <f>Місто!N264-'[1]Місто'!N255</f>
        <v>0</v>
      </c>
      <c r="O257" s="38">
        <f>Місто!O264-'[1]Місто'!O255</f>
        <v>0</v>
      </c>
      <c r="P257" s="55">
        <f>Місто!P264-'[1]Місто'!P255</f>
        <v>-25669461</v>
      </c>
      <c r="Q257" s="156"/>
      <c r="R257" s="157"/>
      <c r="W257" s="156">
        <f t="shared" si="3"/>
        <v>0</v>
      </c>
    </row>
    <row r="258" spans="1:23" s="158" customFormat="1" ht="51" hidden="1">
      <c r="A258" s="152"/>
      <c r="B258" s="39"/>
      <c r="C258" s="39"/>
      <c r="D258" s="36" t="s">
        <v>203</v>
      </c>
      <c r="E258" s="38" t="e">
        <f>Місто!#REF!-'[1]Місто'!E256</f>
        <v>#REF!</v>
      </c>
      <c r="F258" s="38" t="e">
        <f>Місто!#REF!-'[1]Місто'!F256</f>
        <v>#REF!</v>
      </c>
      <c r="G258" s="38" t="e">
        <f>Місто!#REF!-'[1]Місто'!G256</f>
        <v>#REF!</v>
      </c>
      <c r="H258" s="38" t="e">
        <f>Місто!#REF!-'[1]Місто'!H256</f>
        <v>#REF!</v>
      </c>
      <c r="I258" s="38" t="e">
        <f>Місто!#REF!-'[1]Місто'!I256</f>
        <v>#REF!</v>
      </c>
      <c r="J258" s="38" t="e">
        <f>Місто!#REF!-'[1]Місто'!J256</f>
        <v>#REF!</v>
      </c>
      <c r="K258" s="38" t="e">
        <f>Місто!#REF!-'[1]Місто'!K256</f>
        <v>#REF!</v>
      </c>
      <c r="L258" s="38" t="e">
        <f>Місто!#REF!-'[1]Місто'!L256</f>
        <v>#REF!</v>
      </c>
      <c r="M258" s="38" t="e">
        <f>Місто!#REF!-'[1]Місто'!M256</f>
        <v>#REF!</v>
      </c>
      <c r="N258" s="38" t="e">
        <f>Місто!#REF!-'[1]Місто'!N256</f>
        <v>#REF!</v>
      </c>
      <c r="O258" s="38" t="e">
        <f>Місто!#REF!-'[1]Місто'!O256</f>
        <v>#REF!</v>
      </c>
      <c r="P258" s="55" t="e">
        <f>Місто!#REF!-'[1]Місто'!P256</f>
        <v>#REF!</v>
      </c>
      <c r="Q258" s="156"/>
      <c r="R258" s="157"/>
      <c r="W258" s="156" t="e">
        <f t="shared" si="3"/>
        <v>#REF!</v>
      </c>
    </row>
    <row r="259" spans="1:23" s="158" customFormat="1" ht="51" hidden="1">
      <c r="A259" s="152"/>
      <c r="B259" s="39"/>
      <c r="C259" s="39"/>
      <c r="D259" s="36" t="s">
        <v>423</v>
      </c>
      <c r="E259" s="38" t="e">
        <f>Місто!#REF!-'[1]Місто'!E257</f>
        <v>#REF!</v>
      </c>
      <c r="F259" s="38" t="e">
        <f>Місто!#REF!-'[1]Місто'!F257</f>
        <v>#REF!</v>
      </c>
      <c r="G259" s="38" t="e">
        <f>Місто!#REF!-'[1]Місто'!G257</f>
        <v>#REF!</v>
      </c>
      <c r="H259" s="38" t="e">
        <f>Місто!#REF!-'[1]Місто'!H257</f>
        <v>#REF!</v>
      </c>
      <c r="I259" s="38" t="e">
        <f>Місто!#REF!-'[1]Місто'!I257</f>
        <v>#REF!</v>
      </c>
      <c r="J259" s="38" t="e">
        <f>Місто!#REF!-'[1]Місто'!J257</f>
        <v>#REF!</v>
      </c>
      <c r="K259" s="38" t="e">
        <f>Місто!#REF!-'[1]Місто'!K257</f>
        <v>#REF!</v>
      </c>
      <c r="L259" s="38" t="e">
        <f>Місто!#REF!-'[1]Місто'!L257</f>
        <v>#REF!</v>
      </c>
      <c r="M259" s="38" t="e">
        <f>Місто!#REF!-'[1]Місто'!M257</f>
        <v>#REF!</v>
      </c>
      <c r="N259" s="38" t="e">
        <f>Місто!#REF!-'[1]Місто'!N257</f>
        <v>#REF!</v>
      </c>
      <c r="O259" s="38" t="e">
        <f>Місто!#REF!-'[1]Місто'!O257</f>
        <v>#REF!</v>
      </c>
      <c r="P259" s="55" t="e">
        <f>Місто!#REF!-'[1]Місто'!P257</f>
        <v>#REF!</v>
      </c>
      <c r="Q259" s="156"/>
      <c r="R259" s="157"/>
      <c r="W259" s="156" t="e">
        <f t="shared" si="3"/>
        <v>#REF!</v>
      </c>
    </row>
    <row r="260" spans="1:23" s="158" customFormat="1" ht="38.25" hidden="1">
      <c r="A260" s="152"/>
      <c r="B260" s="39"/>
      <c r="C260" s="39"/>
      <c r="D260" s="36" t="s">
        <v>439</v>
      </c>
      <c r="E260" s="38" t="e">
        <f>Місто!#REF!-'[1]Місто'!E258</f>
        <v>#REF!</v>
      </c>
      <c r="F260" s="38" t="e">
        <f>Місто!#REF!-'[1]Місто'!F258</f>
        <v>#REF!</v>
      </c>
      <c r="G260" s="38" t="e">
        <f>Місто!#REF!-'[1]Місто'!G258</f>
        <v>#REF!</v>
      </c>
      <c r="H260" s="38" t="e">
        <f>Місто!#REF!-'[1]Місто'!H258</f>
        <v>#REF!</v>
      </c>
      <c r="I260" s="38" t="e">
        <f>Місто!#REF!-'[1]Місто'!I258</f>
        <v>#REF!</v>
      </c>
      <c r="J260" s="38" t="e">
        <f>Місто!#REF!-'[1]Місто'!J258</f>
        <v>#REF!</v>
      </c>
      <c r="K260" s="38" t="e">
        <f>Місто!#REF!-'[1]Місто'!K258</f>
        <v>#REF!</v>
      </c>
      <c r="L260" s="38" t="e">
        <f>Місто!#REF!-'[1]Місто'!L258</f>
        <v>#REF!</v>
      </c>
      <c r="M260" s="38" t="e">
        <f>Місто!#REF!-'[1]Місто'!M258</f>
        <v>#REF!</v>
      </c>
      <c r="N260" s="38" t="e">
        <f>Місто!#REF!-'[1]Місто'!N258</f>
        <v>#REF!</v>
      </c>
      <c r="O260" s="38" t="e">
        <f>Місто!#REF!-'[1]Місто'!O258</f>
        <v>#REF!</v>
      </c>
      <c r="P260" s="55" t="e">
        <f>Місто!#REF!-'[1]Місто'!P258</f>
        <v>#REF!</v>
      </c>
      <c r="Q260" s="156"/>
      <c r="R260" s="157"/>
      <c r="W260" s="156"/>
    </row>
    <row r="261" spans="1:23" s="158" customFormat="1" ht="12.75" hidden="1">
      <c r="A261" s="152"/>
      <c r="B261" s="39"/>
      <c r="C261" s="39"/>
      <c r="D261" s="36" t="s">
        <v>491</v>
      </c>
      <c r="E261" s="38">
        <f>Місто!E265-'[1]Місто'!E259</f>
        <v>226123</v>
      </c>
      <c r="F261" s="38">
        <f>Місто!F265-'[1]Місто'!F259</f>
        <v>226123</v>
      </c>
      <c r="G261" s="38">
        <f>Місто!G265-'[1]Місто'!G259</f>
        <v>0</v>
      </c>
      <c r="H261" s="38">
        <f>Місто!H265-'[1]Місто'!H259</f>
        <v>0</v>
      </c>
      <c r="I261" s="38">
        <f>Місто!I265-'[1]Місто'!I259</f>
        <v>0</v>
      </c>
      <c r="J261" s="38">
        <f>Місто!J265-'[1]Місто'!J259</f>
        <v>0</v>
      </c>
      <c r="K261" s="38">
        <f>Місто!K265-'[1]Місто'!K259</f>
        <v>0</v>
      </c>
      <c r="L261" s="38">
        <f>Місто!L265-'[1]Місто'!L259</f>
        <v>0</v>
      </c>
      <c r="M261" s="38">
        <f>Місто!M265-'[1]Місто'!M259</f>
        <v>0</v>
      </c>
      <c r="N261" s="38">
        <f>Місто!N265-'[1]Місто'!N259</f>
        <v>0</v>
      </c>
      <c r="O261" s="38">
        <f>Місто!O265-'[1]Місто'!O259</f>
        <v>0</v>
      </c>
      <c r="P261" s="55">
        <f>Місто!P265-'[1]Місто'!P259</f>
        <v>226123</v>
      </c>
      <c r="Q261" s="156"/>
      <c r="R261" s="157"/>
      <c r="W261" s="156">
        <f t="shared" si="3"/>
        <v>0</v>
      </c>
    </row>
    <row r="262" spans="1:23" s="158" customFormat="1" ht="12.75" hidden="1">
      <c r="A262" s="152"/>
      <c r="B262" s="39"/>
      <c r="C262" s="39"/>
      <c r="D262" s="36"/>
      <c r="E262" s="38" t="e">
        <f>Місто!#REF!-'[1]Місто'!E260</f>
        <v>#REF!</v>
      </c>
      <c r="F262" s="38" t="e">
        <f>Місто!#REF!-'[1]Місто'!F260</f>
        <v>#REF!</v>
      </c>
      <c r="G262" s="38" t="e">
        <f>Місто!#REF!-'[1]Місто'!G260</f>
        <v>#REF!</v>
      </c>
      <c r="H262" s="38" t="e">
        <f>Місто!#REF!-'[1]Місто'!H260</f>
        <v>#REF!</v>
      </c>
      <c r="I262" s="38" t="e">
        <f>Місто!#REF!-'[1]Місто'!I260</f>
        <v>#REF!</v>
      </c>
      <c r="J262" s="38" t="e">
        <f>Місто!#REF!-'[1]Місто'!J260</f>
        <v>#REF!</v>
      </c>
      <c r="K262" s="38" t="e">
        <f>Місто!#REF!-'[1]Місто'!K260</f>
        <v>#REF!</v>
      </c>
      <c r="L262" s="38" t="e">
        <f>Місто!#REF!-'[1]Місто'!L260</f>
        <v>#REF!</v>
      </c>
      <c r="M262" s="38" t="e">
        <f>Місто!#REF!-'[1]Місто'!M260</f>
        <v>#REF!</v>
      </c>
      <c r="N262" s="38" t="e">
        <f>Місто!#REF!-'[1]Місто'!N260</f>
        <v>#REF!</v>
      </c>
      <c r="O262" s="38" t="e">
        <f>Місто!#REF!-'[1]Місто'!O260</f>
        <v>#REF!</v>
      </c>
      <c r="P262" s="55" t="e">
        <f>Місто!#REF!-'[1]Місто'!P260</f>
        <v>#REF!</v>
      </c>
      <c r="Q262" s="156"/>
      <c r="R262" s="157"/>
      <c r="W262" s="156"/>
    </row>
    <row r="263" spans="1:23" s="158" customFormat="1" ht="12.75" hidden="1">
      <c r="A263" s="152"/>
      <c r="B263" s="39"/>
      <c r="C263" s="39"/>
      <c r="D263" s="36"/>
      <c r="E263" s="38" t="e">
        <f>Місто!#REF!-'[1]Місто'!E261</f>
        <v>#REF!</v>
      </c>
      <c r="F263" s="38" t="e">
        <f>Місто!#REF!-'[1]Місто'!F261</f>
        <v>#REF!</v>
      </c>
      <c r="G263" s="38" t="e">
        <f>Місто!#REF!-'[1]Місто'!G261</f>
        <v>#REF!</v>
      </c>
      <c r="H263" s="38" t="e">
        <f>Місто!#REF!-'[1]Місто'!H261</f>
        <v>#REF!</v>
      </c>
      <c r="I263" s="38" t="e">
        <f>Місто!#REF!-'[1]Місто'!I261</f>
        <v>#REF!</v>
      </c>
      <c r="J263" s="38" t="e">
        <f>Місто!#REF!-'[1]Місто'!J261</f>
        <v>#REF!</v>
      </c>
      <c r="K263" s="38" t="e">
        <f>Місто!#REF!-'[1]Місто'!K261</f>
        <v>#REF!</v>
      </c>
      <c r="L263" s="38" t="e">
        <f>Місто!#REF!-'[1]Місто'!L261</f>
        <v>#REF!</v>
      </c>
      <c r="M263" s="38" t="e">
        <f>Місто!#REF!-'[1]Місто'!M261</f>
        <v>#REF!</v>
      </c>
      <c r="N263" s="38" t="e">
        <f>Місто!#REF!-'[1]Місто'!N261</f>
        <v>#REF!</v>
      </c>
      <c r="O263" s="38" t="e">
        <f>Місто!#REF!-'[1]Місто'!O261</f>
        <v>#REF!</v>
      </c>
      <c r="P263" s="55" t="e">
        <f>Місто!#REF!-'[1]Місто'!P261</f>
        <v>#REF!</v>
      </c>
      <c r="Q263" s="156"/>
      <c r="R263" s="157"/>
      <c r="W263" s="156"/>
    </row>
    <row r="264" spans="1:23" s="158" customFormat="1" ht="12.75" hidden="1">
      <c r="A264" s="152"/>
      <c r="B264" s="39"/>
      <c r="C264" s="39"/>
      <c r="D264" s="36"/>
      <c r="E264" s="38" t="e">
        <f>Місто!#REF!-'[1]Місто'!E262</f>
        <v>#REF!</v>
      </c>
      <c r="F264" s="38" t="e">
        <f>Місто!#REF!-'[1]Місто'!F262</f>
        <v>#REF!</v>
      </c>
      <c r="G264" s="38" t="e">
        <f>Місто!#REF!-'[1]Місто'!G262</f>
        <v>#REF!</v>
      </c>
      <c r="H264" s="38" t="e">
        <f>Місто!#REF!-'[1]Місто'!H262</f>
        <v>#REF!</v>
      </c>
      <c r="I264" s="38" t="e">
        <f>Місто!#REF!-'[1]Місто'!I262</f>
        <v>#REF!</v>
      </c>
      <c r="J264" s="38" t="e">
        <f>Місто!#REF!-'[1]Місто'!J262</f>
        <v>#REF!</v>
      </c>
      <c r="K264" s="38" t="e">
        <f>Місто!#REF!-'[1]Місто'!K262</f>
        <v>#REF!</v>
      </c>
      <c r="L264" s="38" t="e">
        <f>Місто!#REF!-'[1]Місто'!L262</f>
        <v>#REF!</v>
      </c>
      <c r="M264" s="38" t="e">
        <f>Місто!#REF!-'[1]Місто'!M262</f>
        <v>#REF!</v>
      </c>
      <c r="N264" s="38" t="e">
        <f>Місто!#REF!-'[1]Місто'!N262</f>
        <v>#REF!</v>
      </c>
      <c r="O264" s="38" t="e">
        <f>Місто!#REF!-'[1]Місто'!O262</f>
        <v>#REF!</v>
      </c>
      <c r="P264" s="55" t="e">
        <f>Місто!#REF!-'[1]Місто'!P262</f>
        <v>#REF!</v>
      </c>
      <c r="Q264" s="156"/>
      <c r="R264" s="157"/>
      <c r="W264" s="156"/>
    </row>
    <row r="265" spans="1:23" ht="25.5">
      <c r="A265" s="74"/>
      <c r="B265" s="74" t="s">
        <v>387</v>
      </c>
      <c r="C265" s="74" t="s">
        <v>473</v>
      </c>
      <c r="D265" s="68" t="s">
        <v>107</v>
      </c>
      <c r="E265" s="38">
        <f>Місто!E266-'[1]Місто'!E263</f>
        <v>0</v>
      </c>
      <c r="F265" s="38">
        <f>Місто!F266-'[1]Місто'!F263</f>
        <v>0</v>
      </c>
      <c r="G265" s="38">
        <f>Місто!G266-'[1]Місто'!G263</f>
        <v>0</v>
      </c>
      <c r="H265" s="38">
        <f>Місто!H266-'[1]Місто'!H263</f>
        <v>0</v>
      </c>
      <c r="I265" s="38">
        <f>Місто!I266-'[1]Місто'!I263</f>
        <v>0</v>
      </c>
      <c r="J265" s="38">
        <f>Місто!J266-'[1]Місто'!J263</f>
        <v>96757894</v>
      </c>
      <c r="K265" s="38">
        <f>Місто!K266-'[1]Місто'!K263</f>
        <v>0</v>
      </c>
      <c r="L265" s="38">
        <f>Місто!L266-'[1]Місто'!L263</f>
        <v>0</v>
      </c>
      <c r="M265" s="38">
        <f>Місто!M266-'[1]Місто'!M263</f>
        <v>0</v>
      </c>
      <c r="N265" s="38">
        <f>Місто!N266-'[1]Місто'!N263</f>
        <v>96757894</v>
      </c>
      <c r="O265" s="76">
        <f>Місто!O266-'[1]Місто'!O263</f>
        <v>96757894</v>
      </c>
      <c r="P265" s="55">
        <f>Місто!P266-'[1]Місто'!P263</f>
        <v>96757894</v>
      </c>
      <c r="Q265" s="53"/>
      <c r="R265" s="59"/>
      <c r="W265" s="53">
        <f t="shared" si="3"/>
        <v>0</v>
      </c>
    </row>
    <row r="266" spans="1:23" ht="25.5" hidden="1">
      <c r="A266" s="74"/>
      <c r="B266" s="74" t="s">
        <v>71</v>
      </c>
      <c r="C266" s="74"/>
      <c r="D266" s="68" t="s">
        <v>72</v>
      </c>
      <c r="E266" s="38">
        <f>Місто!E267-'[1]Місто'!E264</f>
        <v>0</v>
      </c>
      <c r="F266" s="38">
        <f>Місто!F267-'[1]Місто'!F264</f>
        <v>0</v>
      </c>
      <c r="G266" s="38">
        <f>Місто!G267-'[1]Місто'!G264</f>
        <v>0</v>
      </c>
      <c r="H266" s="38">
        <f>Місто!H267-'[1]Місто'!H264</f>
        <v>0</v>
      </c>
      <c r="I266" s="38">
        <f>Місто!I267-'[1]Місто'!I264</f>
        <v>0</v>
      </c>
      <c r="J266" s="38">
        <f>Місто!J267-'[1]Місто'!J264</f>
        <v>0</v>
      </c>
      <c r="K266" s="38">
        <f>Місто!K267-'[1]Місто'!K264</f>
        <v>0</v>
      </c>
      <c r="L266" s="38">
        <f>Місто!L267-'[1]Місто'!L264</f>
        <v>0</v>
      </c>
      <c r="M266" s="38">
        <f>Місто!M267-'[1]Місто'!M264</f>
        <v>0</v>
      </c>
      <c r="N266" s="38">
        <f>Місто!N267-'[1]Місто'!N264</f>
        <v>0</v>
      </c>
      <c r="O266" s="76">
        <f>Місто!O267-'[1]Місто'!O264</f>
        <v>0</v>
      </c>
      <c r="P266" s="55">
        <f>Місто!P267-'[1]Місто'!P264</f>
        <v>0</v>
      </c>
      <c r="Q266" s="53"/>
      <c r="R266" s="59"/>
      <c r="W266" s="53">
        <f t="shared" si="3"/>
        <v>0</v>
      </c>
    </row>
    <row r="267" spans="1:23" ht="38.25">
      <c r="A267" s="74"/>
      <c r="B267" s="74" t="s">
        <v>220</v>
      </c>
      <c r="C267" s="74" t="s">
        <v>473</v>
      </c>
      <c r="D267" s="68" t="s">
        <v>221</v>
      </c>
      <c r="E267" s="38">
        <f>Місто!E268-'[1]Місто'!E265</f>
        <v>0</v>
      </c>
      <c r="F267" s="38">
        <f>Місто!F268-'[1]Місто'!F265</f>
        <v>0</v>
      </c>
      <c r="G267" s="38">
        <f>Місто!G268-'[1]Місто'!G265</f>
        <v>0</v>
      </c>
      <c r="H267" s="38">
        <f>Місто!H268-'[1]Місто'!H265</f>
        <v>0</v>
      </c>
      <c r="I267" s="38">
        <f>Місто!I268-'[1]Місто'!I265</f>
        <v>0</v>
      </c>
      <c r="J267" s="38">
        <f>Місто!J268-'[1]Місто'!J265</f>
        <v>0</v>
      </c>
      <c r="K267" s="38">
        <f>Місто!K268-'[1]Місто'!K265</f>
        <v>0</v>
      </c>
      <c r="L267" s="38">
        <f>Місто!L268-'[1]Місто'!L265</f>
        <v>0</v>
      </c>
      <c r="M267" s="38">
        <f>Місто!M268-'[1]Місто'!M265</f>
        <v>0</v>
      </c>
      <c r="N267" s="38">
        <f>Місто!N268-'[1]Місто'!N265</f>
        <v>0</v>
      </c>
      <c r="O267" s="76">
        <f>Місто!O268-'[1]Місто'!O265</f>
        <v>0</v>
      </c>
      <c r="P267" s="55">
        <f>Місто!P268-'[1]Місто'!P265</f>
        <v>0</v>
      </c>
      <c r="Q267" s="53"/>
      <c r="R267" s="59"/>
      <c r="W267" s="53">
        <f t="shared" si="3"/>
        <v>0</v>
      </c>
    </row>
    <row r="268" spans="1:23" ht="146.25" hidden="1">
      <c r="A268" s="74"/>
      <c r="B268" s="74" t="s">
        <v>159</v>
      </c>
      <c r="C268" s="74" t="s">
        <v>490</v>
      </c>
      <c r="D268" s="94" t="s">
        <v>196</v>
      </c>
      <c r="E268" s="38">
        <f>Місто!E269-'[1]Місто'!E266</f>
        <v>0</v>
      </c>
      <c r="F268" s="38">
        <f>Місто!F269-'[1]Місто'!F266</f>
        <v>0</v>
      </c>
      <c r="G268" s="38">
        <f>Місто!G269-'[1]Місто'!G266</f>
        <v>0</v>
      </c>
      <c r="H268" s="38">
        <f>Місто!H269-'[1]Місто'!H266</f>
        <v>0</v>
      </c>
      <c r="I268" s="38">
        <f>Місто!I269-'[1]Місто'!I266</f>
        <v>0</v>
      </c>
      <c r="J268" s="38">
        <f>Місто!J269-'[1]Місто'!J266</f>
        <v>0</v>
      </c>
      <c r="K268" s="38">
        <f>Місто!K269-'[1]Місто'!K266</f>
        <v>0</v>
      </c>
      <c r="L268" s="38">
        <f>Місто!L269-'[1]Місто'!L266</f>
        <v>0</v>
      </c>
      <c r="M268" s="38">
        <f>Місто!M269-'[1]Місто'!M266</f>
        <v>0</v>
      </c>
      <c r="N268" s="38">
        <f>Місто!N269-'[1]Місто'!N266</f>
        <v>0</v>
      </c>
      <c r="O268" s="38">
        <f>Місто!O269-'[1]Місто'!O266</f>
        <v>0</v>
      </c>
      <c r="P268" s="55">
        <f>Місто!P269-'[1]Місто'!P266</f>
        <v>0</v>
      </c>
      <c r="Q268" s="53"/>
      <c r="R268" s="59"/>
      <c r="W268" s="53">
        <f t="shared" si="3"/>
        <v>0</v>
      </c>
    </row>
    <row r="269" spans="1:23" ht="168.75" hidden="1">
      <c r="A269" s="39"/>
      <c r="B269" s="39"/>
      <c r="C269" s="39"/>
      <c r="D269" s="94" t="s">
        <v>195</v>
      </c>
      <c r="E269" s="38">
        <f>Місто!E270-'[1]Місто'!E267</f>
        <v>0</v>
      </c>
      <c r="F269" s="38">
        <f>Місто!F270-'[1]Місто'!F267</f>
        <v>0</v>
      </c>
      <c r="G269" s="38">
        <f>Місто!G270-'[1]Місто'!G267</f>
        <v>0</v>
      </c>
      <c r="H269" s="38">
        <f>Місто!H270-'[1]Місто'!H267</f>
        <v>0</v>
      </c>
      <c r="I269" s="38">
        <f>Місто!I270-'[1]Місто'!I267</f>
        <v>0</v>
      </c>
      <c r="J269" s="38">
        <f>Місто!J270-'[1]Місто'!J267</f>
        <v>0</v>
      </c>
      <c r="K269" s="38">
        <f>Місто!K270-'[1]Місто'!K267</f>
        <v>0</v>
      </c>
      <c r="L269" s="38">
        <f>Місто!L270-'[1]Місто'!L267</f>
        <v>0</v>
      </c>
      <c r="M269" s="38">
        <f>Місто!M270-'[1]Місто'!M267</f>
        <v>0</v>
      </c>
      <c r="N269" s="38">
        <f>Місто!N270-'[1]Місто'!N267</f>
        <v>0</v>
      </c>
      <c r="O269" s="38">
        <f>Місто!O270-'[1]Місто'!O267</f>
        <v>0</v>
      </c>
      <c r="P269" s="55">
        <f>Місто!P270-'[1]Місто'!P267</f>
        <v>0</v>
      </c>
      <c r="Q269" s="53"/>
      <c r="R269" s="59"/>
      <c r="W269" s="53">
        <f t="shared" si="3"/>
        <v>0</v>
      </c>
    </row>
    <row r="270" spans="1:23" ht="12.75">
      <c r="A270" s="74"/>
      <c r="B270" s="74" t="s">
        <v>102</v>
      </c>
      <c r="C270" s="74" t="s">
        <v>474</v>
      </c>
      <c r="D270" s="68" t="s">
        <v>106</v>
      </c>
      <c r="E270" s="76">
        <f>Місто!E271-'[1]Місто'!E268</f>
        <v>7989666</v>
      </c>
      <c r="F270" s="76">
        <f>Місто!F271-'[1]Місто'!F268</f>
        <v>7989666</v>
      </c>
      <c r="G270" s="38">
        <f>Місто!G271-'[1]Місто'!G268</f>
        <v>0</v>
      </c>
      <c r="H270" s="38">
        <f>Місто!H271-'[1]Місто'!H268</f>
        <v>0</v>
      </c>
      <c r="I270" s="38">
        <f>Місто!I271-'[1]Місто'!I268</f>
        <v>0</v>
      </c>
      <c r="J270" s="38">
        <f>Місто!J271-'[1]Місто'!J268</f>
        <v>202025</v>
      </c>
      <c r="K270" s="38">
        <f>Місто!K271-'[1]Місто'!K268</f>
        <v>0</v>
      </c>
      <c r="L270" s="38">
        <f>Місто!L271-'[1]Місто'!L268</f>
        <v>0</v>
      </c>
      <c r="M270" s="38">
        <f>Місто!M271-'[1]Місто'!M268</f>
        <v>0</v>
      </c>
      <c r="N270" s="38">
        <f>Місто!N271-'[1]Місто'!N268</f>
        <v>202025</v>
      </c>
      <c r="O270" s="76">
        <f>Місто!O271-'[1]Місто'!O268</f>
        <v>202025</v>
      </c>
      <c r="P270" s="55">
        <f>Місто!P271-'[1]Місто'!P268</f>
        <v>8191691</v>
      </c>
      <c r="Q270" s="53"/>
      <c r="R270" s="59"/>
      <c r="W270" s="53">
        <f t="shared" si="3"/>
        <v>0</v>
      </c>
    </row>
    <row r="271" spans="1:23" ht="25.5" hidden="1">
      <c r="A271" s="74"/>
      <c r="B271" s="74" t="s">
        <v>223</v>
      </c>
      <c r="C271" s="74"/>
      <c r="D271" s="68" t="s">
        <v>224</v>
      </c>
      <c r="E271" s="124">
        <f>Місто!E273-'[1]Місто'!E269</f>
        <v>0</v>
      </c>
      <c r="F271" s="124">
        <f>Місто!F273-'[1]Місто'!F269</f>
        <v>0</v>
      </c>
      <c r="G271" s="38">
        <f>Місто!G273-'[1]Місто'!G269</f>
        <v>0</v>
      </c>
      <c r="H271" s="38">
        <f>Місто!H273-'[1]Місто'!H269</f>
        <v>0</v>
      </c>
      <c r="I271" s="38">
        <f>Місто!I273-'[1]Місто'!I269</f>
        <v>0</v>
      </c>
      <c r="J271" s="38">
        <f>Місто!J273-'[1]Місто'!J269</f>
        <v>0</v>
      </c>
      <c r="K271" s="38">
        <f>Місто!K273-'[1]Місто'!K269</f>
        <v>0</v>
      </c>
      <c r="L271" s="38">
        <f>Місто!L273-'[1]Місто'!L269</f>
        <v>0</v>
      </c>
      <c r="M271" s="38">
        <f>Місто!M273-'[1]Місто'!M269</f>
        <v>0</v>
      </c>
      <c r="N271" s="38">
        <f>Місто!N273-'[1]Місто'!N269</f>
        <v>0</v>
      </c>
      <c r="O271" s="76">
        <f>Місто!O273-'[1]Місто'!O269</f>
        <v>0</v>
      </c>
      <c r="P271" s="55">
        <f>Місто!P273-'[1]Місто'!P269</f>
        <v>0</v>
      </c>
      <c r="Q271" s="53"/>
      <c r="R271" s="59"/>
      <c r="W271" s="53">
        <f t="shared" si="3"/>
        <v>0</v>
      </c>
    </row>
    <row r="272" spans="1:23" ht="12.75">
      <c r="A272" s="39"/>
      <c r="B272" s="39" t="s">
        <v>366</v>
      </c>
      <c r="C272" s="39"/>
      <c r="D272" s="36" t="s">
        <v>283</v>
      </c>
      <c r="E272" s="38">
        <f>Місто!E274-'[1]Місто'!E270</f>
        <v>0</v>
      </c>
      <c r="F272" s="38">
        <f>Місто!F274-'[1]Місто'!F270</f>
        <v>0</v>
      </c>
      <c r="G272" s="38">
        <f>Місто!G274-'[1]Місто'!G270</f>
        <v>0</v>
      </c>
      <c r="H272" s="38">
        <f>Місто!H274-'[1]Місто'!H270</f>
        <v>0</v>
      </c>
      <c r="I272" s="38">
        <f>Місто!I274-'[1]Місто'!I270</f>
        <v>0</v>
      </c>
      <c r="J272" s="38">
        <f>Місто!J274-'[1]Місто'!J270</f>
        <v>25816651</v>
      </c>
      <c r="K272" s="38">
        <f>Місто!K274-'[1]Місто'!K270</f>
        <v>0</v>
      </c>
      <c r="L272" s="38">
        <f>Місто!L274-'[1]Місто'!L270</f>
        <v>0</v>
      </c>
      <c r="M272" s="38">
        <f>Місто!M274-'[1]Місто'!M270</f>
        <v>0</v>
      </c>
      <c r="N272" s="38">
        <f>Місто!N274-'[1]Місто'!N270</f>
        <v>25816651</v>
      </c>
      <c r="O272" s="38">
        <f>Місто!O274-'[1]Місто'!O270</f>
        <v>25816651</v>
      </c>
      <c r="P272" s="55">
        <f>Місто!P274-'[1]Місто'!P270</f>
        <v>25816651</v>
      </c>
      <c r="Q272" s="53"/>
      <c r="R272" s="59"/>
      <c r="W272" s="53">
        <f t="shared" si="3"/>
        <v>0</v>
      </c>
    </row>
    <row r="273" spans="1:23" ht="12.75">
      <c r="A273" s="39"/>
      <c r="B273" s="39" t="s">
        <v>338</v>
      </c>
      <c r="C273" s="74" t="s">
        <v>443</v>
      </c>
      <c r="D273" s="36" t="s">
        <v>339</v>
      </c>
      <c r="E273" s="38">
        <f>Місто!E275-'[1]Місто'!E271</f>
        <v>0</v>
      </c>
      <c r="F273" s="38">
        <f>Місто!F275-'[1]Місто'!F271</f>
        <v>0</v>
      </c>
      <c r="G273" s="38">
        <f>Місто!G275-'[1]Місто'!G271</f>
        <v>0</v>
      </c>
      <c r="H273" s="38">
        <f>Місто!H275-'[1]Місто'!H271</f>
        <v>0</v>
      </c>
      <c r="I273" s="38">
        <f>Місто!I275-'[1]Місто'!I271</f>
        <v>0</v>
      </c>
      <c r="J273" s="38">
        <f>Місто!J275-'[1]Місто'!J271</f>
        <v>25816651</v>
      </c>
      <c r="K273" s="38">
        <f>Місто!K275-'[1]Місто'!K271</f>
        <v>0</v>
      </c>
      <c r="L273" s="38">
        <f>Місто!L275-'[1]Місто'!L271</f>
        <v>0</v>
      </c>
      <c r="M273" s="38">
        <f>Місто!M275-'[1]Місто'!M271</f>
        <v>0</v>
      </c>
      <c r="N273" s="38">
        <f>Місто!N275-'[1]Місто'!N271</f>
        <v>25816651</v>
      </c>
      <c r="O273" s="76">
        <f>Місто!O275-'[1]Місто'!O271</f>
        <v>25816651</v>
      </c>
      <c r="P273" s="55">
        <f>Місто!P275-'[1]Місто'!P271</f>
        <v>25816651</v>
      </c>
      <c r="Q273" s="53"/>
      <c r="R273" s="59"/>
      <c r="W273" s="53">
        <f t="shared" si="3"/>
        <v>0</v>
      </c>
    </row>
    <row r="274" spans="1:23" ht="38.25" hidden="1">
      <c r="A274" s="74"/>
      <c r="B274" s="74" t="s">
        <v>123</v>
      </c>
      <c r="C274" s="74" t="s">
        <v>455</v>
      </c>
      <c r="D274" s="36" t="s">
        <v>124</v>
      </c>
      <c r="E274" s="38">
        <f>Місто!E276-'[1]Місто'!E272</f>
        <v>0</v>
      </c>
      <c r="F274" s="38">
        <f>Місто!F276-'[1]Місто'!F272</f>
        <v>0</v>
      </c>
      <c r="G274" s="38">
        <f>Місто!G276-'[1]Місто'!G272</f>
        <v>0</v>
      </c>
      <c r="H274" s="38">
        <f>Місто!H276-'[1]Місто'!H272</f>
        <v>0</v>
      </c>
      <c r="I274" s="38">
        <f>Місто!I276-'[1]Місто'!I272</f>
        <v>0</v>
      </c>
      <c r="J274" s="38">
        <f>Місто!J276-'[1]Місто'!J272</f>
        <v>0</v>
      </c>
      <c r="K274" s="38">
        <f>Місто!K276-'[1]Місто'!K272</f>
        <v>0</v>
      </c>
      <c r="L274" s="38">
        <f>Місто!L276-'[1]Місто'!L272</f>
        <v>0</v>
      </c>
      <c r="M274" s="38">
        <f>Місто!M276-'[1]Місто'!M272</f>
        <v>0</v>
      </c>
      <c r="N274" s="38">
        <f>Місто!N276-'[1]Місто'!N272</f>
        <v>0</v>
      </c>
      <c r="O274" s="76">
        <f>Місто!O276-'[1]Місто'!O272</f>
        <v>0</v>
      </c>
      <c r="P274" s="55">
        <f>Місто!P276-'[1]Місто'!P272</f>
        <v>0</v>
      </c>
      <c r="Q274" s="53"/>
      <c r="R274" s="59"/>
      <c r="W274" s="53">
        <f aca="true" t="shared" si="4" ref="W274:W344">N274-O274</f>
        <v>0</v>
      </c>
    </row>
    <row r="275" spans="1:23" ht="63.75" hidden="1">
      <c r="A275" s="39"/>
      <c r="B275" s="39" t="s">
        <v>353</v>
      </c>
      <c r="C275" s="39"/>
      <c r="D275" s="58" t="s">
        <v>354</v>
      </c>
      <c r="E275" s="38">
        <f>Місто!E277-'[1]Місто'!E273</f>
        <v>0</v>
      </c>
      <c r="F275" s="38">
        <f>Місто!F277-'[1]Місто'!F273</f>
        <v>0</v>
      </c>
      <c r="G275" s="38">
        <f>Місто!G277-'[1]Місто'!G273</f>
        <v>0</v>
      </c>
      <c r="H275" s="38">
        <f>Місто!H277-'[1]Місто'!H273</f>
        <v>0</v>
      </c>
      <c r="I275" s="38">
        <f>Місто!I277-'[1]Місто'!I273</f>
        <v>0</v>
      </c>
      <c r="J275" s="38">
        <f>Місто!J277-'[1]Місто'!J273</f>
        <v>0</v>
      </c>
      <c r="K275" s="38">
        <f>Місто!K277-'[1]Місто'!K273</f>
        <v>0</v>
      </c>
      <c r="L275" s="38">
        <f>Місто!L277-'[1]Місто'!L273</f>
        <v>0</v>
      </c>
      <c r="M275" s="38">
        <f>Місто!M277-'[1]Місто'!M273</f>
        <v>0</v>
      </c>
      <c r="N275" s="38">
        <f>Місто!N277-'[1]Місто'!N273</f>
        <v>0</v>
      </c>
      <c r="O275" s="38">
        <f>Місто!O277-'[1]Місто'!O273</f>
        <v>0</v>
      </c>
      <c r="P275" s="55">
        <f>Місто!P277-'[1]Місто'!P273</f>
        <v>0</v>
      </c>
      <c r="Q275" s="53"/>
      <c r="R275" s="59"/>
      <c r="W275" s="53">
        <f t="shared" si="4"/>
        <v>0</v>
      </c>
    </row>
    <row r="276" spans="1:23" ht="28.5" customHeight="1">
      <c r="A276" s="39"/>
      <c r="B276" s="39" t="s">
        <v>367</v>
      </c>
      <c r="C276" s="39"/>
      <c r="D276" s="58" t="s">
        <v>368</v>
      </c>
      <c r="E276" s="38">
        <f>Місто!E278-'[1]Місто'!E274</f>
        <v>-389888</v>
      </c>
      <c r="F276" s="38">
        <f>Місто!F278-'[1]Місто'!F274</f>
        <v>-389888</v>
      </c>
      <c r="G276" s="38">
        <f>Місто!G278-'[1]Місто'!G274</f>
        <v>0</v>
      </c>
      <c r="H276" s="38">
        <f>Місто!H278-'[1]Місто'!H274</f>
        <v>0</v>
      </c>
      <c r="I276" s="38">
        <f>Місто!I278-'[1]Місто'!I274</f>
        <v>0</v>
      </c>
      <c r="J276" s="38">
        <f>Місто!J278-'[1]Місто'!J274</f>
        <v>-5956176</v>
      </c>
      <c r="K276" s="38">
        <f>Місто!K278-'[1]Місто'!K274</f>
        <v>389888</v>
      </c>
      <c r="L276" s="38">
        <f>Місто!L278-'[1]Місто'!L274</f>
        <v>0</v>
      </c>
      <c r="M276" s="38">
        <f>Місто!M278-'[1]Місто'!M274</f>
        <v>0</v>
      </c>
      <c r="N276" s="38">
        <f>Місто!N278-'[1]Місто'!N274</f>
        <v>-6346064</v>
      </c>
      <c r="O276" s="38">
        <f>Місто!O278-'[1]Місто'!O274</f>
        <v>-6346064</v>
      </c>
      <c r="P276" s="55">
        <f>Місто!P278-'[1]Місто'!P274</f>
        <v>-6346064</v>
      </c>
      <c r="Q276" s="53"/>
      <c r="R276" s="59"/>
      <c r="W276" s="53">
        <f t="shared" si="4"/>
        <v>0</v>
      </c>
    </row>
    <row r="277" spans="1:23" ht="51">
      <c r="A277" s="39"/>
      <c r="B277" s="74" t="s">
        <v>7</v>
      </c>
      <c r="C277" s="74" t="s">
        <v>475</v>
      </c>
      <c r="D277" s="36" t="s">
        <v>239</v>
      </c>
      <c r="E277" s="38">
        <f>Місто!E279-'[1]Місто'!E275</f>
        <v>-389888</v>
      </c>
      <c r="F277" s="38">
        <f>Місто!F279-'[1]Місто'!F275</f>
        <v>-389888</v>
      </c>
      <c r="G277" s="38">
        <f>Місто!G279-'[1]Місто'!G275</f>
        <v>0</v>
      </c>
      <c r="H277" s="38">
        <f>Місто!H279-'[1]Місто'!H275</f>
        <v>0</v>
      </c>
      <c r="I277" s="38">
        <f>Місто!I279-'[1]Місто'!I275</f>
        <v>0</v>
      </c>
      <c r="J277" s="38">
        <f>Місто!J279-'[1]Місто'!J275</f>
        <v>-5956176</v>
      </c>
      <c r="K277" s="38">
        <f>Місто!K279-'[1]Місто'!K275</f>
        <v>389888</v>
      </c>
      <c r="L277" s="38">
        <f>Місто!L279-'[1]Місто'!L275</f>
        <v>0</v>
      </c>
      <c r="M277" s="38">
        <f>Місто!M279-'[1]Місто'!M275</f>
        <v>0</v>
      </c>
      <c r="N277" s="38">
        <f>Місто!N279-'[1]Місто'!N275</f>
        <v>-6346064</v>
      </c>
      <c r="O277" s="38">
        <f>Місто!O279-'[1]Місто'!O275</f>
        <v>-6346064</v>
      </c>
      <c r="P277" s="55">
        <f>Місто!P279-'[1]Місто'!P275</f>
        <v>-6346064</v>
      </c>
      <c r="Q277" s="53"/>
      <c r="R277" s="59"/>
      <c r="W277" s="53">
        <f t="shared" si="4"/>
        <v>0</v>
      </c>
    </row>
    <row r="278" spans="1:23" ht="76.5" hidden="1">
      <c r="A278" s="39"/>
      <c r="B278" s="39"/>
      <c r="C278" s="39"/>
      <c r="D278" s="68" t="s">
        <v>198</v>
      </c>
      <c r="E278" s="38">
        <f>Місто!E280-'[1]Місто'!E276</f>
        <v>0</v>
      </c>
      <c r="F278" s="38">
        <f>Місто!F280-'[1]Місто'!F276</f>
        <v>0</v>
      </c>
      <c r="G278" s="38">
        <f>Місто!G280-'[1]Місто'!G276</f>
        <v>0</v>
      </c>
      <c r="H278" s="38">
        <f>Місто!H280-'[1]Місто'!H276</f>
        <v>0</v>
      </c>
      <c r="I278" s="38">
        <f>Місто!I280-'[1]Місто'!I276</f>
        <v>0</v>
      </c>
      <c r="J278" s="38">
        <f>Місто!J280-'[1]Місто'!J276</f>
        <v>0</v>
      </c>
      <c r="K278" s="38">
        <f>Місто!K280-'[1]Місто'!K276</f>
        <v>0</v>
      </c>
      <c r="L278" s="38">
        <f>Місто!L280-'[1]Місто'!L276</f>
        <v>0</v>
      </c>
      <c r="M278" s="38">
        <f>Місто!M280-'[1]Місто'!M276</f>
        <v>0</v>
      </c>
      <c r="N278" s="38">
        <f>Місто!N280-'[1]Місто'!N276</f>
        <v>0</v>
      </c>
      <c r="O278" s="38">
        <f>Місто!O280-'[1]Місто'!O276</f>
        <v>0</v>
      </c>
      <c r="P278" s="55">
        <f>Місто!P280-'[1]Місто'!P276</f>
        <v>0</v>
      </c>
      <c r="Q278" s="53"/>
      <c r="R278" s="59"/>
      <c r="W278" s="53">
        <f t="shared" si="4"/>
        <v>0</v>
      </c>
    </row>
    <row r="279" spans="1:23" ht="25.5" hidden="1">
      <c r="A279" s="39"/>
      <c r="B279" s="39" t="s">
        <v>376</v>
      </c>
      <c r="C279" s="39"/>
      <c r="D279" s="58" t="s">
        <v>377</v>
      </c>
      <c r="E279" s="38">
        <f>Місто!E281-'[1]Місто'!E277</f>
        <v>0</v>
      </c>
      <c r="F279" s="38">
        <f>Місто!F281-'[1]Місто'!F277</f>
        <v>0</v>
      </c>
      <c r="G279" s="38">
        <f>Місто!G281-'[1]Місто'!G277</f>
        <v>0</v>
      </c>
      <c r="H279" s="38">
        <f>Місто!H281-'[1]Місто'!H277</f>
        <v>0</v>
      </c>
      <c r="I279" s="38">
        <f>Місто!I281-'[1]Місто'!I277</f>
        <v>0</v>
      </c>
      <c r="J279" s="38">
        <f>Місто!J281-'[1]Місто'!J277</f>
        <v>4839436</v>
      </c>
      <c r="K279" s="38">
        <f>Місто!K281-'[1]Місто'!K277</f>
        <v>0</v>
      </c>
      <c r="L279" s="38">
        <f>Місто!L281-'[1]Місто'!L277</f>
        <v>0</v>
      </c>
      <c r="M279" s="38">
        <f>Місто!M281-'[1]Місто'!M277</f>
        <v>0</v>
      </c>
      <c r="N279" s="38">
        <f>Місто!N281-'[1]Місто'!N277</f>
        <v>4839436</v>
      </c>
      <c r="O279" s="38">
        <f>Місто!O281-'[1]Місто'!O277</f>
        <v>4839436</v>
      </c>
      <c r="P279" s="55">
        <f>Місто!P281-'[1]Місто'!P277</f>
        <v>4839436</v>
      </c>
      <c r="Q279" s="53"/>
      <c r="R279" s="59"/>
      <c r="W279" s="53">
        <f t="shared" si="4"/>
        <v>0</v>
      </c>
    </row>
    <row r="280" spans="1:23" ht="51" hidden="1">
      <c r="A280" s="39"/>
      <c r="B280" s="39" t="s">
        <v>355</v>
      </c>
      <c r="C280" s="74" t="s">
        <v>443</v>
      </c>
      <c r="D280" s="68" t="s">
        <v>211</v>
      </c>
      <c r="E280" s="38">
        <f>Місто!E282-'[1]Місто'!E278</f>
        <v>0</v>
      </c>
      <c r="F280" s="38">
        <f>Місто!F282-'[1]Місто'!F278</f>
        <v>0</v>
      </c>
      <c r="G280" s="38">
        <f>Місто!G282-'[1]Місто'!G278</f>
        <v>0</v>
      </c>
      <c r="H280" s="38">
        <f>Місто!H282-'[1]Місто'!H278</f>
        <v>0</v>
      </c>
      <c r="I280" s="38">
        <f>Місто!I282-'[1]Місто'!I278</f>
        <v>0</v>
      </c>
      <c r="J280" s="38">
        <f>Місто!J282-'[1]Місто'!J278</f>
        <v>4839436</v>
      </c>
      <c r="K280" s="38">
        <f>Місто!K282-'[1]Місто'!K278</f>
        <v>0</v>
      </c>
      <c r="L280" s="38">
        <f>Місто!L282-'[1]Місто'!L278</f>
        <v>0</v>
      </c>
      <c r="M280" s="38">
        <f>Місто!M282-'[1]Місто'!M278</f>
        <v>0</v>
      </c>
      <c r="N280" s="38">
        <f>Місто!N282-'[1]Місто'!N278</f>
        <v>4839436</v>
      </c>
      <c r="O280" s="76">
        <f>Місто!O282-'[1]Місто'!O278</f>
        <v>4839436</v>
      </c>
      <c r="P280" s="55">
        <f>Місто!P282-'[1]Місто'!P278</f>
        <v>4839436</v>
      </c>
      <c r="Q280" s="53"/>
      <c r="R280" s="59"/>
      <c r="W280" s="53">
        <f t="shared" si="4"/>
        <v>0</v>
      </c>
    </row>
    <row r="281" spans="1:23" ht="25.5">
      <c r="A281" s="39"/>
      <c r="B281" s="74" t="s">
        <v>407</v>
      </c>
      <c r="C281" s="39"/>
      <c r="D281" s="131" t="s">
        <v>405</v>
      </c>
      <c r="E281" s="38">
        <f>Місто!E283-'[1]Місто'!E279</f>
        <v>0</v>
      </c>
      <c r="F281" s="38">
        <f>Місто!F283-'[1]Місто'!F279</f>
        <v>0</v>
      </c>
      <c r="G281" s="38">
        <f>Місто!G283-'[1]Місто'!G279</f>
        <v>0</v>
      </c>
      <c r="H281" s="38">
        <f>Місто!H283-'[1]Місто'!H279</f>
        <v>0</v>
      </c>
      <c r="I281" s="38">
        <f>Місто!I283-'[1]Місто'!I279</f>
        <v>0</v>
      </c>
      <c r="J281" s="38">
        <f>Місто!J283-'[1]Місто'!J279</f>
        <v>-1610000</v>
      </c>
      <c r="K281" s="38">
        <f>Місто!K283-'[1]Місто'!K279</f>
        <v>0</v>
      </c>
      <c r="L281" s="38">
        <f>Місто!L283-'[1]Місто'!L279</f>
        <v>0</v>
      </c>
      <c r="M281" s="38">
        <f>Місто!M283-'[1]Місто'!M279</f>
        <v>0</v>
      </c>
      <c r="N281" s="38">
        <f>Місто!N283-'[1]Місто'!N279</f>
        <v>-1610000</v>
      </c>
      <c r="O281" s="76">
        <f>Місто!O283-'[1]Місто'!O279</f>
        <v>-1610000</v>
      </c>
      <c r="P281" s="55">
        <f>Місто!P283-'[1]Місто'!P279</f>
        <v>-1610000</v>
      </c>
      <c r="Q281" s="53"/>
      <c r="R281" s="59"/>
      <c r="W281" s="53">
        <f t="shared" si="4"/>
        <v>0</v>
      </c>
    </row>
    <row r="282" spans="1:23" ht="12.75">
      <c r="A282" s="39"/>
      <c r="B282" s="74" t="s">
        <v>426</v>
      </c>
      <c r="C282" s="74" t="s">
        <v>453</v>
      </c>
      <c r="D282" s="131" t="s">
        <v>427</v>
      </c>
      <c r="E282" s="38">
        <f>Місто!E284-'[1]Місто'!E280</f>
        <v>0</v>
      </c>
      <c r="F282" s="38">
        <f>Місто!F284-'[1]Місто'!F280</f>
        <v>0</v>
      </c>
      <c r="G282" s="38">
        <f>Місто!G284-'[1]Місто'!G280</f>
        <v>0</v>
      </c>
      <c r="H282" s="38">
        <f>Місто!H284-'[1]Місто'!H280</f>
        <v>0</v>
      </c>
      <c r="I282" s="38">
        <f>Місто!I284-'[1]Місто'!I280</f>
        <v>0</v>
      </c>
      <c r="J282" s="38">
        <f>Місто!J284-'[1]Місто'!J280</f>
        <v>-1610000</v>
      </c>
      <c r="K282" s="38">
        <f>Місто!K284-'[1]Місто'!K280</f>
        <v>0</v>
      </c>
      <c r="L282" s="38">
        <f>Місто!L284-'[1]Місто'!L280</f>
        <v>0</v>
      </c>
      <c r="M282" s="38">
        <f>Місто!M284-'[1]Місто'!M280</f>
        <v>0</v>
      </c>
      <c r="N282" s="38">
        <f>Місто!N284-'[1]Місто'!N280</f>
        <v>-1610000</v>
      </c>
      <c r="O282" s="76">
        <f>Місто!O284-'[1]Місто'!O280</f>
        <v>-1610000</v>
      </c>
      <c r="P282" s="55">
        <f>Місто!P284-'[1]Місто'!P280</f>
        <v>-1610000</v>
      </c>
      <c r="Q282" s="53"/>
      <c r="R282" s="59"/>
      <c r="W282" s="53">
        <f t="shared" si="4"/>
        <v>0</v>
      </c>
    </row>
    <row r="283" spans="1:23" ht="38.25" hidden="1">
      <c r="A283" s="39"/>
      <c r="B283" s="74" t="s">
        <v>194</v>
      </c>
      <c r="C283" s="39"/>
      <c r="D283" s="60" t="s">
        <v>351</v>
      </c>
      <c r="E283" s="38">
        <f>Місто!E285-'[1]Місто'!E281</f>
        <v>0</v>
      </c>
      <c r="F283" s="38">
        <f>Місто!F285-'[1]Місто'!F281</f>
        <v>0</v>
      </c>
      <c r="G283" s="38">
        <f>Місто!G285-'[1]Місто'!G281</f>
        <v>0</v>
      </c>
      <c r="H283" s="38">
        <f>Місто!H285-'[1]Місто'!H281</f>
        <v>0</v>
      </c>
      <c r="I283" s="38">
        <f>Місто!I285-'[1]Місто'!I281</f>
        <v>0</v>
      </c>
      <c r="J283" s="38">
        <f>Місто!J285-'[1]Місто'!J281</f>
        <v>0</v>
      </c>
      <c r="K283" s="38">
        <f>Місто!K285-'[1]Місто'!K281</f>
        <v>0</v>
      </c>
      <c r="L283" s="38">
        <f>Місто!L285-'[1]Місто'!L281</f>
        <v>0</v>
      </c>
      <c r="M283" s="38">
        <f>Місто!M285-'[1]Місто'!M281</f>
        <v>0</v>
      </c>
      <c r="N283" s="38">
        <f>Місто!N285-'[1]Місто'!N281</f>
        <v>0</v>
      </c>
      <c r="O283" s="76">
        <f>Місто!O285-'[1]Місто'!O281</f>
        <v>0</v>
      </c>
      <c r="P283" s="55">
        <f>Місто!P285-'[1]Місто'!P281</f>
        <v>0</v>
      </c>
      <c r="Q283" s="53"/>
      <c r="R283" s="59"/>
      <c r="W283" s="53"/>
    </row>
    <row r="284" spans="1:23" ht="38.25" hidden="1">
      <c r="A284" s="39"/>
      <c r="B284" s="39" t="s">
        <v>285</v>
      </c>
      <c r="C284" s="74" t="s">
        <v>479</v>
      </c>
      <c r="D284" s="73" t="s">
        <v>241</v>
      </c>
      <c r="E284" s="38">
        <f>Місто!E286-'[1]Місто'!E282</f>
        <v>0</v>
      </c>
      <c r="F284" s="38">
        <f>Місто!F286-'[1]Місто'!F282</f>
        <v>0</v>
      </c>
      <c r="G284" s="38">
        <f>Місто!G286-'[1]Місто'!G282</f>
        <v>0</v>
      </c>
      <c r="H284" s="38">
        <f>Місто!H286-'[1]Місто'!H282</f>
        <v>0</v>
      </c>
      <c r="I284" s="38">
        <f>Місто!I286-'[1]Місто'!I282</f>
        <v>0</v>
      </c>
      <c r="J284" s="38">
        <f>Місто!J286-'[1]Місто'!J282</f>
        <v>0</v>
      </c>
      <c r="K284" s="38">
        <f>Місто!K286-'[1]Місто'!K282</f>
        <v>0</v>
      </c>
      <c r="L284" s="38">
        <f>Місто!L286-'[1]Місто'!L282</f>
        <v>0</v>
      </c>
      <c r="M284" s="38">
        <f>Місто!M286-'[1]Місто'!M282</f>
        <v>0</v>
      </c>
      <c r="N284" s="38">
        <f>Місто!N286-'[1]Місто'!N282</f>
        <v>0</v>
      </c>
      <c r="O284" s="76">
        <f>Місто!O286-'[1]Місто'!O282</f>
        <v>0</v>
      </c>
      <c r="P284" s="55">
        <f>Місто!P286-'[1]Місто'!P282</f>
        <v>0</v>
      </c>
      <c r="Q284" s="53"/>
      <c r="R284" s="59"/>
      <c r="W284" s="53"/>
    </row>
    <row r="285" spans="1:23" s="149" customFormat="1" ht="12.75">
      <c r="A285" s="144"/>
      <c r="B285" s="39" t="s">
        <v>369</v>
      </c>
      <c r="C285" s="39"/>
      <c r="D285" s="60" t="s">
        <v>373</v>
      </c>
      <c r="E285" s="38">
        <f>Місто!E287-'[1]Місто'!E283</f>
        <v>0</v>
      </c>
      <c r="F285" s="38">
        <f>Місто!F287-'[1]Місто'!F283</f>
        <v>0</v>
      </c>
      <c r="G285" s="38">
        <f>Місто!G287-'[1]Місто'!G283</f>
        <v>0</v>
      </c>
      <c r="H285" s="38">
        <f>Місто!H287-'[1]Місто'!H283</f>
        <v>0</v>
      </c>
      <c r="I285" s="38">
        <f>Місто!I287-'[1]Місто'!I283</f>
        <v>0</v>
      </c>
      <c r="J285" s="38">
        <f>Місто!J287-'[1]Місто'!J283</f>
        <v>1610000</v>
      </c>
      <c r="K285" s="38">
        <f>Місто!K287-'[1]Місто'!K283</f>
        <v>0</v>
      </c>
      <c r="L285" s="38">
        <f>Місто!L287-'[1]Місто'!L283</f>
        <v>0</v>
      </c>
      <c r="M285" s="38">
        <f>Місто!M287-'[1]Місто'!M283</f>
        <v>0</v>
      </c>
      <c r="N285" s="38">
        <f>Місто!N287-'[1]Місто'!N283</f>
        <v>1610000</v>
      </c>
      <c r="O285" s="38">
        <f>Місто!O287-'[1]Місто'!O283</f>
        <v>0</v>
      </c>
      <c r="P285" s="55">
        <f>Місто!P287-'[1]Місто'!P283</f>
        <v>1610000</v>
      </c>
      <c r="Q285" s="145"/>
      <c r="R285" s="148"/>
      <c r="W285" s="145">
        <f t="shared" si="4"/>
        <v>1610000</v>
      </c>
    </row>
    <row r="286" spans="1:23" s="149" customFormat="1" ht="25.5">
      <c r="A286" s="144"/>
      <c r="B286" s="39" t="s">
        <v>337</v>
      </c>
      <c r="C286" s="74" t="s">
        <v>454</v>
      </c>
      <c r="D286" s="60" t="s">
        <v>352</v>
      </c>
      <c r="E286" s="38">
        <f>Місто!E288-'[1]Місто'!E284</f>
        <v>0</v>
      </c>
      <c r="F286" s="38">
        <f>Місто!F288-'[1]Місто'!F284</f>
        <v>0</v>
      </c>
      <c r="G286" s="38">
        <f>Місто!G288-'[1]Місто'!G284</f>
        <v>0</v>
      </c>
      <c r="H286" s="38">
        <f>Місто!H288-'[1]Місто'!H284</f>
        <v>0</v>
      </c>
      <c r="I286" s="38">
        <f>Місто!I288-'[1]Місто'!I284</f>
        <v>0</v>
      </c>
      <c r="J286" s="38">
        <f>Місто!J288-'[1]Місто'!J284</f>
        <v>1610000</v>
      </c>
      <c r="K286" s="38">
        <f>Місто!K288-'[1]Місто'!K284</f>
        <v>0</v>
      </c>
      <c r="L286" s="38">
        <f>Місто!L288-'[1]Місто'!L284</f>
        <v>0</v>
      </c>
      <c r="M286" s="38">
        <f>Місто!M288-'[1]Місто'!M284</f>
        <v>0</v>
      </c>
      <c r="N286" s="38">
        <f>Місто!N288-'[1]Місто'!N284</f>
        <v>1610000</v>
      </c>
      <c r="O286" s="38">
        <f>Місто!O288-'[1]Місто'!O284</f>
        <v>0</v>
      </c>
      <c r="P286" s="55">
        <f>Місто!P288-'[1]Місто'!P284</f>
        <v>1610000</v>
      </c>
      <c r="Q286" s="145"/>
      <c r="R286" s="148"/>
      <c r="W286" s="145">
        <f>N286-O286</f>
        <v>1610000</v>
      </c>
    </row>
    <row r="287" spans="1:23" ht="14.25" customHeight="1">
      <c r="A287" s="39"/>
      <c r="B287" s="39" t="s">
        <v>371</v>
      </c>
      <c r="C287" s="39"/>
      <c r="D287" s="43" t="s">
        <v>372</v>
      </c>
      <c r="E287" s="38">
        <f>Місто!E289-'[1]Місто'!E285</f>
        <v>50000000</v>
      </c>
      <c r="F287" s="38">
        <f>Місто!F289-'[1]Місто'!F285</f>
        <v>50000000</v>
      </c>
      <c r="G287" s="38">
        <f>Місто!G289-'[1]Місто'!G285</f>
        <v>0</v>
      </c>
      <c r="H287" s="38">
        <f>Місто!H289-'[1]Місто'!H285</f>
        <v>0</v>
      </c>
      <c r="I287" s="38">
        <f>Місто!I289-'[1]Місто'!I285</f>
        <v>0</v>
      </c>
      <c r="J287" s="38">
        <f>Місто!J289-'[1]Місто'!J285</f>
        <v>341697</v>
      </c>
      <c r="K287" s="38">
        <f>Місто!K289-'[1]Місто'!K285</f>
        <v>0</v>
      </c>
      <c r="L287" s="38">
        <f>Місто!L289-'[1]Місто'!L285</f>
        <v>0</v>
      </c>
      <c r="M287" s="38">
        <f>Місто!M289-'[1]Місто'!M285</f>
        <v>0</v>
      </c>
      <c r="N287" s="38">
        <f>Місто!N289-'[1]Місто'!N285</f>
        <v>341697</v>
      </c>
      <c r="O287" s="38">
        <f>Місто!O289-'[1]Місто'!O285</f>
        <v>341697</v>
      </c>
      <c r="P287" s="55">
        <f>Місто!P289-'[1]Місто'!P285</f>
        <v>50341697</v>
      </c>
      <c r="Q287" s="53"/>
      <c r="R287" s="59"/>
      <c r="W287" s="53">
        <f t="shared" si="4"/>
        <v>0</v>
      </c>
    </row>
    <row r="288" spans="1:23" ht="12.75">
      <c r="A288" s="39"/>
      <c r="B288" s="39" t="s">
        <v>288</v>
      </c>
      <c r="C288" s="74" t="s">
        <v>444</v>
      </c>
      <c r="D288" s="36" t="s">
        <v>316</v>
      </c>
      <c r="E288" s="38">
        <f>Місто!E290-'[1]Місто'!E286</f>
        <v>50000000</v>
      </c>
      <c r="F288" s="38">
        <f>Місто!F290-'[1]Місто'!F286</f>
        <v>50000000</v>
      </c>
      <c r="G288" s="38">
        <f>Місто!G290-'[1]Місто'!G286</f>
        <v>0</v>
      </c>
      <c r="H288" s="38">
        <f>Місто!H290-'[1]Місто'!H286</f>
        <v>0</v>
      </c>
      <c r="I288" s="38">
        <f>Місто!I290-'[1]Місто'!I286</f>
        <v>0</v>
      </c>
      <c r="J288" s="38">
        <f>Місто!J290-'[1]Місто'!J286</f>
        <v>341697</v>
      </c>
      <c r="K288" s="38">
        <f>Місто!K290-'[1]Місто'!K286</f>
        <v>0</v>
      </c>
      <c r="L288" s="38">
        <f>Місто!L290-'[1]Місто'!L286</f>
        <v>0</v>
      </c>
      <c r="M288" s="38">
        <f>Місто!M290-'[1]Місто'!M286</f>
        <v>0</v>
      </c>
      <c r="N288" s="38">
        <f>Місто!N290-'[1]Місто'!N286</f>
        <v>341697</v>
      </c>
      <c r="O288" s="38">
        <f>Місто!O290-'[1]Місто'!O286</f>
        <v>341697</v>
      </c>
      <c r="P288" s="55">
        <f>Місто!P290-'[1]Місто'!P286</f>
        <v>50341697</v>
      </c>
      <c r="Q288" s="53"/>
      <c r="R288" s="59"/>
      <c r="W288" s="53">
        <f t="shared" si="4"/>
        <v>0</v>
      </c>
    </row>
    <row r="289" spans="1:23" s="158" customFormat="1" ht="25.5">
      <c r="A289" s="152"/>
      <c r="B289" s="39"/>
      <c r="C289" s="39"/>
      <c r="D289" s="36" t="s">
        <v>482</v>
      </c>
      <c r="E289" s="38">
        <f>Місто!E291-'[1]Місто'!E287</f>
        <v>0</v>
      </c>
      <c r="F289" s="38">
        <f>Місто!F291-'[1]Місто'!F287</f>
        <v>0</v>
      </c>
      <c r="G289" s="38">
        <f>Місто!G291-'[1]Місто'!G287</f>
        <v>0</v>
      </c>
      <c r="H289" s="38">
        <f>Місто!H291-'[1]Місто'!H287</f>
        <v>0</v>
      </c>
      <c r="I289" s="38">
        <f>Місто!I291-'[1]Місто'!I287</f>
        <v>0</v>
      </c>
      <c r="J289" s="38">
        <f>Місто!J291-'[1]Місто'!J287</f>
        <v>0</v>
      </c>
      <c r="K289" s="38">
        <f>Місто!K291-'[1]Місто'!K287</f>
        <v>0</v>
      </c>
      <c r="L289" s="38">
        <f>Місто!L291-'[1]Місто'!L287</f>
        <v>0</v>
      </c>
      <c r="M289" s="38">
        <f>Місто!M291-'[1]Місто'!M287</f>
        <v>0</v>
      </c>
      <c r="N289" s="38">
        <f>Місто!N291-'[1]Місто'!N287</f>
        <v>0</v>
      </c>
      <c r="O289" s="38">
        <f>Місто!O291-'[1]Місто'!O287</f>
        <v>0</v>
      </c>
      <c r="P289" s="55">
        <f>Місто!P291-'[1]Місто'!P287</f>
        <v>0</v>
      </c>
      <c r="Q289" s="156"/>
      <c r="R289" s="157"/>
      <c r="W289" s="156">
        <f t="shared" si="4"/>
        <v>0</v>
      </c>
    </row>
    <row r="290" spans="1:23" s="158" customFormat="1" ht="25.5">
      <c r="A290" s="152"/>
      <c r="B290" s="39"/>
      <c r="C290" s="39"/>
      <c r="D290" s="36" t="s">
        <v>204</v>
      </c>
      <c r="E290" s="38">
        <f>Місто!E292-'[1]Місто'!E288</f>
        <v>50000000</v>
      </c>
      <c r="F290" s="38">
        <f>Місто!F292-'[1]Місто'!F288</f>
        <v>50000000</v>
      </c>
      <c r="G290" s="38">
        <f>Місто!G292-'[1]Місто'!G288</f>
        <v>0</v>
      </c>
      <c r="H290" s="38">
        <f>Місто!H292-'[1]Місто'!H288</f>
        <v>0</v>
      </c>
      <c r="I290" s="38">
        <f>Місто!I292-'[1]Місто'!I288</f>
        <v>0</v>
      </c>
      <c r="J290" s="38">
        <f>Місто!J292-'[1]Місто'!J288</f>
        <v>0</v>
      </c>
      <c r="K290" s="38">
        <f>Місто!K292-'[1]Місто'!K288</f>
        <v>0</v>
      </c>
      <c r="L290" s="38">
        <f>Місто!L292-'[1]Місто'!L288</f>
        <v>0</v>
      </c>
      <c r="M290" s="38">
        <f>Місто!M292-'[1]Місто'!M288</f>
        <v>0</v>
      </c>
      <c r="N290" s="38">
        <f>Місто!N292-'[1]Місто'!N288</f>
        <v>0</v>
      </c>
      <c r="O290" s="38">
        <f>Місто!O292-'[1]Місто'!O288</f>
        <v>0</v>
      </c>
      <c r="P290" s="55">
        <f>Місто!P292-'[1]Місто'!P288</f>
        <v>50000000</v>
      </c>
      <c r="Q290" s="156"/>
      <c r="R290" s="157"/>
      <c r="W290" s="156">
        <f t="shared" si="4"/>
        <v>0</v>
      </c>
    </row>
    <row r="291" spans="1:23" s="158" customFormat="1" ht="12.75">
      <c r="A291" s="152"/>
      <c r="B291" s="39"/>
      <c r="C291" s="39"/>
      <c r="D291" s="36" t="s">
        <v>484</v>
      </c>
      <c r="E291" s="38">
        <f>Місто!E293-'[1]Місто'!E289</f>
        <v>0</v>
      </c>
      <c r="F291" s="38">
        <f>Місто!F293-'[1]Місто'!F289</f>
        <v>0</v>
      </c>
      <c r="G291" s="38">
        <f>Місто!G293-'[1]Місто'!G289</f>
        <v>0</v>
      </c>
      <c r="H291" s="38">
        <f>Місто!H293-'[1]Місто'!H289</f>
        <v>0</v>
      </c>
      <c r="I291" s="38">
        <f>Місто!I293-'[1]Місто'!I289</f>
        <v>0</v>
      </c>
      <c r="J291" s="38">
        <f>Місто!J293-'[1]Місто'!J289</f>
        <v>0</v>
      </c>
      <c r="K291" s="38">
        <f>Місто!K293-'[1]Місто'!K289</f>
        <v>0</v>
      </c>
      <c r="L291" s="38">
        <f>Місто!L293-'[1]Місто'!L289</f>
        <v>0</v>
      </c>
      <c r="M291" s="38">
        <f>Місто!M293-'[1]Місто'!M289</f>
        <v>0</v>
      </c>
      <c r="N291" s="38">
        <f>Місто!N293-'[1]Місто'!N289</f>
        <v>0</v>
      </c>
      <c r="O291" s="38">
        <f>Місто!O293-'[1]Місто'!O289</f>
        <v>0</v>
      </c>
      <c r="P291" s="55">
        <f>Місто!P293-'[1]Місто'!P289</f>
        <v>0</v>
      </c>
      <c r="Q291" s="156"/>
      <c r="R291" s="157"/>
      <c r="W291" s="156"/>
    </row>
    <row r="292" spans="1:23" s="158" customFormat="1" ht="38.25">
      <c r="A292" s="152"/>
      <c r="B292" s="39"/>
      <c r="C292" s="39"/>
      <c r="D292" s="36" t="s">
        <v>205</v>
      </c>
      <c r="E292" s="38">
        <f>Місто!E294-'[1]Місто'!E290</f>
        <v>0</v>
      </c>
      <c r="F292" s="38">
        <f>Місто!F294-'[1]Місто'!F290</f>
        <v>0</v>
      </c>
      <c r="G292" s="38">
        <f>Місто!G294-'[1]Місто'!G290</f>
        <v>0</v>
      </c>
      <c r="H292" s="38">
        <f>Місто!H294-'[1]Місто'!H290</f>
        <v>0</v>
      </c>
      <c r="I292" s="38">
        <f>Місто!I294-'[1]Місто'!I290</f>
        <v>0</v>
      </c>
      <c r="J292" s="38">
        <f>Місто!J294-'[1]Місто'!J290</f>
        <v>0</v>
      </c>
      <c r="K292" s="38">
        <f>Місто!K294-'[1]Місто'!K290</f>
        <v>0</v>
      </c>
      <c r="L292" s="38">
        <f>Місто!L294-'[1]Місто'!L290</f>
        <v>0</v>
      </c>
      <c r="M292" s="38">
        <f>Місто!M294-'[1]Місто'!M290</f>
        <v>0</v>
      </c>
      <c r="N292" s="38">
        <f>Місто!N294-'[1]Місто'!N290</f>
        <v>0</v>
      </c>
      <c r="O292" s="38">
        <f>Місто!O294-'[1]Місто'!O290</f>
        <v>0</v>
      </c>
      <c r="P292" s="55">
        <f>Місто!P294-'[1]Місто'!P290</f>
        <v>0</v>
      </c>
      <c r="Q292" s="156"/>
      <c r="R292" s="157"/>
      <c r="W292" s="156">
        <f t="shared" si="4"/>
        <v>0</v>
      </c>
    </row>
    <row r="293" spans="1:23" s="158" customFormat="1" ht="25.5">
      <c r="A293" s="152"/>
      <c r="B293" s="39"/>
      <c r="C293" s="39"/>
      <c r="D293" s="36" t="s">
        <v>492</v>
      </c>
      <c r="E293" s="38">
        <f>Місто!E295-'[1]Місто'!E291</f>
        <v>0</v>
      </c>
      <c r="F293" s="38">
        <f>Місто!F295-'[1]Місто'!F291</f>
        <v>0</v>
      </c>
      <c r="G293" s="38">
        <f>Місто!G295-'[1]Місто'!G291</f>
        <v>0</v>
      </c>
      <c r="H293" s="38">
        <f>Місто!H295-'[1]Місто'!H291</f>
        <v>0</v>
      </c>
      <c r="I293" s="38">
        <f>Місто!I295-'[1]Місто'!I291</f>
        <v>0</v>
      </c>
      <c r="J293" s="38">
        <f>Місто!J295-'[1]Місто'!J291</f>
        <v>0</v>
      </c>
      <c r="K293" s="38">
        <f>Місто!K295-'[1]Місто'!K291</f>
        <v>0</v>
      </c>
      <c r="L293" s="38">
        <f>Місто!L295-'[1]Місто'!L291</f>
        <v>0</v>
      </c>
      <c r="M293" s="38">
        <f>Місто!M295-'[1]Місто'!M291</f>
        <v>0</v>
      </c>
      <c r="N293" s="38">
        <f>Місто!N295-'[1]Місто'!N291</f>
        <v>0</v>
      </c>
      <c r="O293" s="38">
        <f>Місто!O295-'[1]Місто'!O291</f>
        <v>0</v>
      </c>
      <c r="P293" s="55">
        <f>Місто!P295-'[1]Місто'!P291</f>
        <v>0</v>
      </c>
      <c r="Q293" s="156"/>
      <c r="R293" s="157"/>
      <c r="W293" s="156">
        <f t="shared" si="4"/>
        <v>0</v>
      </c>
    </row>
    <row r="294" spans="1:23" s="158" customFormat="1" ht="12.75">
      <c r="A294" s="152"/>
      <c r="B294" s="39"/>
      <c r="C294" s="39"/>
      <c r="D294" s="68" t="s">
        <v>36</v>
      </c>
      <c r="E294" s="38">
        <f>Місто!E296-'[1]Місто'!E292</f>
        <v>0</v>
      </c>
      <c r="F294" s="38">
        <f>Місто!F296-'[1]Місто'!F292</f>
        <v>0</v>
      </c>
      <c r="G294" s="38">
        <f>Місто!G296-'[1]Місто'!G292</f>
        <v>0</v>
      </c>
      <c r="H294" s="38">
        <f>Місто!H296-'[1]Місто'!H292</f>
        <v>0</v>
      </c>
      <c r="I294" s="38">
        <f>Місто!I296-'[1]Місто'!I292</f>
        <v>0</v>
      </c>
      <c r="J294" s="38">
        <f>Місто!J296-'[1]Місто'!J292</f>
        <v>0</v>
      </c>
      <c r="K294" s="38">
        <f>Місто!K296-'[1]Місто'!K292</f>
        <v>0</v>
      </c>
      <c r="L294" s="38">
        <f>Місто!L296-'[1]Місто'!L292</f>
        <v>0</v>
      </c>
      <c r="M294" s="38">
        <f>Місто!M296-'[1]Місто'!M292</f>
        <v>0</v>
      </c>
      <c r="N294" s="38">
        <f>Місто!N296-'[1]Місто'!N292</f>
        <v>0</v>
      </c>
      <c r="O294" s="38">
        <f>Місто!O296-'[1]Місто'!O292</f>
        <v>0</v>
      </c>
      <c r="P294" s="55">
        <f>Місто!P296-'[1]Місто'!P292</f>
        <v>0</v>
      </c>
      <c r="Q294" s="156"/>
      <c r="R294" s="157"/>
      <c r="W294" s="156">
        <f t="shared" si="4"/>
        <v>0</v>
      </c>
    </row>
    <row r="295" spans="1:23" s="158" customFormat="1" ht="12.75">
      <c r="A295" s="152"/>
      <c r="B295" s="39"/>
      <c r="C295" s="39"/>
      <c r="D295" s="36" t="s">
        <v>481</v>
      </c>
      <c r="E295" s="38" t="e">
        <f>Місто!#REF!-'[1]Місто'!E293</f>
        <v>#REF!</v>
      </c>
      <c r="F295" s="38" t="e">
        <f>Місто!#REF!-'[1]Місто'!F293</f>
        <v>#REF!</v>
      </c>
      <c r="G295" s="38" t="e">
        <f>Місто!#REF!-'[1]Місто'!G293</f>
        <v>#REF!</v>
      </c>
      <c r="H295" s="38" t="e">
        <f>Місто!#REF!-'[1]Місто'!H293</f>
        <v>#REF!</v>
      </c>
      <c r="I295" s="38" t="e">
        <f>Місто!#REF!-'[1]Місто'!I293</f>
        <v>#REF!</v>
      </c>
      <c r="J295" s="38" t="e">
        <f>Місто!#REF!-'[1]Місто'!J293</f>
        <v>#REF!</v>
      </c>
      <c r="K295" s="38" t="e">
        <f>Місто!#REF!-'[1]Місто'!K293</f>
        <v>#REF!</v>
      </c>
      <c r="L295" s="38" t="e">
        <f>Місто!#REF!-'[1]Місто'!L293</f>
        <v>#REF!</v>
      </c>
      <c r="M295" s="38" t="e">
        <f>Місто!#REF!-'[1]Місто'!M293</f>
        <v>#REF!</v>
      </c>
      <c r="N295" s="38" t="e">
        <f>Місто!#REF!-'[1]Місто'!N293</f>
        <v>#REF!</v>
      </c>
      <c r="O295" s="38" t="e">
        <f>Місто!#REF!-'[1]Місто'!O293</f>
        <v>#REF!</v>
      </c>
      <c r="P295" s="55" t="e">
        <f>Місто!#REF!-'[1]Місто'!P293</f>
        <v>#REF!</v>
      </c>
      <c r="Q295" s="156"/>
      <c r="R295" s="157"/>
      <c r="W295" s="156"/>
    </row>
    <row r="296" spans="1:23" s="158" customFormat="1" ht="12.75">
      <c r="A296" s="152"/>
      <c r="B296" s="39"/>
      <c r="C296" s="39" t="s">
        <v>428</v>
      </c>
      <c r="D296" s="36"/>
      <c r="E296" s="38">
        <f>Місто!E297-'[1]Місто'!E294</f>
        <v>0</v>
      </c>
      <c r="F296" s="38">
        <f>Місто!F297-'[1]Місто'!F294</f>
        <v>0</v>
      </c>
      <c r="G296" s="38">
        <f>Місто!G297-'[1]Місто'!G294</f>
        <v>0</v>
      </c>
      <c r="H296" s="38">
        <f>Місто!H297-'[1]Місто'!H294</f>
        <v>0</v>
      </c>
      <c r="I296" s="38">
        <f>Місто!I297-'[1]Місто'!I294</f>
        <v>0</v>
      </c>
      <c r="J296" s="38">
        <f>Місто!J297-'[1]Місто'!J294</f>
        <v>341697</v>
      </c>
      <c r="K296" s="38">
        <f>Місто!K297-'[1]Місто'!K294</f>
        <v>0</v>
      </c>
      <c r="L296" s="38">
        <f>Місто!L297-'[1]Місто'!L294</f>
        <v>0</v>
      </c>
      <c r="M296" s="38">
        <f>Місто!M297-'[1]Місто'!M294</f>
        <v>0</v>
      </c>
      <c r="N296" s="38">
        <f>Місто!N297-'[1]Місто'!N294</f>
        <v>341697</v>
      </c>
      <c r="O296" s="38">
        <f>Місто!O297-'[1]Місто'!O294</f>
        <v>341697</v>
      </c>
      <c r="P296" s="55">
        <f>Місто!P297-'[1]Місто'!P294</f>
        <v>341697</v>
      </c>
      <c r="Q296" s="156"/>
      <c r="R296" s="157"/>
      <c r="W296" s="156">
        <f t="shared" si="4"/>
        <v>0</v>
      </c>
    </row>
    <row r="297" spans="1:23" ht="24">
      <c r="A297" s="98"/>
      <c r="B297" s="98" t="s">
        <v>176</v>
      </c>
      <c r="C297" s="98"/>
      <c r="D297" s="106" t="s">
        <v>129</v>
      </c>
      <c r="E297" s="51">
        <f>Місто!E298-'[1]Місто'!E295</f>
        <v>108818</v>
      </c>
      <c r="F297" s="51">
        <f>Місто!F298-'[1]Місто'!F295</f>
        <v>108818</v>
      </c>
      <c r="G297" s="51">
        <f>Місто!G298-'[1]Місто'!G295</f>
        <v>368006</v>
      </c>
      <c r="H297" s="51">
        <f>Місто!H298-'[1]Місто'!H295</f>
        <v>0</v>
      </c>
      <c r="I297" s="51">
        <f>Місто!I298-'[1]Місто'!I295</f>
        <v>0</v>
      </c>
      <c r="J297" s="51">
        <f>Місто!J298-'[1]Місто'!J295</f>
        <v>28941</v>
      </c>
      <c r="K297" s="51">
        <f>Місто!K298-'[1]Місто'!K295</f>
        <v>0</v>
      </c>
      <c r="L297" s="51">
        <f>Місто!L298-'[1]Місто'!L295</f>
        <v>0</v>
      </c>
      <c r="M297" s="51">
        <f>Місто!M298-'[1]Місто'!M295</f>
        <v>0</v>
      </c>
      <c r="N297" s="51">
        <f>Місто!N298-'[1]Місто'!N295</f>
        <v>28941</v>
      </c>
      <c r="O297" s="51">
        <f>Місто!O298-'[1]Місто'!O295</f>
        <v>28941</v>
      </c>
      <c r="P297" s="52">
        <f>Місто!P298-'[1]Місто'!P295</f>
        <v>137759</v>
      </c>
      <c r="Q297" s="53"/>
      <c r="R297" s="59"/>
      <c r="W297" s="53">
        <f t="shared" si="4"/>
        <v>0</v>
      </c>
    </row>
    <row r="298" spans="1:23" ht="12.75">
      <c r="A298" s="42"/>
      <c r="B298" s="42" t="s">
        <v>362</v>
      </c>
      <c r="C298" s="42"/>
      <c r="D298" s="43" t="s">
        <v>363</v>
      </c>
      <c r="E298" s="37">
        <f>Місто!E299-'[1]Місто'!E296</f>
        <v>108818</v>
      </c>
      <c r="F298" s="37">
        <f>Місто!F299-'[1]Місто'!F296</f>
        <v>108818</v>
      </c>
      <c r="G298" s="37">
        <f>Місто!G299-'[1]Місто'!G296</f>
        <v>368006</v>
      </c>
      <c r="H298" s="37">
        <f>Місто!H299-'[1]Місто'!H296</f>
        <v>0</v>
      </c>
      <c r="I298" s="37">
        <f>Місто!I299-'[1]Місто'!I296</f>
        <v>0</v>
      </c>
      <c r="J298" s="38">
        <f>Місто!J299-'[1]Місто'!J296</f>
        <v>28941</v>
      </c>
      <c r="K298" s="37">
        <f>Місто!K299-'[1]Місто'!K296</f>
        <v>0</v>
      </c>
      <c r="L298" s="37">
        <f>Місто!L299-'[1]Місто'!L296</f>
        <v>0</v>
      </c>
      <c r="M298" s="37">
        <f>Місто!M299-'[1]Місто'!M296</f>
        <v>0</v>
      </c>
      <c r="N298" s="37">
        <f>Місто!N299-'[1]Місто'!N296</f>
        <v>28941</v>
      </c>
      <c r="O298" s="37">
        <f>Місто!O299-'[1]Місто'!O296</f>
        <v>28941</v>
      </c>
      <c r="P298" s="55">
        <f>Місто!P299-'[1]Місто'!P296</f>
        <v>137759</v>
      </c>
      <c r="Q298" s="53"/>
      <c r="R298" s="59"/>
      <c r="W298" s="53">
        <f t="shared" si="4"/>
        <v>0</v>
      </c>
    </row>
    <row r="299" spans="1:23" ht="12.75">
      <c r="A299" s="39"/>
      <c r="B299" s="39" t="s">
        <v>249</v>
      </c>
      <c r="C299" s="74" t="s">
        <v>441</v>
      </c>
      <c r="D299" s="58" t="s">
        <v>250</v>
      </c>
      <c r="E299" s="38">
        <f>Місто!E300-'[1]Місто'!E297</f>
        <v>108818</v>
      </c>
      <c r="F299" s="38">
        <f>Місто!F300-'[1]Місто'!F297</f>
        <v>108818</v>
      </c>
      <c r="G299" s="38">
        <f>Місто!G300-'[1]Місто'!G297</f>
        <v>368006</v>
      </c>
      <c r="H299" s="38">
        <f>Місто!H300-'[1]Місто'!H297</f>
        <v>0</v>
      </c>
      <c r="I299" s="38">
        <f>Місто!I300-'[1]Місто'!I297</f>
        <v>0</v>
      </c>
      <c r="J299" s="38">
        <f>Місто!J300-'[1]Місто'!J297</f>
        <v>28941</v>
      </c>
      <c r="K299" s="38">
        <f>Місто!K300-'[1]Місто'!K297</f>
        <v>0</v>
      </c>
      <c r="L299" s="38">
        <f>Місто!L300-'[1]Місто'!L297</f>
        <v>0</v>
      </c>
      <c r="M299" s="38">
        <f>Місто!M300-'[1]Місто'!M297</f>
        <v>0</v>
      </c>
      <c r="N299" s="76">
        <f>Місто!N300-'[1]Місто'!N297</f>
        <v>28941</v>
      </c>
      <c r="O299" s="76">
        <f>Місто!O300-'[1]Місто'!O297</f>
        <v>28941</v>
      </c>
      <c r="P299" s="55">
        <f>Місто!P300-'[1]Місто'!P297</f>
        <v>137759</v>
      </c>
      <c r="Q299" s="53"/>
      <c r="R299" s="59"/>
      <c r="W299" s="53">
        <f t="shared" si="4"/>
        <v>0</v>
      </c>
    </row>
    <row r="300" spans="1:23" ht="12.75" hidden="1">
      <c r="A300" s="39"/>
      <c r="B300" s="39" t="s">
        <v>338</v>
      </c>
      <c r="C300" s="39"/>
      <c r="D300" s="58" t="s">
        <v>339</v>
      </c>
      <c r="E300" s="38">
        <f>Місто!E301-'[1]Місто'!E298</f>
        <v>0</v>
      </c>
      <c r="F300" s="38">
        <f>Місто!F301-'[1]Місто'!F298</f>
        <v>0</v>
      </c>
      <c r="G300" s="38">
        <f>Місто!G301-'[1]Місто'!G298</f>
        <v>0</v>
      </c>
      <c r="H300" s="38">
        <f>Місто!H301-'[1]Місто'!H298</f>
        <v>0</v>
      </c>
      <c r="I300" s="38">
        <f>Місто!I301-'[1]Місто'!I298</f>
        <v>0</v>
      </c>
      <c r="J300" s="38">
        <f>Місто!J301-'[1]Місто'!J298</f>
        <v>0</v>
      </c>
      <c r="K300" s="38">
        <f>Місто!K301-'[1]Місто'!K298</f>
        <v>0</v>
      </c>
      <c r="L300" s="38">
        <f>Місто!L301-'[1]Місто'!L298</f>
        <v>0</v>
      </c>
      <c r="M300" s="38">
        <f>Місто!M301-'[1]Місто'!M298</f>
        <v>0</v>
      </c>
      <c r="N300" s="38">
        <f>Місто!N301-'[1]Місто'!N298</f>
        <v>0</v>
      </c>
      <c r="O300" s="38">
        <f>Місто!O301-'[1]Місто'!O298</f>
        <v>0</v>
      </c>
      <c r="P300" s="55">
        <f>Місто!P301-'[1]Місто'!P298</f>
        <v>0</v>
      </c>
      <c r="Q300" s="53"/>
      <c r="R300" s="59"/>
      <c r="W300" s="53">
        <f t="shared" si="4"/>
        <v>0</v>
      </c>
    </row>
    <row r="301" spans="1:23" s="54" customFormat="1" ht="178.5" hidden="1">
      <c r="A301" s="39"/>
      <c r="B301" s="39" t="s">
        <v>82</v>
      </c>
      <c r="C301" s="39"/>
      <c r="D301" s="68" t="s">
        <v>65</v>
      </c>
      <c r="E301" s="38">
        <f>Місто!E302-'[1]Місто'!E299</f>
        <v>0</v>
      </c>
      <c r="F301" s="38">
        <f>Місто!F302-'[1]Місто'!F299</f>
        <v>0</v>
      </c>
      <c r="G301" s="38">
        <f>Місто!G302-'[1]Місто'!G299</f>
        <v>0</v>
      </c>
      <c r="H301" s="38">
        <f>Місто!H302-'[1]Місто'!H299</f>
        <v>0</v>
      </c>
      <c r="I301" s="38">
        <f>Місто!I302-'[1]Місто'!I299</f>
        <v>0</v>
      </c>
      <c r="J301" s="38">
        <f>Місто!J302-'[1]Місто'!J299</f>
        <v>0</v>
      </c>
      <c r="K301" s="38">
        <f>Місто!K302-'[1]Місто'!K299</f>
        <v>0</v>
      </c>
      <c r="L301" s="38">
        <f>Місто!L302-'[1]Місто'!L299</f>
        <v>0</v>
      </c>
      <c r="M301" s="38">
        <f>Місто!M302-'[1]Місто'!M299</f>
        <v>0</v>
      </c>
      <c r="N301" s="38">
        <f>Місто!N302-'[1]Місто'!N299</f>
        <v>0</v>
      </c>
      <c r="O301" s="38">
        <f>Місто!O302-'[1]Місто'!O299</f>
        <v>0</v>
      </c>
      <c r="P301" s="55">
        <f>Місто!P302-'[1]Місто'!P299</f>
        <v>0</v>
      </c>
      <c r="Q301" s="53"/>
      <c r="R301" s="53"/>
      <c r="W301" s="53">
        <f t="shared" si="4"/>
        <v>0</v>
      </c>
    </row>
    <row r="302" spans="1:23" ht="12.75" hidden="1">
      <c r="A302" s="39"/>
      <c r="B302" s="39" t="s">
        <v>369</v>
      </c>
      <c r="C302" s="39"/>
      <c r="D302" s="36" t="s">
        <v>373</v>
      </c>
      <c r="E302" s="38">
        <f>Місто!E303-'[1]Місто'!E300</f>
        <v>0</v>
      </c>
      <c r="F302" s="38">
        <f>Місто!F303-'[1]Місто'!F300</f>
        <v>0</v>
      </c>
      <c r="G302" s="38">
        <f>Місто!G303-'[1]Місто'!G300</f>
        <v>0</v>
      </c>
      <c r="H302" s="38">
        <f>Місто!H303-'[1]Місто'!H300</f>
        <v>0</v>
      </c>
      <c r="I302" s="38">
        <f>Місто!I303-'[1]Місто'!I300</f>
        <v>0</v>
      </c>
      <c r="J302" s="38">
        <f>Місто!J303-'[1]Місто'!J300</f>
        <v>0</v>
      </c>
      <c r="K302" s="38">
        <f>Місто!K303-'[1]Місто'!K300</f>
        <v>0</v>
      </c>
      <c r="L302" s="38">
        <f>Місто!L303-'[1]Місто'!L300</f>
        <v>0</v>
      </c>
      <c r="M302" s="38">
        <f>Місто!M303-'[1]Місто'!M300</f>
        <v>0</v>
      </c>
      <c r="N302" s="38">
        <f>Місто!N303-'[1]Місто'!N300</f>
        <v>0</v>
      </c>
      <c r="O302" s="38">
        <f>Місто!O303-'[1]Місто'!O300</f>
        <v>0</v>
      </c>
      <c r="P302" s="55">
        <f>Місто!P303-'[1]Місто'!P300</f>
        <v>0</v>
      </c>
      <c r="Q302" s="53"/>
      <c r="R302" s="59"/>
      <c r="W302" s="53">
        <f t="shared" si="4"/>
        <v>0</v>
      </c>
    </row>
    <row r="303" spans="1:23" ht="25.5" hidden="1">
      <c r="A303" s="39"/>
      <c r="B303" s="39" t="s">
        <v>287</v>
      </c>
      <c r="C303" s="39"/>
      <c r="D303" s="36" t="s">
        <v>333</v>
      </c>
      <c r="E303" s="38">
        <f>Місто!E304-'[1]Місто'!E301</f>
        <v>0</v>
      </c>
      <c r="F303" s="38">
        <f>Місто!F304-'[1]Місто'!F301</f>
        <v>0</v>
      </c>
      <c r="G303" s="38">
        <f>Місто!G304-'[1]Місто'!G301</f>
        <v>0</v>
      </c>
      <c r="H303" s="38">
        <f>Місто!H304-'[1]Місто'!H301</f>
        <v>0</v>
      </c>
      <c r="I303" s="38">
        <f>Місто!I304-'[1]Місто'!I301</f>
        <v>0</v>
      </c>
      <c r="J303" s="38">
        <f>Місто!J304-'[1]Місто'!J301</f>
        <v>0</v>
      </c>
      <c r="K303" s="38">
        <f>Місто!K304-'[1]Місто'!K301</f>
        <v>0</v>
      </c>
      <c r="L303" s="38">
        <f>Місто!L304-'[1]Місто'!L301</f>
        <v>0</v>
      </c>
      <c r="M303" s="38">
        <f>Місто!M304-'[1]Місто'!M301</f>
        <v>0</v>
      </c>
      <c r="N303" s="38">
        <f>Місто!N304-'[1]Місто'!N301</f>
        <v>0</v>
      </c>
      <c r="O303" s="38">
        <f>Місто!O304-'[1]Місто'!O301</f>
        <v>0</v>
      </c>
      <c r="P303" s="55">
        <f>Місто!P304-'[1]Місто'!P301</f>
        <v>0</v>
      </c>
      <c r="Q303" s="53"/>
      <c r="R303" s="59"/>
      <c r="W303" s="53">
        <f t="shared" si="4"/>
        <v>0</v>
      </c>
    </row>
    <row r="304" spans="1:23" ht="25.5" hidden="1">
      <c r="A304" s="39"/>
      <c r="B304" s="39" t="s">
        <v>371</v>
      </c>
      <c r="C304" s="39"/>
      <c r="D304" s="43" t="s">
        <v>372</v>
      </c>
      <c r="E304" s="38">
        <f>Місто!E305-'[1]Місто'!E302</f>
        <v>0</v>
      </c>
      <c r="F304" s="38">
        <f>Місто!F305-'[1]Місто'!F302</f>
        <v>0</v>
      </c>
      <c r="G304" s="38">
        <f>Місто!G305-'[1]Місто'!G302</f>
        <v>0</v>
      </c>
      <c r="H304" s="38">
        <f>Місто!H305-'[1]Місто'!H302</f>
        <v>0</v>
      </c>
      <c r="I304" s="38">
        <f>Місто!I305-'[1]Місто'!I302</f>
        <v>0</v>
      </c>
      <c r="J304" s="38">
        <f>Місто!J305-'[1]Місто'!J302</f>
        <v>0</v>
      </c>
      <c r="K304" s="38">
        <f>Місто!K305-'[1]Місто'!K302</f>
        <v>0</v>
      </c>
      <c r="L304" s="38">
        <f>Місто!L305-'[1]Місто'!L302</f>
        <v>0</v>
      </c>
      <c r="M304" s="38">
        <f>Місто!M305-'[1]Місто'!M302</f>
        <v>0</v>
      </c>
      <c r="N304" s="38">
        <f>Місто!N305-'[1]Місто'!N302</f>
        <v>0</v>
      </c>
      <c r="O304" s="38">
        <f>Місто!O305-'[1]Місто'!O302</f>
        <v>0</v>
      </c>
      <c r="P304" s="55">
        <f>Місто!P305-'[1]Місто'!P302</f>
        <v>0</v>
      </c>
      <c r="Q304" s="53"/>
      <c r="R304" s="59"/>
      <c r="W304" s="53">
        <f t="shared" si="4"/>
        <v>0</v>
      </c>
    </row>
    <row r="305" spans="1:23" ht="12.75" hidden="1">
      <c r="A305" s="39"/>
      <c r="B305" s="39" t="s">
        <v>288</v>
      </c>
      <c r="C305" s="74" t="s">
        <v>444</v>
      </c>
      <c r="D305" s="36" t="s">
        <v>316</v>
      </c>
      <c r="E305" s="38">
        <f>Місто!E306-'[1]Місто'!E303</f>
        <v>0</v>
      </c>
      <c r="F305" s="38">
        <f>Місто!F306-'[1]Місто'!F303</f>
        <v>0</v>
      </c>
      <c r="G305" s="38">
        <f>Місто!G306-'[1]Місто'!G303</f>
        <v>0</v>
      </c>
      <c r="H305" s="38">
        <f>Місто!H306-'[1]Місто'!H303</f>
        <v>0</v>
      </c>
      <c r="I305" s="38">
        <f>Місто!I306-'[1]Місто'!I303</f>
        <v>0</v>
      </c>
      <c r="J305" s="38">
        <f>Місто!J306-'[1]Місто'!J303</f>
        <v>0</v>
      </c>
      <c r="K305" s="38">
        <f>Місто!K306-'[1]Місто'!K303</f>
        <v>0</v>
      </c>
      <c r="L305" s="38">
        <f>Місто!L306-'[1]Місто'!L303</f>
        <v>0</v>
      </c>
      <c r="M305" s="38">
        <f>Місто!M306-'[1]Місто'!M303</f>
        <v>0</v>
      </c>
      <c r="N305" s="38">
        <f>Місто!N306-'[1]Місто'!N303</f>
        <v>0</v>
      </c>
      <c r="O305" s="38">
        <f>Місто!O306-'[1]Місто'!O303</f>
        <v>0</v>
      </c>
      <c r="P305" s="55">
        <f>Місто!P306-'[1]Місто'!P303</f>
        <v>0</v>
      </c>
      <c r="Q305" s="53"/>
      <c r="R305" s="59"/>
      <c r="W305" s="53">
        <f t="shared" si="4"/>
        <v>0</v>
      </c>
    </row>
    <row r="306" spans="1:23" s="158" customFormat="1" ht="25.5" hidden="1">
      <c r="A306" s="152"/>
      <c r="B306" s="39"/>
      <c r="C306" s="39"/>
      <c r="D306" s="36" t="s">
        <v>489</v>
      </c>
      <c r="E306" s="38">
        <f>Місто!E307-'[1]Місто'!E304</f>
        <v>0</v>
      </c>
      <c r="F306" s="38">
        <f>Місто!F307-'[1]Місто'!F304</f>
        <v>0</v>
      </c>
      <c r="G306" s="38">
        <f>Місто!G307-'[1]Місто'!G304</f>
        <v>0</v>
      </c>
      <c r="H306" s="38">
        <f>Місто!H307-'[1]Місто'!H304</f>
        <v>0</v>
      </c>
      <c r="I306" s="38">
        <f>Місто!I307-'[1]Місто'!I304</f>
        <v>0</v>
      </c>
      <c r="J306" s="38">
        <f>Місто!J307-'[1]Місто'!J304</f>
        <v>0</v>
      </c>
      <c r="K306" s="38">
        <f>Місто!K307-'[1]Місто'!K304</f>
        <v>0</v>
      </c>
      <c r="L306" s="38">
        <f>Місто!L307-'[1]Місто'!L304</f>
        <v>0</v>
      </c>
      <c r="M306" s="38">
        <f>Місто!M307-'[1]Місто'!M304</f>
        <v>0</v>
      </c>
      <c r="N306" s="38">
        <f>Місто!N307-'[1]Місто'!N304</f>
        <v>0</v>
      </c>
      <c r="O306" s="38">
        <f>Місто!O307-'[1]Місто'!O304</f>
        <v>0</v>
      </c>
      <c r="P306" s="55">
        <f>Місто!P307-'[1]Місто'!P304</f>
        <v>0</v>
      </c>
      <c r="Q306" s="156"/>
      <c r="R306" s="157"/>
      <c r="W306" s="156"/>
    </row>
    <row r="307" spans="1:23" s="158" customFormat="1" ht="24" hidden="1">
      <c r="A307" s="152"/>
      <c r="B307" s="39"/>
      <c r="C307" s="39"/>
      <c r="D307" s="169" t="s">
        <v>105</v>
      </c>
      <c r="E307" s="38">
        <f>Місто!E308-'[1]Місто'!E305</f>
        <v>0</v>
      </c>
      <c r="F307" s="38">
        <f>Місто!F308-'[1]Місто'!F305</f>
        <v>0</v>
      </c>
      <c r="G307" s="38">
        <f>Місто!G308-'[1]Місто'!G305</f>
        <v>0</v>
      </c>
      <c r="H307" s="38">
        <f>Місто!H308-'[1]Місто'!H305</f>
        <v>0</v>
      </c>
      <c r="I307" s="38">
        <f>Місто!I308-'[1]Місто'!I305</f>
        <v>0</v>
      </c>
      <c r="J307" s="38">
        <f>Місто!J308-'[1]Місто'!J305</f>
        <v>0</v>
      </c>
      <c r="K307" s="38">
        <f>Місто!K308-'[1]Місто'!K305</f>
        <v>0</v>
      </c>
      <c r="L307" s="38">
        <f>Місто!L308-'[1]Місто'!L305</f>
        <v>0</v>
      </c>
      <c r="M307" s="38">
        <f>Місто!M308-'[1]Місто'!M305</f>
        <v>0</v>
      </c>
      <c r="N307" s="38">
        <f>Місто!N308-'[1]Місто'!N305</f>
        <v>0</v>
      </c>
      <c r="O307" s="38">
        <f>Місто!O308-'[1]Місто'!O305</f>
        <v>0</v>
      </c>
      <c r="P307" s="55">
        <f>Місто!P308-'[1]Місто'!P305</f>
        <v>0</v>
      </c>
      <c r="Q307" s="156"/>
      <c r="R307" s="157"/>
      <c r="W307" s="156">
        <f t="shared" si="4"/>
        <v>0</v>
      </c>
    </row>
    <row r="308" spans="1:23" ht="38.25">
      <c r="A308" s="98"/>
      <c r="B308" s="98" t="s">
        <v>180</v>
      </c>
      <c r="C308" s="98"/>
      <c r="D308" s="104" t="s">
        <v>128</v>
      </c>
      <c r="E308" s="51">
        <f>Місто!E309-'[1]Місто'!E306</f>
        <v>240824</v>
      </c>
      <c r="F308" s="51">
        <f>Місто!F309-'[1]Місто'!F306</f>
        <v>240824</v>
      </c>
      <c r="G308" s="51">
        <f>Місто!G309-'[1]Місто'!G306</f>
        <v>468753</v>
      </c>
      <c r="H308" s="51">
        <f>Місто!H309-'[1]Місто'!H306</f>
        <v>0</v>
      </c>
      <c r="I308" s="51">
        <f>Місто!I309-'[1]Місто'!I306</f>
        <v>0</v>
      </c>
      <c r="J308" s="51">
        <f>Місто!J309-'[1]Місто'!J306</f>
        <v>0</v>
      </c>
      <c r="K308" s="51">
        <f>Місто!K309-'[1]Місто'!K306</f>
        <v>0</v>
      </c>
      <c r="L308" s="51">
        <f>Місто!L309-'[1]Місто'!L306</f>
        <v>0</v>
      </c>
      <c r="M308" s="51">
        <f>Місто!M309-'[1]Місто'!M306</f>
        <v>0</v>
      </c>
      <c r="N308" s="51">
        <f>Місто!N309-'[1]Місто'!N306</f>
        <v>0</v>
      </c>
      <c r="O308" s="51">
        <f>Місто!O309-'[1]Місто'!O306</f>
        <v>0</v>
      </c>
      <c r="P308" s="52">
        <f>Місто!P309-'[1]Місто'!P306</f>
        <v>240824</v>
      </c>
      <c r="Q308" s="53"/>
      <c r="R308" s="59"/>
      <c r="W308" s="53">
        <f t="shared" si="4"/>
        <v>0</v>
      </c>
    </row>
    <row r="309" spans="1:23" ht="12.75">
      <c r="A309" s="42"/>
      <c r="B309" s="42" t="s">
        <v>362</v>
      </c>
      <c r="C309" s="42"/>
      <c r="D309" s="43" t="s">
        <v>363</v>
      </c>
      <c r="E309" s="37">
        <f>Місто!E310-'[1]Місто'!E307</f>
        <v>240824</v>
      </c>
      <c r="F309" s="37">
        <f>Місто!F310-'[1]Місто'!F307</f>
        <v>240824</v>
      </c>
      <c r="G309" s="37">
        <f>Місто!G310-'[1]Місто'!G307</f>
        <v>468753</v>
      </c>
      <c r="H309" s="37">
        <f>Місто!H310-'[1]Місто'!H307</f>
        <v>0</v>
      </c>
      <c r="I309" s="37">
        <f>Місто!I310-'[1]Місто'!I307</f>
        <v>0</v>
      </c>
      <c r="J309" s="38">
        <f>Місто!J310-'[1]Місто'!J307</f>
        <v>0</v>
      </c>
      <c r="K309" s="37">
        <f>Місто!K310-'[1]Місто'!K307</f>
        <v>0</v>
      </c>
      <c r="L309" s="37">
        <f>Місто!L310-'[1]Місто'!L307</f>
        <v>0</v>
      </c>
      <c r="M309" s="37">
        <f>Місто!M310-'[1]Місто'!M307</f>
        <v>0</v>
      </c>
      <c r="N309" s="37">
        <f>Місто!N310-'[1]Місто'!N307</f>
        <v>0</v>
      </c>
      <c r="O309" s="37">
        <f>Місто!O310-'[1]Місто'!O307</f>
        <v>0</v>
      </c>
      <c r="P309" s="55">
        <f>Місто!P310-'[1]Місто'!P307</f>
        <v>240824</v>
      </c>
      <c r="Q309" s="53"/>
      <c r="R309" s="59"/>
      <c r="W309" s="53">
        <f t="shared" si="4"/>
        <v>0</v>
      </c>
    </row>
    <row r="310" spans="1:23" ht="12.75">
      <c r="A310" s="39"/>
      <c r="B310" s="39" t="s">
        <v>249</v>
      </c>
      <c r="C310" s="74" t="s">
        <v>441</v>
      </c>
      <c r="D310" s="58" t="s">
        <v>250</v>
      </c>
      <c r="E310" s="38">
        <f>Місто!E311-'[1]Місто'!E308</f>
        <v>240824</v>
      </c>
      <c r="F310" s="38">
        <f>Місто!F311-'[1]Місто'!F308</f>
        <v>240824</v>
      </c>
      <c r="G310" s="38">
        <f>Місто!G311-'[1]Місто'!G308</f>
        <v>468753</v>
      </c>
      <c r="H310" s="37">
        <f>Місто!H311-'[1]Місто'!H308</f>
        <v>0</v>
      </c>
      <c r="I310" s="37">
        <f>Місто!I311-'[1]Місто'!I308</f>
        <v>0</v>
      </c>
      <c r="J310" s="38">
        <f>Місто!J311-'[1]Місто'!J308</f>
        <v>0</v>
      </c>
      <c r="K310" s="38">
        <f>Місто!K311-'[1]Місто'!K308</f>
        <v>0</v>
      </c>
      <c r="L310" s="38">
        <f>Місто!L311-'[1]Місто'!L308</f>
        <v>0</v>
      </c>
      <c r="M310" s="38">
        <f>Місто!M311-'[1]Місто'!M308</f>
        <v>0</v>
      </c>
      <c r="N310" s="38">
        <f>Місто!N311-'[1]Місто'!N308</f>
        <v>0</v>
      </c>
      <c r="O310" s="38">
        <f>Місто!O311-'[1]Місто'!O308</f>
        <v>0</v>
      </c>
      <c r="P310" s="55">
        <f>Місто!P311-'[1]Місто'!P308</f>
        <v>240824</v>
      </c>
      <c r="Q310" s="53"/>
      <c r="R310" s="59"/>
      <c r="W310" s="53">
        <f t="shared" si="4"/>
        <v>0</v>
      </c>
    </row>
    <row r="311" spans="1:23" s="54" customFormat="1" ht="12.75">
      <c r="A311" s="74"/>
      <c r="B311" s="74" t="s">
        <v>366</v>
      </c>
      <c r="C311" s="74"/>
      <c r="D311" s="75" t="s">
        <v>283</v>
      </c>
      <c r="E311" s="38">
        <f>Місто!E312-'[1]Місто'!E309</f>
        <v>0</v>
      </c>
      <c r="F311" s="38">
        <f>Місто!F312-'[1]Місто'!F309</f>
        <v>0</v>
      </c>
      <c r="G311" s="38">
        <f>Місто!G312-'[1]Місто'!G309</f>
        <v>0</v>
      </c>
      <c r="H311" s="38">
        <f>Місто!H312-'[1]Місто'!H309</f>
        <v>0</v>
      </c>
      <c r="I311" s="38">
        <f>Місто!I312-'[1]Місто'!I309</f>
        <v>0</v>
      </c>
      <c r="J311" s="38">
        <f>Місто!J312-'[1]Місто'!J309</f>
        <v>0</v>
      </c>
      <c r="K311" s="38">
        <f>Місто!K312-'[1]Місто'!K309</f>
        <v>0</v>
      </c>
      <c r="L311" s="38">
        <f>Місто!L312-'[1]Місто'!L309</f>
        <v>0</v>
      </c>
      <c r="M311" s="38">
        <f>Місто!M312-'[1]Місто'!M309</f>
        <v>0</v>
      </c>
      <c r="N311" s="38">
        <f>Місто!N312-'[1]Місто'!N309</f>
        <v>0</v>
      </c>
      <c r="O311" s="38">
        <f>Місто!O312-'[1]Місто'!O309</f>
        <v>0</v>
      </c>
      <c r="P311" s="55">
        <f>Місто!P312-'[1]Місто'!P309</f>
        <v>0</v>
      </c>
      <c r="Q311" s="53"/>
      <c r="R311" s="53"/>
      <c r="W311" s="53">
        <f t="shared" si="4"/>
        <v>0</v>
      </c>
    </row>
    <row r="312" spans="1:23" s="57" customFormat="1" ht="25.5">
      <c r="A312" s="74"/>
      <c r="B312" s="74" t="s">
        <v>93</v>
      </c>
      <c r="C312" s="74" t="s">
        <v>476</v>
      </c>
      <c r="D312" s="73" t="s">
        <v>94</v>
      </c>
      <c r="E312" s="38">
        <f>Місто!E313-'[1]Місто'!E310</f>
        <v>0</v>
      </c>
      <c r="F312" s="38">
        <f>Місто!F313-'[1]Місто'!F310</f>
        <v>0</v>
      </c>
      <c r="G312" s="38">
        <f>Місто!G313-'[1]Місто'!G310</f>
        <v>0</v>
      </c>
      <c r="H312" s="38">
        <f>Місто!H313-'[1]Місто'!H310</f>
        <v>0</v>
      </c>
      <c r="I312" s="38">
        <f>Місто!I313-'[1]Місто'!I310</f>
        <v>0</v>
      </c>
      <c r="J312" s="38">
        <f>Місто!J313-'[1]Місто'!J310</f>
        <v>0</v>
      </c>
      <c r="K312" s="38">
        <f>Місто!K313-'[1]Місто'!K310</f>
        <v>0</v>
      </c>
      <c r="L312" s="38">
        <f>Місто!L313-'[1]Місто'!L310</f>
        <v>0</v>
      </c>
      <c r="M312" s="38">
        <f>Місто!M313-'[1]Місто'!M310</f>
        <v>0</v>
      </c>
      <c r="N312" s="38">
        <f>Місто!N313-'[1]Місто'!N310</f>
        <v>0</v>
      </c>
      <c r="O312" s="38">
        <f>Місто!O313-'[1]Місто'!O310</f>
        <v>0</v>
      </c>
      <c r="P312" s="55">
        <f>Місто!P313-'[1]Місто'!P310</f>
        <v>0</v>
      </c>
      <c r="Q312" s="53"/>
      <c r="R312" s="56"/>
      <c r="W312" s="53">
        <f t="shared" si="4"/>
        <v>0</v>
      </c>
    </row>
    <row r="313" spans="1:23" ht="16.5" customHeight="1">
      <c r="A313" s="39"/>
      <c r="B313" s="39" t="s">
        <v>371</v>
      </c>
      <c r="C313" s="39"/>
      <c r="D313" s="60" t="s">
        <v>372</v>
      </c>
      <c r="E313" s="38">
        <f>Місто!E314-'[1]Місто'!E311</f>
        <v>0</v>
      </c>
      <c r="F313" s="38">
        <f>Місто!F314-'[1]Місто'!F311</f>
        <v>0</v>
      </c>
      <c r="G313" s="38">
        <f>Місто!G314-'[1]Місто'!G311</f>
        <v>0</v>
      </c>
      <c r="H313" s="38">
        <f>Місто!H314-'[1]Місто'!H311</f>
        <v>0</v>
      </c>
      <c r="I313" s="38">
        <f>Місто!I314-'[1]Місто'!I311</f>
        <v>0</v>
      </c>
      <c r="J313" s="38">
        <f>Місто!J314-'[1]Місто'!J311</f>
        <v>0</v>
      </c>
      <c r="K313" s="38">
        <f>Місто!K314-'[1]Місто'!K311</f>
        <v>0</v>
      </c>
      <c r="L313" s="38">
        <f>Місто!L314-'[1]Місто'!L311</f>
        <v>0</v>
      </c>
      <c r="M313" s="38">
        <f>Місто!M314-'[1]Місто'!M311</f>
        <v>0</v>
      </c>
      <c r="N313" s="38">
        <f>Місто!N314-'[1]Місто'!N311</f>
        <v>0</v>
      </c>
      <c r="O313" s="38">
        <f>Місто!O314-'[1]Місто'!O311</f>
        <v>0</v>
      </c>
      <c r="P313" s="55">
        <f>Місто!P314-'[1]Місто'!P311</f>
        <v>0</v>
      </c>
      <c r="Q313" s="53"/>
      <c r="R313" s="59"/>
      <c r="W313" s="53">
        <f t="shared" si="4"/>
        <v>0</v>
      </c>
    </row>
    <row r="314" spans="1:23" ht="12.75">
      <c r="A314" s="39"/>
      <c r="B314" s="39" t="s">
        <v>288</v>
      </c>
      <c r="C314" s="74" t="s">
        <v>444</v>
      </c>
      <c r="D314" s="36" t="s">
        <v>316</v>
      </c>
      <c r="E314" s="38">
        <f>Місто!E315-'[1]Місто'!E312</f>
        <v>0</v>
      </c>
      <c r="F314" s="38">
        <f>Місто!F315-'[1]Місто'!F312</f>
        <v>0</v>
      </c>
      <c r="G314" s="38">
        <f>Місто!G315-'[1]Місто'!G312</f>
        <v>0</v>
      </c>
      <c r="H314" s="38">
        <f>Місто!H315-'[1]Місто'!H312</f>
        <v>0</v>
      </c>
      <c r="I314" s="38">
        <f>Місто!I315-'[1]Місто'!I312</f>
        <v>0</v>
      </c>
      <c r="J314" s="38">
        <f>Місто!J315-'[1]Місто'!J312</f>
        <v>0</v>
      </c>
      <c r="K314" s="38">
        <f>Місто!K315-'[1]Місто'!K312</f>
        <v>0</v>
      </c>
      <c r="L314" s="38">
        <f>Місто!L315-'[1]Місто'!L312</f>
        <v>0</v>
      </c>
      <c r="M314" s="38">
        <f>Місто!M315-'[1]Місто'!M312</f>
        <v>0</v>
      </c>
      <c r="N314" s="38">
        <f>Місто!N315-'[1]Місто'!N312</f>
        <v>0</v>
      </c>
      <c r="O314" s="38">
        <f>Місто!O315-'[1]Місто'!O312</f>
        <v>0</v>
      </c>
      <c r="P314" s="55">
        <f>Місто!P315-'[1]Місто'!P312</f>
        <v>0</v>
      </c>
      <c r="Q314" s="53"/>
      <c r="R314" s="59"/>
      <c r="W314" s="53">
        <f t="shared" si="4"/>
        <v>0</v>
      </c>
    </row>
    <row r="315" spans="1:23" s="158" customFormat="1" ht="25.5" hidden="1">
      <c r="A315" s="152"/>
      <c r="B315" s="39"/>
      <c r="C315" s="39"/>
      <c r="D315" s="36" t="s">
        <v>197</v>
      </c>
      <c r="E315" s="38">
        <f>Місто!E316-'[1]Місто'!E313</f>
        <v>0</v>
      </c>
      <c r="F315" s="38">
        <f>Місто!F316-'[1]Місто'!F313</f>
        <v>0</v>
      </c>
      <c r="G315" s="38">
        <f>Місто!G316-'[1]Місто'!G313</f>
        <v>0</v>
      </c>
      <c r="H315" s="38">
        <f>Місто!H316-'[1]Місто'!H313</f>
        <v>0</v>
      </c>
      <c r="I315" s="38">
        <f>Місто!I316-'[1]Місто'!I313</f>
        <v>0</v>
      </c>
      <c r="J315" s="38">
        <f>Місто!J316-'[1]Місто'!J313</f>
        <v>0</v>
      </c>
      <c r="K315" s="38">
        <f>Місто!K316-'[1]Місто'!K313</f>
        <v>0</v>
      </c>
      <c r="L315" s="38">
        <f>Місто!L316-'[1]Місто'!L313</f>
        <v>0</v>
      </c>
      <c r="M315" s="38">
        <f>Місто!M316-'[1]Місто'!M313</f>
        <v>0</v>
      </c>
      <c r="N315" s="38">
        <f>Місто!N316-'[1]Місто'!N313</f>
        <v>0</v>
      </c>
      <c r="O315" s="38">
        <f>Місто!O316-'[1]Місто'!O313</f>
        <v>0</v>
      </c>
      <c r="P315" s="55">
        <f>Місто!P316-'[1]Місто'!P313</f>
        <v>0</v>
      </c>
      <c r="Q315" s="156"/>
      <c r="R315" s="157"/>
      <c r="W315" s="156">
        <f t="shared" si="4"/>
        <v>0</v>
      </c>
    </row>
    <row r="316" spans="1:23" s="158" customFormat="1" ht="38.25" hidden="1">
      <c r="A316" s="152"/>
      <c r="B316" s="39"/>
      <c r="C316" s="39"/>
      <c r="D316" s="60" t="s">
        <v>386</v>
      </c>
      <c r="E316" s="38">
        <f>Місто!E317-'[1]Місто'!E314</f>
        <v>0</v>
      </c>
      <c r="F316" s="38">
        <f>Місто!F317-'[1]Місто'!F314</f>
        <v>0</v>
      </c>
      <c r="G316" s="38">
        <f>Місто!G317-'[1]Місто'!G314</f>
        <v>0</v>
      </c>
      <c r="H316" s="38">
        <f>Місто!H317-'[1]Місто'!H314</f>
        <v>0</v>
      </c>
      <c r="I316" s="38">
        <f>Місто!I317-'[1]Місто'!I314</f>
        <v>0</v>
      </c>
      <c r="J316" s="38">
        <f>Місто!J317-'[1]Місто'!J314</f>
        <v>0</v>
      </c>
      <c r="K316" s="38">
        <f>Місто!K317-'[1]Місто'!K314</f>
        <v>0</v>
      </c>
      <c r="L316" s="38">
        <f>Місто!L317-'[1]Місто'!L314</f>
        <v>0</v>
      </c>
      <c r="M316" s="38">
        <f>Місто!M317-'[1]Місто'!M314</f>
        <v>0</v>
      </c>
      <c r="N316" s="38">
        <f>Місто!N317-'[1]Місто'!N314</f>
        <v>0</v>
      </c>
      <c r="O316" s="38">
        <f>Місто!O317-'[1]Місто'!O314</f>
        <v>0</v>
      </c>
      <c r="P316" s="55">
        <f>Місто!P317-'[1]Місто'!P314</f>
        <v>0</v>
      </c>
      <c r="Q316" s="156"/>
      <c r="R316" s="157"/>
      <c r="W316" s="156">
        <f t="shared" si="4"/>
        <v>0</v>
      </c>
    </row>
    <row r="317" spans="1:23" s="158" customFormat="1" ht="25.5" hidden="1">
      <c r="A317" s="152"/>
      <c r="B317" s="39"/>
      <c r="C317" s="39"/>
      <c r="D317" s="36" t="s">
        <v>95</v>
      </c>
      <c r="E317" s="38">
        <f>Місто!E318-'[1]Місто'!E315</f>
        <v>0</v>
      </c>
      <c r="F317" s="38">
        <f>Місто!F318-'[1]Місто'!F315</f>
        <v>0</v>
      </c>
      <c r="G317" s="38">
        <f>Місто!G318-'[1]Місто'!G315</f>
        <v>0</v>
      </c>
      <c r="H317" s="38">
        <f>Місто!H318-'[1]Місто'!H315</f>
        <v>0</v>
      </c>
      <c r="I317" s="38">
        <f>Місто!I318-'[1]Місто'!I315</f>
        <v>0</v>
      </c>
      <c r="J317" s="38">
        <f>Місто!J318-'[1]Місто'!J315</f>
        <v>0</v>
      </c>
      <c r="K317" s="38">
        <f>Місто!K318-'[1]Місто'!K315</f>
        <v>0</v>
      </c>
      <c r="L317" s="38">
        <f>Місто!L318-'[1]Місто'!L315</f>
        <v>0</v>
      </c>
      <c r="M317" s="38">
        <f>Місто!M318-'[1]Місто'!M315</f>
        <v>0</v>
      </c>
      <c r="N317" s="38">
        <f>Місто!N318-'[1]Місто'!N315</f>
        <v>0</v>
      </c>
      <c r="O317" s="38">
        <f>Місто!O318-'[1]Місто'!O315</f>
        <v>0</v>
      </c>
      <c r="P317" s="55">
        <f>Місто!P318-'[1]Місто'!P315</f>
        <v>0</v>
      </c>
      <c r="Q317" s="156"/>
      <c r="R317" s="157"/>
      <c r="W317" s="156">
        <f t="shared" si="4"/>
        <v>0</v>
      </c>
    </row>
    <row r="318" spans="1:23" s="158" customFormat="1" ht="51" hidden="1">
      <c r="A318" s="152"/>
      <c r="B318" s="39"/>
      <c r="C318" s="39"/>
      <c r="D318" s="36" t="s">
        <v>73</v>
      </c>
      <c r="E318" s="38">
        <f>Місто!E319-'[1]Місто'!E316</f>
        <v>0</v>
      </c>
      <c r="F318" s="38">
        <f>Місто!F319-'[1]Місто'!F316</f>
        <v>0</v>
      </c>
      <c r="G318" s="38">
        <f>Місто!G319-'[1]Місто'!G316</f>
        <v>0</v>
      </c>
      <c r="H318" s="38">
        <f>Місто!H319-'[1]Місто'!H316</f>
        <v>0</v>
      </c>
      <c r="I318" s="38">
        <f>Місто!I319-'[1]Місто'!I316</f>
        <v>0</v>
      </c>
      <c r="J318" s="38">
        <f>Місто!J319-'[1]Місто'!J316</f>
        <v>0</v>
      </c>
      <c r="K318" s="38">
        <f>Місто!K319-'[1]Місто'!K316</f>
        <v>0</v>
      </c>
      <c r="L318" s="38">
        <f>Місто!L319-'[1]Місто'!L316</f>
        <v>0</v>
      </c>
      <c r="M318" s="38">
        <f>Місто!M319-'[1]Місто'!M316</f>
        <v>0</v>
      </c>
      <c r="N318" s="38">
        <f>Місто!N319-'[1]Місто'!N316</f>
        <v>0</v>
      </c>
      <c r="O318" s="38">
        <f>Місто!O319-'[1]Місто'!O316</f>
        <v>0</v>
      </c>
      <c r="P318" s="55">
        <f>Місто!P319-'[1]Місто'!P316</f>
        <v>0</v>
      </c>
      <c r="Q318" s="156"/>
      <c r="R318" s="157"/>
      <c r="W318" s="156">
        <f t="shared" si="4"/>
        <v>0</v>
      </c>
    </row>
    <row r="319" spans="1:23" s="57" customFormat="1" ht="25.5">
      <c r="A319" s="98"/>
      <c r="B319" s="98" t="s">
        <v>182</v>
      </c>
      <c r="C319" s="98"/>
      <c r="D319" s="97" t="s">
        <v>145</v>
      </c>
      <c r="E319" s="51">
        <f>Місто!E320-'[1]Місто'!E317</f>
        <v>39392</v>
      </c>
      <c r="F319" s="51">
        <f>Місто!F320-'[1]Місто'!F317</f>
        <v>39392</v>
      </c>
      <c r="G319" s="51">
        <f>Місто!G320-'[1]Місто'!G317</f>
        <v>113046</v>
      </c>
      <c r="H319" s="51">
        <f>Місто!H320-'[1]Місто'!H317</f>
        <v>0</v>
      </c>
      <c r="I319" s="51">
        <f>Місто!I320-'[1]Місто'!I317</f>
        <v>0</v>
      </c>
      <c r="J319" s="51">
        <f>Місто!J320-'[1]Місто'!J317</f>
        <v>0</v>
      </c>
      <c r="K319" s="51">
        <f>Місто!K320-'[1]Місто'!K317</f>
        <v>0</v>
      </c>
      <c r="L319" s="51">
        <f>Місто!L320-'[1]Місто'!L317</f>
        <v>0</v>
      </c>
      <c r="M319" s="51">
        <f>Місто!M320-'[1]Місто'!M317</f>
        <v>0</v>
      </c>
      <c r="N319" s="51">
        <f>Місто!N320-'[1]Місто'!N317</f>
        <v>0</v>
      </c>
      <c r="O319" s="51">
        <f>Місто!O320-'[1]Місто'!O317</f>
        <v>0</v>
      </c>
      <c r="P319" s="52">
        <f>Місто!P320-'[1]Місто'!P317</f>
        <v>39392</v>
      </c>
      <c r="Q319" s="53"/>
      <c r="W319" s="53">
        <f t="shared" si="4"/>
        <v>0</v>
      </c>
    </row>
    <row r="320" spans="1:23" s="57" customFormat="1" ht="12.75">
      <c r="A320" s="42"/>
      <c r="B320" s="42" t="s">
        <v>362</v>
      </c>
      <c r="C320" s="42"/>
      <c r="D320" s="43" t="s">
        <v>363</v>
      </c>
      <c r="E320" s="38">
        <f>Місто!E321-'[1]Місто'!E318</f>
        <v>39392</v>
      </c>
      <c r="F320" s="38">
        <f>Місто!F321-'[1]Місто'!F318</f>
        <v>39392</v>
      </c>
      <c r="G320" s="38">
        <f>Місто!G321-'[1]Місто'!G318</f>
        <v>113046</v>
      </c>
      <c r="H320" s="38">
        <f>Місто!H321-'[1]Місто'!H318</f>
        <v>0</v>
      </c>
      <c r="I320" s="38">
        <f>Місто!I321-'[1]Місто'!I318</f>
        <v>0</v>
      </c>
      <c r="J320" s="38">
        <f>Місто!J321-'[1]Місто'!J318</f>
        <v>0</v>
      </c>
      <c r="K320" s="38">
        <f>Місто!K321-'[1]Місто'!K318</f>
        <v>0</v>
      </c>
      <c r="L320" s="38">
        <f>Місто!L321-'[1]Місто'!L318</f>
        <v>0</v>
      </c>
      <c r="M320" s="38">
        <f>Місто!M321-'[1]Місто'!M318</f>
        <v>0</v>
      </c>
      <c r="N320" s="38">
        <f>Місто!N321-'[1]Місто'!N318</f>
        <v>0</v>
      </c>
      <c r="O320" s="38">
        <f>Місто!O321-'[1]Місто'!O318</f>
        <v>0</v>
      </c>
      <c r="P320" s="55">
        <f>Місто!P321-'[1]Місто'!P318</f>
        <v>39392</v>
      </c>
      <c r="Q320" s="53"/>
      <c r="W320" s="53">
        <f t="shared" si="4"/>
        <v>0</v>
      </c>
    </row>
    <row r="321" spans="1:23" s="57" customFormat="1" ht="12.75">
      <c r="A321" s="39"/>
      <c r="B321" s="39" t="s">
        <v>249</v>
      </c>
      <c r="C321" s="74" t="s">
        <v>441</v>
      </c>
      <c r="D321" s="58" t="s">
        <v>250</v>
      </c>
      <c r="E321" s="38">
        <f>Місто!E322-'[1]Місто'!E319</f>
        <v>39392</v>
      </c>
      <c r="F321" s="38">
        <f>Місто!F322-'[1]Місто'!F319</f>
        <v>39392</v>
      </c>
      <c r="G321" s="38">
        <f>Місто!G322-'[1]Місто'!G319</f>
        <v>113046</v>
      </c>
      <c r="H321" s="37">
        <f>Місто!H322-'[1]Місто'!H319</f>
        <v>0</v>
      </c>
      <c r="I321" s="37">
        <f>Місто!I322-'[1]Місто'!I319</f>
        <v>0</v>
      </c>
      <c r="J321" s="38">
        <f>Місто!J322-'[1]Місто'!J319</f>
        <v>0</v>
      </c>
      <c r="K321" s="38">
        <f>Місто!K322-'[1]Місто'!K319</f>
        <v>0</v>
      </c>
      <c r="L321" s="38">
        <f>Місто!L322-'[1]Місто'!L319</f>
        <v>0</v>
      </c>
      <c r="M321" s="38">
        <f>Місто!M322-'[1]Місто'!M319</f>
        <v>0</v>
      </c>
      <c r="N321" s="38">
        <f>Місто!N322-'[1]Місто'!N319</f>
        <v>0</v>
      </c>
      <c r="O321" s="38">
        <f>Місто!O322-'[1]Місто'!O319</f>
        <v>0</v>
      </c>
      <c r="P321" s="55">
        <f>Місто!P322-'[1]Місто'!P319</f>
        <v>39392</v>
      </c>
      <c r="Q321" s="53"/>
      <c r="W321" s="53">
        <f t="shared" si="4"/>
        <v>0</v>
      </c>
    </row>
    <row r="322" spans="1:23" ht="25.5">
      <c r="A322" s="98"/>
      <c r="B322" s="98" t="s">
        <v>186</v>
      </c>
      <c r="C322" s="98"/>
      <c r="D322" s="107" t="s">
        <v>146</v>
      </c>
      <c r="E322" s="51">
        <f>Місто!E323-'[1]Місто'!E320</f>
        <v>92425</v>
      </c>
      <c r="F322" s="51">
        <f>Місто!F323-'[1]Місто'!F320</f>
        <v>92425</v>
      </c>
      <c r="G322" s="51">
        <f>Місто!G323-'[1]Місто'!G320</f>
        <v>224202</v>
      </c>
      <c r="H322" s="51">
        <f>Місто!H323-'[1]Місто'!H320</f>
        <v>0</v>
      </c>
      <c r="I322" s="51">
        <f>Місто!I323-'[1]Місто'!I320</f>
        <v>0</v>
      </c>
      <c r="J322" s="51">
        <f>Місто!J323-'[1]Місто'!J320</f>
        <v>15861</v>
      </c>
      <c r="K322" s="51">
        <f>Місто!K323-'[1]Місто'!K320</f>
        <v>0</v>
      </c>
      <c r="L322" s="51">
        <f>Місто!L323-'[1]Місто'!L320</f>
        <v>0</v>
      </c>
      <c r="M322" s="51">
        <f>Місто!M323-'[1]Місто'!M320</f>
        <v>0</v>
      </c>
      <c r="N322" s="51">
        <f>Місто!N323-'[1]Місто'!N320</f>
        <v>15861</v>
      </c>
      <c r="O322" s="51">
        <f>Місто!O323-'[1]Місто'!O320</f>
        <v>15861</v>
      </c>
      <c r="P322" s="51">
        <f>Місто!P323-'[1]Місто'!P320</f>
        <v>108286</v>
      </c>
      <c r="Q322" s="53"/>
      <c r="R322" s="59"/>
      <c r="W322" s="53">
        <f t="shared" si="4"/>
        <v>0</v>
      </c>
    </row>
    <row r="323" spans="1:23" ht="12.75">
      <c r="A323" s="39"/>
      <c r="B323" s="39" t="s">
        <v>362</v>
      </c>
      <c r="C323" s="39"/>
      <c r="D323" s="43" t="s">
        <v>363</v>
      </c>
      <c r="E323" s="38">
        <f>Місто!E324-'[1]Місто'!E321</f>
        <v>92425</v>
      </c>
      <c r="F323" s="38">
        <f>Місто!F324-'[1]Місто'!F321</f>
        <v>92425</v>
      </c>
      <c r="G323" s="38">
        <f>Місто!G324-'[1]Місто'!G321</f>
        <v>224202</v>
      </c>
      <c r="H323" s="38">
        <f>Місто!H324-'[1]Місто'!H321</f>
        <v>0</v>
      </c>
      <c r="I323" s="38">
        <f>Місто!I324-'[1]Місто'!I321</f>
        <v>0</v>
      </c>
      <c r="J323" s="38">
        <f>Місто!J324-'[1]Місто'!J321</f>
        <v>15861</v>
      </c>
      <c r="K323" s="38">
        <f>Місто!K324-'[1]Місто'!K321</f>
        <v>0</v>
      </c>
      <c r="L323" s="38">
        <f>Місто!L324-'[1]Місто'!L321</f>
        <v>0</v>
      </c>
      <c r="M323" s="38">
        <f>Місто!M324-'[1]Місто'!M321</f>
        <v>0</v>
      </c>
      <c r="N323" s="38">
        <f>Місто!N324-'[1]Місто'!N321</f>
        <v>15861</v>
      </c>
      <c r="O323" s="38">
        <f>Місто!O324-'[1]Місто'!O321</f>
        <v>15861</v>
      </c>
      <c r="P323" s="55">
        <f>Місто!P324-'[1]Місто'!P321</f>
        <v>108286</v>
      </c>
      <c r="Q323" s="53"/>
      <c r="R323" s="59"/>
      <c r="W323" s="53">
        <f t="shared" si="4"/>
        <v>0</v>
      </c>
    </row>
    <row r="324" spans="1:23" ht="12.75">
      <c r="A324" s="39"/>
      <c r="B324" s="39" t="s">
        <v>249</v>
      </c>
      <c r="C324" s="74" t="s">
        <v>441</v>
      </c>
      <c r="D324" s="58" t="s">
        <v>250</v>
      </c>
      <c r="E324" s="38">
        <f>Місто!E325-'[1]Місто'!E322</f>
        <v>92425</v>
      </c>
      <c r="F324" s="38">
        <f>Місто!F325-'[1]Місто'!F322</f>
        <v>92425</v>
      </c>
      <c r="G324" s="38">
        <f>Місто!G325-'[1]Місто'!G322</f>
        <v>224202</v>
      </c>
      <c r="H324" s="37">
        <f>Місто!H325-'[1]Місто'!H322</f>
        <v>0</v>
      </c>
      <c r="I324" s="37">
        <f>Місто!I325-'[1]Місто'!I322</f>
        <v>0</v>
      </c>
      <c r="J324" s="38">
        <f>Місто!J325-'[1]Місто'!J322</f>
        <v>15861</v>
      </c>
      <c r="K324" s="38">
        <f>Місто!K325-'[1]Місто'!K322</f>
        <v>0</v>
      </c>
      <c r="L324" s="38">
        <f>Місто!L325-'[1]Місто'!L322</f>
        <v>0</v>
      </c>
      <c r="M324" s="38">
        <f>Місто!M325-'[1]Місто'!M322</f>
        <v>0</v>
      </c>
      <c r="N324" s="38">
        <f>Місто!N325-'[1]Місто'!N322</f>
        <v>15861</v>
      </c>
      <c r="O324" s="38">
        <f>Місто!O325-'[1]Місто'!O322</f>
        <v>15861</v>
      </c>
      <c r="P324" s="55">
        <f>Місто!P325-'[1]Місто'!P322</f>
        <v>108286</v>
      </c>
      <c r="Q324" s="53"/>
      <c r="R324" s="59"/>
      <c r="W324" s="53">
        <f t="shared" si="4"/>
        <v>0</v>
      </c>
    </row>
    <row r="325" spans="1:23" s="54" customFormat="1" ht="25.5" hidden="1">
      <c r="A325" s="74"/>
      <c r="B325" s="74" t="s">
        <v>147</v>
      </c>
      <c r="C325" s="74"/>
      <c r="D325" s="73" t="s">
        <v>148</v>
      </c>
      <c r="E325" s="38">
        <f>Місто!E326-'[1]Місто'!E323</f>
        <v>0</v>
      </c>
      <c r="F325" s="38">
        <f>Місто!F326-'[1]Місто'!F323</f>
        <v>0</v>
      </c>
      <c r="G325" s="38">
        <f>Місто!G326-'[1]Місто'!G323</f>
        <v>0</v>
      </c>
      <c r="H325" s="38">
        <f>Місто!H326-'[1]Місто'!H323</f>
        <v>0</v>
      </c>
      <c r="I325" s="38">
        <f>Місто!I326-'[1]Місто'!I323</f>
        <v>0</v>
      </c>
      <c r="J325" s="38">
        <f>Місто!J326-'[1]Місто'!J323</f>
        <v>0</v>
      </c>
      <c r="K325" s="38">
        <f>Місто!K326-'[1]Місто'!K323</f>
        <v>0</v>
      </c>
      <c r="L325" s="38">
        <f>Місто!L326-'[1]Місто'!L323</f>
        <v>0</v>
      </c>
      <c r="M325" s="38">
        <f>Місто!M326-'[1]Місто'!M323</f>
        <v>0</v>
      </c>
      <c r="N325" s="38">
        <f>Місто!N326-'[1]Місто'!N323</f>
        <v>0</v>
      </c>
      <c r="O325" s="38">
        <f>Місто!O326-'[1]Місто'!O323</f>
        <v>0</v>
      </c>
      <c r="P325" s="55">
        <f>Місто!P326-'[1]Місто'!P323</f>
        <v>0</v>
      </c>
      <c r="Q325" s="53"/>
      <c r="R325" s="53"/>
      <c r="W325" s="53">
        <f t="shared" si="4"/>
        <v>0</v>
      </c>
    </row>
    <row r="326" spans="1:23" ht="12.75" hidden="1">
      <c r="A326" s="74"/>
      <c r="B326" s="74" t="s">
        <v>149</v>
      </c>
      <c r="C326" s="74"/>
      <c r="D326" s="73" t="s">
        <v>150</v>
      </c>
      <c r="E326" s="38">
        <f>Місто!E327-'[1]Місто'!E324</f>
        <v>0</v>
      </c>
      <c r="F326" s="38">
        <f>Місто!F327-'[1]Місто'!F324</f>
        <v>0</v>
      </c>
      <c r="G326" s="38">
        <f>Місто!G327-'[1]Місто'!G324</f>
        <v>0</v>
      </c>
      <c r="H326" s="38">
        <f>Місто!H327-'[1]Місто'!H324</f>
        <v>0</v>
      </c>
      <c r="I326" s="38">
        <f>Місто!I327-'[1]Місто'!I324</f>
        <v>0</v>
      </c>
      <c r="J326" s="38">
        <f>Місто!J327-'[1]Місто'!J324</f>
        <v>0</v>
      </c>
      <c r="K326" s="38">
        <f>Місто!K327-'[1]Місто'!K324</f>
        <v>0</v>
      </c>
      <c r="L326" s="38">
        <f>Місто!L327-'[1]Місто'!L324</f>
        <v>0</v>
      </c>
      <c r="M326" s="38">
        <f>Місто!M327-'[1]Місто'!M324</f>
        <v>0</v>
      </c>
      <c r="N326" s="38">
        <f>Місто!N327-'[1]Місто'!N324</f>
        <v>0</v>
      </c>
      <c r="O326" s="38">
        <f>Місто!O327-'[1]Місто'!O324</f>
        <v>0</v>
      </c>
      <c r="P326" s="55">
        <f>Місто!P327-'[1]Місто'!P324</f>
        <v>0</v>
      </c>
      <c r="Q326" s="53"/>
      <c r="W326" s="53">
        <f t="shared" si="4"/>
        <v>0</v>
      </c>
    </row>
    <row r="327" spans="1:23" ht="25.5">
      <c r="A327" s="98"/>
      <c r="B327" s="98" t="s">
        <v>181</v>
      </c>
      <c r="C327" s="98"/>
      <c r="D327" s="104" t="s">
        <v>132</v>
      </c>
      <c r="E327" s="51">
        <f>Місто!E328-'[1]Місто'!E325</f>
        <v>90609</v>
      </c>
      <c r="F327" s="51">
        <f>Місто!F328-'[1]Місто'!F325</f>
        <v>90609</v>
      </c>
      <c r="G327" s="51">
        <f>Місто!G328-'[1]Місто'!G325</f>
        <v>147801</v>
      </c>
      <c r="H327" s="51">
        <f>Місто!H328-'[1]Місто'!H325</f>
        <v>0</v>
      </c>
      <c r="I327" s="51">
        <f>Місто!I328-'[1]Місто'!I325</f>
        <v>0</v>
      </c>
      <c r="J327" s="51">
        <f>Місто!J328-'[1]Місто'!J325</f>
        <v>3739000</v>
      </c>
      <c r="K327" s="51">
        <f>Місто!K328-'[1]Місто'!K325</f>
        <v>-500</v>
      </c>
      <c r="L327" s="51">
        <f>Місто!L328-'[1]Місто'!L325</f>
        <v>0</v>
      </c>
      <c r="M327" s="51">
        <f>Місто!M328-'[1]Місто'!M325</f>
        <v>0</v>
      </c>
      <c r="N327" s="51">
        <f>Місто!N328-'[1]Місто'!N325</f>
        <v>3739500</v>
      </c>
      <c r="O327" s="51">
        <f>Місто!O328-'[1]Місто'!O325</f>
        <v>-16891000</v>
      </c>
      <c r="P327" s="52">
        <f>Місто!P328-'[1]Місто'!P325</f>
        <v>3829609</v>
      </c>
      <c r="Q327" s="53"/>
      <c r="R327" s="59"/>
      <c r="W327" s="53">
        <f>N327-O327</f>
        <v>20630500</v>
      </c>
    </row>
    <row r="328" spans="1:23" ht="12.75">
      <c r="A328" s="42"/>
      <c r="B328" s="42" t="s">
        <v>362</v>
      </c>
      <c r="C328" s="42"/>
      <c r="D328" s="43" t="s">
        <v>363</v>
      </c>
      <c r="E328" s="37">
        <f>Місто!E329-'[1]Місто'!E326</f>
        <v>90609</v>
      </c>
      <c r="F328" s="37">
        <f>Місто!F329-'[1]Місто'!F326</f>
        <v>90609</v>
      </c>
      <c r="G328" s="37">
        <f>Місто!G329-'[1]Місто'!G326</f>
        <v>147801</v>
      </c>
      <c r="H328" s="37">
        <f>Місто!H329-'[1]Місто'!H326</f>
        <v>0</v>
      </c>
      <c r="I328" s="37">
        <f>Місто!I329-'[1]Місто'!I326</f>
        <v>0</v>
      </c>
      <c r="J328" s="38">
        <f>Місто!J329-'[1]Місто'!J326</f>
        <v>39000</v>
      </c>
      <c r="K328" s="37">
        <f>Місто!K329-'[1]Місто'!K326</f>
        <v>0</v>
      </c>
      <c r="L328" s="37">
        <f>Місто!L329-'[1]Місто'!L326</f>
        <v>0</v>
      </c>
      <c r="M328" s="37">
        <f>Місто!M329-'[1]Місто'!M326</f>
        <v>0</v>
      </c>
      <c r="N328" s="37">
        <f>Місто!N329-'[1]Місто'!N326</f>
        <v>39000</v>
      </c>
      <c r="O328" s="37">
        <f>Місто!O329-'[1]Місто'!O326</f>
        <v>39000</v>
      </c>
      <c r="P328" s="55">
        <f>Місто!P329-'[1]Місто'!P326</f>
        <v>129609</v>
      </c>
      <c r="Q328" s="53"/>
      <c r="R328" s="59"/>
      <c r="W328" s="53">
        <f t="shared" si="4"/>
        <v>0</v>
      </c>
    </row>
    <row r="329" spans="1:23" ht="12.75">
      <c r="A329" s="39"/>
      <c r="B329" s="39" t="s">
        <v>249</v>
      </c>
      <c r="C329" s="74" t="s">
        <v>441</v>
      </c>
      <c r="D329" s="58" t="s">
        <v>250</v>
      </c>
      <c r="E329" s="38">
        <f>Місто!E330-'[1]Місто'!E327</f>
        <v>90609</v>
      </c>
      <c r="F329" s="38">
        <f>Місто!F330-'[1]Місто'!F327</f>
        <v>90609</v>
      </c>
      <c r="G329" s="38">
        <f>Місто!G330-'[1]Місто'!G327</f>
        <v>147801</v>
      </c>
      <c r="H329" s="38">
        <f>Місто!H330-'[1]Місто'!H327</f>
        <v>0</v>
      </c>
      <c r="I329" s="38">
        <f>Місто!I330-'[1]Місто'!I327</f>
        <v>0</v>
      </c>
      <c r="J329" s="38">
        <f>Місто!J330-'[1]Місто'!J327</f>
        <v>39000</v>
      </c>
      <c r="K329" s="38">
        <f>Місто!K330-'[1]Місто'!K327</f>
        <v>0</v>
      </c>
      <c r="L329" s="38">
        <f>Місто!L330-'[1]Місто'!L327</f>
        <v>0</v>
      </c>
      <c r="M329" s="38">
        <f>Місто!M330-'[1]Місто'!M327</f>
        <v>0</v>
      </c>
      <c r="N329" s="38">
        <f>Місто!N330-'[1]Місто'!N327</f>
        <v>39000</v>
      </c>
      <c r="O329" s="38">
        <f>Місто!O330-'[1]Місто'!O327</f>
        <v>39000</v>
      </c>
      <c r="P329" s="55">
        <f>Місто!P330-'[1]Місто'!P327</f>
        <v>129609</v>
      </c>
      <c r="Q329" s="53"/>
      <c r="R329" s="59"/>
      <c r="W329" s="53">
        <f t="shared" si="4"/>
        <v>0</v>
      </c>
    </row>
    <row r="330" spans="1:23" ht="12.75" hidden="1">
      <c r="A330" s="39"/>
      <c r="B330" s="39" t="s">
        <v>366</v>
      </c>
      <c r="C330" s="39"/>
      <c r="D330" s="36" t="s">
        <v>283</v>
      </c>
      <c r="E330" s="38">
        <f>Місто!E331-'[1]Місто'!E328</f>
        <v>0</v>
      </c>
      <c r="F330" s="38">
        <f>Місто!F331-'[1]Місто'!F328</f>
        <v>0</v>
      </c>
      <c r="G330" s="38">
        <f>Місто!G331-'[1]Місто'!G328</f>
        <v>0</v>
      </c>
      <c r="H330" s="38">
        <f>Місто!H331-'[1]Місто'!H328</f>
        <v>0</v>
      </c>
      <c r="I330" s="38">
        <f>Місто!I331-'[1]Місто'!I328</f>
        <v>0</v>
      </c>
      <c r="J330" s="38">
        <f>Місто!J331-'[1]Місто'!J328</f>
        <v>0</v>
      </c>
      <c r="K330" s="38">
        <f>Місто!K331-'[1]Місто'!K328</f>
        <v>0</v>
      </c>
      <c r="L330" s="38">
        <f>Місто!L331-'[1]Місто'!L328</f>
        <v>0</v>
      </c>
      <c r="M330" s="38">
        <f>Місто!M331-'[1]Місто'!M328</f>
        <v>0</v>
      </c>
      <c r="N330" s="38">
        <f>Місто!N331-'[1]Місто'!N328</f>
        <v>0</v>
      </c>
      <c r="O330" s="38">
        <f>Місто!O331-'[1]Місто'!O328</f>
        <v>0</v>
      </c>
      <c r="P330" s="55">
        <f>Місто!P331-'[1]Місто'!P328</f>
        <v>0</v>
      </c>
      <c r="Q330" s="53"/>
      <c r="R330" s="59"/>
      <c r="W330" s="53">
        <f t="shared" si="4"/>
        <v>0</v>
      </c>
    </row>
    <row r="331" spans="1:23" ht="12.75" hidden="1">
      <c r="A331" s="39"/>
      <c r="B331" s="39" t="s">
        <v>338</v>
      </c>
      <c r="C331" s="39"/>
      <c r="D331" s="36" t="s">
        <v>339</v>
      </c>
      <c r="E331" s="38">
        <f>Місто!E332-'[1]Місто'!E329</f>
        <v>0</v>
      </c>
      <c r="F331" s="38">
        <f>Місто!F332-'[1]Місто'!F329</f>
        <v>0</v>
      </c>
      <c r="G331" s="38">
        <f>Місто!G332-'[1]Місто'!G329</f>
        <v>0</v>
      </c>
      <c r="H331" s="38">
        <f>Місто!H332-'[1]Місто'!H329</f>
        <v>0</v>
      </c>
      <c r="I331" s="38">
        <f>Місто!I332-'[1]Місто'!I329</f>
        <v>0</v>
      </c>
      <c r="J331" s="38">
        <f>Місто!J332-'[1]Місто'!J329</f>
        <v>0</v>
      </c>
      <c r="K331" s="38">
        <f>Місто!K332-'[1]Місто'!K329</f>
        <v>0</v>
      </c>
      <c r="L331" s="38">
        <f>Місто!L332-'[1]Місто'!L329</f>
        <v>0</v>
      </c>
      <c r="M331" s="38">
        <f>Місто!M332-'[1]Місто'!M329</f>
        <v>0</v>
      </c>
      <c r="N331" s="38">
        <f>Місто!N332-'[1]Місто'!N329</f>
        <v>0</v>
      </c>
      <c r="O331" s="38">
        <f>Місто!O332-'[1]Місто'!O329</f>
        <v>0</v>
      </c>
      <c r="P331" s="55">
        <f>Місто!P332-'[1]Місто'!P329</f>
        <v>0</v>
      </c>
      <c r="Q331" s="53"/>
      <c r="R331" s="59"/>
      <c r="W331" s="53">
        <f t="shared" si="4"/>
        <v>0</v>
      </c>
    </row>
    <row r="332" spans="1:23" ht="25.5" hidden="1">
      <c r="A332" s="39"/>
      <c r="B332" s="39" t="s">
        <v>376</v>
      </c>
      <c r="C332" s="39"/>
      <c r="D332" s="58" t="s">
        <v>377</v>
      </c>
      <c r="E332" s="38">
        <f>Місто!E333-'[1]Місто'!E330</f>
        <v>0</v>
      </c>
      <c r="F332" s="38">
        <f>Місто!F333-'[1]Місто'!F330</f>
        <v>0</v>
      </c>
      <c r="G332" s="38">
        <f>Місто!G333-'[1]Місто'!G330</f>
        <v>0</v>
      </c>
      <c r="H332" s="38">
        <f>Місто!H333-'[1]Місто'!H330</f>
        <v>0</v>
      </c>
      <c r="I332" s="38">
        <f>Місто!I333-'[1]Місто'!I330</f>
        <v>0</v>
      </c>
      <c r="J332" s="38">
        <f>Місто!J333-'[1]Місто'!J330</f>
        <v>0</v>
      </c>
      <c r="K332" s="38">
        <f>Місто!K333-'[1]Місто'!K330</f>
        <v>0</v>
      </c>
      <c r="L332" s="38">
        <f>Місто!L333-'[1]Місто'!L330</f>
        <v>0</v>
      </c>
      <c r="M332" s="38">
        <f>Місто!M333-'[1]Місто'!M330</f>
        <v>0</v>
      </c>
      <c r="N332" s="38">
        <f>Місто!N333-'[1]Місто'!N330</f>
        <v>0</v>
      </c>
      <c r="O332" s="38">
        <f>Місто!O333-'[1]Місто'!O330</f>
        <v>0</v>
      </c>
      <c r="P332" s="55">
        <f>Місто!P333-'[1]Місто'!P330</f>
        <v>0</v>
      </c>
      <c r="Q332" s="53"/>
      <c r="R332" s="59"/>
      <c r="W332" s="53">
        <f t="shared" si="4"/>
        <v>0</v>
      </c>
    </row>
    <row r="333" spans="1:23" ht="51" hidden="1">
      <c r="A333" s="39"/>
      <c r="B333" s="39" t="s">
        <v>355</v>
      </c>
      <c r="C333" s="39"/>
      <c r="D333" s="68" t="s">
        <v>211</v>
      </c>
      <c r="E333" s="38">
        <f>Місто!E334-'[1]Місто'!E331</f>
        <v>0</v>
      </c>
      <c r="F333" s="38">
        <f>Місто!F334-'[1]Місто'!F331</f>
        <v>0</v>
      </c>
      <c r="G333" s="38">
        <f>Місто!G334-'[1]Місто'!G331</f>
        <v>0</v>
      </c>
      <c r="H333" s="38">
        <f>Місто!H334-'[1]Місто'!H331</f>
        <v>0</v>
      </c>
      <c r="I333" s="38">
        <f>Місто!I334-'[1]Місто'!I331</f>
        <v>0</v>
      </c>
      <c r="J333" s="38">
        <f>Місто!J334-'[1]Місто'!J331</f>
        <v>0</v>
      </c>
      <c r="K333" s="38">
        <f>Місто!K334-'[1]Місто'!K331</f>
        <v>0</v>
      </c>
      <c r="L333" s="38">
        <f>Місто!L334-'[1]Місто'!L331</f>
        <v>0</v>
      </c>
      <c r="M333" s="38">
        <f>Місто!M334-'[1]Місто'!M331</f>
        <v>0</v>
      </c>
      <c r="N333" s="38">
        <f>Місто!N334-'[1]Місто'!N331</f>
        <v>0</v>
      </c>
      <c r="O333" s="38">
        <f>Місто!O334-'[1]Місто'!O331</f>
        <v>0</v>
      </c>
      <c r="P333" s="55">
        <f>Місто!P334-'[1]Місто'!P331</f>
        <v>0</v>
      </c>
      <c r="Q333" s="53"/>
      <c r="R333" s="59"/>
      <c r="W333" s="53">
        <f t="shared" si="4"/>
        <v>0</v>
      </c>
    </row>
    <row r="334" spans="1:23" ht="25.5">
      <c r="A334" s="74"/>
      <c r="B334" s="74" t="s">
        <v>407</v>
      </c>
      <c r="C334" s="139"/>
      <c r="D334" s="134" t="s">
        <v>405</v>
      </c>
      <c r="E334" s="38">
        <f>Місто!E335-'[1]Місто'!E332</f>
        <v>0</v>
      </c>
      <c r="F334" s="38">
        <f>Місто!F335-'[1]Місто'!F332</f>
        <v>0</v>
      </c>
      <c r="G334" s="38">
        <f>Місто!G335-'[1]Місто'!G332</f>
        <v>0</v>
      </c>
      <c r="H334" s="38">
        <f>Місто!H335-'[1]Місто'!H332</f>
        <v>0</v>
      </c>
      <c r="I334" s="38">
        <f>Місто!I335-'[1]Місто'!I332</f>
        <v>0</v>
      </c>
      <c r="J334" s="38">
        <f>Місто!J335-'[1]Місто'!J332</f>
        <v>-16930000</v>
      </c>
      <c r="K334" s="38">
        <f>Місто!K335-'[1]Місто'!K332</f>
        <v>0</v>
      </c>
      <c r="L334" s="38">
        <f>Місто!L335-'[1]Місто'!L332</f>
        <v>0</v>
      </c>
      <c r="M334" s="38">
        <f>Місто!M335-'[1]Місто'!M332</f>
        <v>0</v>
      </c>
      <c r="N334" s="38">
        <f>Місто!N335-'[1]Місто'!N332</f>
        <v>-16930000</v>
      </c>
      <c r="O334" s="38">
        <f>Місто!O335-'[1]Місто'!O332</f>
        <v>-16930000</v>
      </c>
      <c r="P334" s="55">
        <f>Місто!P335-'[1]Місто'!P332</f>
        <v>-16930000</v>
      </c>
      <c r="Q334" s="53"/>
      <c r="R334" s="59"/>
      <c r="W334" s="53">
        <f t="shared" si="4"/>
        <v>0</v>
      </c>
    </row>
    <row r="335" spans="1:23" ht="25.5" hidden="1">
      <c r="A335" s="74"/>
      <c r="B335" s="74" t="s">
        <v>404</v>
      </c>
      <c r="C335" s="139" t="s">
        <v>454</v>
      </c>
      <c r="D335" s="134" t="s">
        <v>406</v>
      </c>
      <c r="E335" s="38">
        <f>Місто!E336-'[1]Місто'!E333</f>
        <v>0</v>
      </c>
      <c r="F335" s="38">
        <f>Місто!F336-'[1]Місто'!F333</f>
        <v>0</v>
      </c>
      <c r="G335" s="38">
        <f>Місто!G336-'[1]Місто'!G333</f>
        <v>0</v>
      </c>
      <c r="H335" s="38">
        <f>Місто!H336-'[1]Місто'!H333</f>
        <v>0</v>
      </c>
      <c r="I335" s="38">
        <f>Місто!I336-'[1]Місто'!I333</f>
        <v>0</v>
      </c>
      <c r="J335" s="38">
        <f>Місто!J336-'[1]Місто'!J333</f>
        <v>0</v>
      </c>
      <c r="K335" s="38">
        <f>Місто!K336-'[1]Місто'!K333</f>
        <v>0</v>
      </c>
      <c r="L335" s="38">
        <f>Місто!L336-'[1]Місто'!L333</f>
        <v>0</v>
      </c>
      <c r="M335" s="38">
        <f>Місто!M336-'[1]Місто'!M333</f>
        <v>0</v>
      </c>
      <c r="N335" s="38">
        <f>Місто!N336-'[1]Місто'!N333</f>
        <v>0</v>
      </c>
      <c r="O335" s="38">
        <f>Місто!O336-'[1]Місто'!O333</f>
        <v>0</v>
      </c>
      <c r="P335" s="55">
        <f>Місто!P336-'[1]Місто'!P333</f>
        <v>0</v>
      </c>
      <c r="Q335" s="53"/>
      <c r="R335" s="59"/>
      <c r="W335" s="53">
        <f t="shared" si="4"/>
        <v>0</v>
      </c>
    </row>
    <row r="336" spans="1:23" ht="12.75">
      <c r="A336" s="39"/>
      <c r="B336" s="74" t="s">
        <v>426</v>
      </c>
      <c r="C336" s="74" t="s">
        <v>453</v>
      </c>
      <c r="D336" s="58" t="s">
        <v>427</v>
      </c>
      <c r="E336" s="38">
        <f>Місто!E337-'[1]Місто'!E334</f>
        <v>0</v>
      </c>
      <c r="F336" s="38">
        <f>Місто!F337-'[1]Місто'!F334</f>
        <v>0</v>
      </c>
      <c r="G336" s="38">
        <f>Місто!G337-'[1]Місто'!G334</f>
        <v>0</v>
      </c>
      <c r="H336" s="38">
        <f>Місто!H337-'[1]Місто'!H334</f>
        <v>0</v>
      </c>
      <c r="I336" s="38">
        <f>Місто!I337-'[1]Місто'!I334</f>
        <v>0</v>
      </c>
      <c r="J336" s="38">
        <f>Місто!J337-'[1]Місто'!J334</f>
        <v>-16930000</v>
      </c>
      <c r="K336" s="38">
        <f>Місто!K337-'[1]Місто'!K334</f>
        <v>0</v>
      </c>
      <c r="L336" s="38">
        <f>Місто!L337-'[1]Місто'!L334</f>
        <v>0</v>
      </c>
      <c r="M336" s="38">
        <f>Місто!M337-'[1]Місто'!M334</f>
        <v>0</v>
      </c>
      <c r="N336" s="38">
        <f>Місто!N337-'[1]Місто'!N334</f>
        <v>-16930000</v>
      </c>
      <c r="O336" s="38">
        <f>Місто!O337-'[1]Місто'!O334</f>
        <v>-16930000</v>
      </c>
      <c r="P336" s="55">
        <f>Місто!P337-'[1]Місто'!P334</f>
        <v>-16930000</v>
      </c>
      <c r="Q336" s="53"/>
      <c r="R336" s="59"/>
      <c r="W336" s="53">
        <f t="shared" si="4"/>
        <v>0</v>
      </c>
    </row>
    <row r="337" spans="1:23" ht="12.75">
      <c r="A337" s="39"/>
      <c r="B337" s="39" t="s">
        <v>369</v>
      </c>
      <c r="C337" s="39"/>
      <c r="D337" s="60" t="s">
        <v>373</v>
      </c>
      <c r="E337" s="38">
        <f>Місто!E338-'[1]Місто'!E335</f>
        <v>0</v>
      </c>
      <c r="F337" s="38">
        <f>Місто!F338-'[1]Місто'!F335</f>
        <v>0</v>
      </c>
      <c r="G337" s="38">
        <f>Місто!G338-'[1]Місто'!G335</f>
        <v>0</v>
      </c>
      <c r="H337" s="38">
        <f>Місто!H338-'[1]Місто'!H335</f>
        <v>0</v>
      </c>
      <c r="I337" s="38">
        <f>Місто!I338-'[1]Місто'!I335</f>
        <v>0</v>
      </c>
      <c r="J337" s="38">
        <f>Місто!J338-'[1]Місто'!J335</f>
        <v>20630000</v>
      </c>
      <c r="K337" s="38">
        <f>Місто!K338-'[1]Місто'!K335</f>
        <v>-500</v>
      </c>
      <c r="L337" s="38">
        <f>Місто!L338-'[1]Місто'!L335</f>
        <v>0</v>
      </c>
      <c r="M337" s="38">
        <f>Місто!M338-'[1]Місто'!M335</f>
        <v>0</v>
      </c>
      <c r="N337" s="38">
        <f>Місто!N338-'[1]Місто'!N335</f>
        <v>20630500</v>
      </c>
      <c r="O337" s="38">
        <f>Місто!O338-'[1]Місто'!O335</f>
        <v>0</v>
      </c>
      <c r="P337" s="55">
        <f>Місто!P338-'[1]Місто'!P335</f>
        <v>20630000</v>
      </c>
      <c r="Q337" s="53"/>
      <c r="R337" s="59"/>
      <c r="W337" s="53"/>
    </row>
    <row r="338" spans="1:23" s="149" customFormat="1" ht="25.5">
      <c r="A338" s="144"/>
      <c r="B338" s="39" t="s">
        <v>337</v>
      </c>
      <c r="C338" s="74" t="s">
        <v>454</v>
      </c>
      <c r="D338" s="60" t="s">
        <v>352</v>
      </c>
      <c r="E338" s="38">
        <f>Місто!E339-'[1]Місто'!E336</f>
        <v>0</v>
      </c>
      <c r="F338" s="38">
        <f>Місто!F339-'[1]Місто'!F336</f>
        <v>0</v>
      </c>
      <c r="G338" s="38">
        <f>Місто!G339-'[1]Місто'!G336</f>
        <v>0</v>
      </c>
      <c r="H338" s="38">
        <f>Місто!H339-'[1]Місто'!H336</f>
        <v>0</v>
      </c>
      <c r="I338" s="38">
        <f>Місто!I339-'[1]Місто'!I336</f>
        <v>0</v>
      </c>
      <c r="J338" s="38">
        <f>Місто!J339-'[1]Місто'!J336</f>
        <v>20630000</v>
      </c>
      <c r="K338" s="38">
        <f>Місто!K339-'[1]Місто'!K336</f>
        <v>-500</v>
      </c>
      <c r="L338" s="38">
        <f>Місто!L339-'[1]Місто'!L336</f>
        <v>0</v>
      </c>
      <c r="M338" s="38">
        <f>Місто!M339-'[1]Місто'!M336</f>
        <v>0</v>
      </c>
      <c r="N338" s="38">
        <f>Місто!N339-'[1]Місто'!N336</f>
        <v>20630500</v>
      </c>
      <c r="O338" s="38">
        <f>Місто!O339-'[1]Місто'!O336</f>
        <v>0</v>
      </c>
      <c r="P338" s="55">
        <f>Місто!P339-'[1]Місто'!P336</f>
        <v>20630000</v>
      </c>
      <c r="Q338" s="145"/>
      <c r="R338" s="148"/>
      <c r="W338" s="145"/>
    </row>
    <row r="339" spans="1:23" ht="25.5" hidden="1">
      <c r="A339" s="39"/>
      <c r="B339" s="39" t="s">
        <v>287</v>
      </c>
      <c r="C339" s="39"/>
      <c r="D339" s="60" t="s">
        <v>333</v>
      </c>
      <c r="E339" s="38">
        <f>Місто!E340-'[1]Місто'!E337</f>
        <v>0</v>
      </c>
      <c r="F339" s="38">
        <f>Місто!F340-'[1]Місто'!F337</f>
        <v>0</v>
      </c>
      <c r="G339" s="38">
        <f>Місто!G340-'[1]Місто'!G337</f>
        <v>0</v>
      </c>
      <c r="H339" s="38">
        <f>Місто!H340-'[1]Місто'!H337</f>
        <v>0</v>
      </c>
      <c r="I339" s="38">
        <f>Місто!I340-'[1]Місто'!I337</f>
        <v>0</v>
      </c>
      <c r="J339" s="38">
        <f>Місто!J340-'[1]Місто'!J337</f>
        <v>0</v>
      </c>
      <c r="K339" s="38">
        <f>Місто!K340-'[1]Місто'!K337</f>
        <v>0</v>
      </c>
      <c r="L339" s="38">
        <f>Місто!L340-'[1]Місто'!L337</f>
        <v>0</v>
      </c>
      <c r="M339" s="38">
        <f>Місто!M340-'[1]Місто'!M337</f>
        <v>0</v>
      </c>
      <c r="N339" s="38">
        <f>Місто!N340-'[1]Місто'!N337</f>
        <v>0</v>
      </c>
      <c r="O339" s="38">
        <f>Місто!O340-'[1]Місто'!O337</f>
        <v>0</v>
      </c>
      <c r="P339" s="55">
        <f>Місто!P340-'[1]Місто'!P337</f>
        <v>0</v>
      </c>
      <c r="Q339" s="53"/>
      <c r="R339" s="59"/>
      <c r="W339" s="53">
        <f t="shared" si="4"/>
        <v>0</v>
      </c>
    </row>
    <row r="340" spans="1:23" s="54" customFormat="1" ht="25.5" hidden="1">
      <c r="A340" s="74"/>
      <c r="B340" s="74" t="s">
        <v>371</v>
      </c>
      <c r="C340" s="74"/>
      <c r="D340" s="73" t="s">
        <v>372</v>
      </c>
      <c r="E340" s="38">
        <f>Місто!E341-'[1]Місто'!E338</f>
        <v>0</v>
      </c>
      <c r="F340" s="38">
        <f>Місто!F341-'[1]Місто'!F338</f>
        <v>0</v>
      </c>
      <c r="G340" s="38">
        <f>Місто!G341-'[1]Місто'!G338</f>
        <v>0</v>
      </c>
      <c r="H340" s="38">
        <f>Місто!H341-'[1]Місто'!H338</f>
        <v>0</v>
      </c>
      <c r="I340" s="38">
        <f>Місто!I341-'[1]Місто'!I338</f>
        <v>0</v>
      </c>
      <c r="J340" s="38">
        <f>Місто!J341-'[1]Місто'!J338</f>
        <v>0</v>
      </c>
      <c r="K340" s="38">
        <f>Місто!K341-'[1]Місто'!K338</f>
        <v>0</v>
      </c>
      <c r="L340" s="38">
        <f>Місто!L341-'[1]Місто'!L338</f>
        <v>0</v>
      </c>
      <c r="M340" s="38">
        <f>Місто!M341-'[1]Місто'!M338</f>
        <v>0</v>
      </c>
      <c r="N340" s="38">
        <f>Місто!N341-'[1]Місто'!N338</f>
        <v>0</v>
      </c>
      <c r="O340" s="38">
        <f>Місто!O341-'[1]Місто'!O338</f>
        <v>0</v>
      </c>
      <c r="P340" s="55">
        <f>Місто!P341-'[1]Місто'!P338</f>
        <v>0</v>
      </c>
      <c r="Q340" s="53"/>
      <c r="R340" s="53"/>
      <c r="W340" s="53">
        <f t="shared" si="4"/>
        <v>0</v>
      </c>
    </row>
    <row r="341" spans="1:23" s="57" customFormat="1" ht="12.75" hidden="1">
      <c r="A341" s="74"/>
      <c r="B341" s="74" t="s">
        <v>288</v>
      </c>
      <c r="C341" s="74" t="s">
        <v>444</v>
      </c>
      <c r="D341" s="68" t="s">
        <v>316</v>
      </c>
      <c r="E341" s="38">
        <f>Місто!E342-'[1]Місто'!E339</f>
        <v>0</v>
      </c>
      <c r="F341" s="38">
        <f>Місто!F342-'[1]Місто'!F339</f>
        <v>0</v>
      </c>
      <c r="G341" s="38">
        <f>Місто!G342-'[1]Місто'!G339</f>
        <v>0</v>
      </c>
      <c r="H341" s="38">
        <f>Місто!H342-'[1]Місто'!H339</f>
        <v>0</v>
      </c>
      <c r="I341" s="38">
        <f>Місто!I342-'[1]Місто'!I339</f>
        <v>0</v>
      </c>
      <c r="J341" s="38">
        <f>Місто!J342-'[1]Місто'!J339</f>
        <v>0</v>
      </c>
      <c r="K341" s="38">
        <f>Місто!K342-'[1]Місто'!K339</f>
        <v>0</v>
      </c>
      <c r="L341" s="38">
        <f>Місто!L342-'[1]Місто'!L339</f>
        <v>0</v>
      </c>
      <c r="M341" s="38">
        <f>Місто!M342-'[1]Місто'!M339</f>
        <v>0</v>
      </c>
      <c r="N341" s="38">
        <f>Місто!N342-'[1]Місто'!N339</f>
        <v>0</v>
      </c>
      <c r="O341" s="38">
        <f>Місто!O342-'[1]Місто'!O339</f>
        <v>0</v>
      </c>
      <c r="P341" s="55">
        <f>Місто!P342-'[1]Місто'!P339</f>
        <v>0</v>
      </c>
      <c r="Q341" s="53"/>
      <c r="R341" s="56"/>
      <c r="W341" s="53">
        <f t="shared" si="4"/>
        <v>0</v>
      </c>
    </row>
    <row r="342" spans="1:23" s="158" customFormat="1" ht="12.75" hidden="1">
      <c r="A342" s="152"/>
      <c r="B342" s="152"/>
      <c r="C342" s="152"/>
      <c r="D342" s="153" t="s">
        <v>496</v>
      </c>
      <c r="E342" s="154">
        <f>Місто!E343-'[1]Місто'!E340</f>
        <v>0</v>
      </c>
      <c r="F342" s="154">
        <f>Місто!F343-'[1]Місто'!F340</f>
        <v>0</v>
      </c>
      <c r="G342" s="154">
        <f>Місто!G343-'[1]Місто'!G340</f>
        <v>0</v>
      </c>
      <c r="H342" s="154">
        <f>Місто!H343-'[1]Місто'!H340</f>
        <v>0</v>
      </c>
      <c r="I342" s="154">
        <f>Місто!I343-'[1]Місто'!I340</f>
        <v>0</v>
      </c>
      <c r="J342" s="154">
        <f>Місто!J343-'[1]Місто'!J340</f>
        <v>0</v>
      </c>
      <c r="K342" s="154">
        <f>Місто!K343-'[1]Місто'!K340</f>
        <v>0</v>
      </c>
      <c r="L342" s="154">
        <f>Місто!L343-'[1]Місто'!L340</f>
        <v>0</v>
      </c>
      <c r="M342" s="154">
        <f>Місто!M343-'[1]Місто'!M340</f>
        <v>0</v>
      </c>
      <c r="N342" s="154">
        <f>Місто!N343-'[1]Місто'!N340</f>
        <v>0</v>
      </c>
      <c r="O342" s="154">
        <f>Місто!O343-'[1]Місто'!O340</f>
        <v>0</v>
      </c>
      <c r="P342" s="155">
        <f>Місто!P343-'[1]Місто'!P340</f>
        <v>0</v>
      </c>
      <c r="Q342" s="156"/>
      <c r="R342" s="157"/>
      <c r="W342" s="156">
        <f t="shared" si="4"/>
        <v>0</v>
      </c>
    </row>
    <row r="343" spans="1:23" ht="38.25">
      <c r="A343" s="98"/>
      <c r="B343" s="98" t="s">
        <v>179</v>
      </c>
      <c r="C343" s="98"/>
      <c r="D343" s="104" t="s">
        <v>136</v>
      </c>
      <c r="E343" s="51">
        <f>Місто!E344-'[1]Місто'!E341</f>
        <v>2733233</v>
      </c>
      <c r="F343" s="51">
        <f>Місто!F344-'[1]Місто'!F341</f>
        <v>2733233</v>
      </c>
      <c r="G343" s="51">
        <f>Місто!G344-'[1]Місто'!G341</f>
        <v>141782</v>
      </c>
      <c r="H343" s="51">
        <f>Місто!H344-'[1]Місто'!H341</f>
        <v>0</v>
      </c>
      <c r="I343" s="51">
        <f>Місто!I344-'[1]Місто'!I341</f>
        <v>0</v>
      </c>
      <c r="J343" s="51">
        <f>Місто!J344-'[1]Місто'!J341</f>
        <v>43720689</v>
      </c>
      <c r="K343" s="51">
        <f>Місто!K344-'[1]Місто'!K341</f>
        <v>0</v>
      </c>
      <c r="L343" s="51">
        <f>Місто!L344-'[1]Місто'!L341</f>
        <v>0</v>
      </c>
      <c r="M343" s="51">
        <f>Місто!M344-'[1]Місто'!M341</f>
        <v>0</v>
      </c>
      <c r="N343" s="51">
        <f>Місто!N344-'[1]Місто'!N341</f>
        <v>43720689</v>
      </c>
      <c r="O343" s="51">
        <f>Місто!O344-'[1]Місто'!O341</f>
        <v>43720689</v>
      </c>
      <c r="P343" s="51">
        <f>Місто!P344-'[1]Місто'!P341</f>
        <v>46453922</v>
      </c>
      <c r="Q343" s="53"/>
      <c r="R343" s="59"/>
      <c r="W343" s="53">
        <f t="shared" si="4"/>
        <v>0</v>
      </c>
    </row>
    <row r="344" spans="1:23" ht="12.75">
      <c r="A344" s="39"/>
      <c r="B344" s="39" t="s">
        <v>362</v>
      </c>
      <c r="C344" s="39"/>
      <c r="D344" s="58" t="s">
        <v>363</v>
      </c>
      <c r="E344" s="38">
        <f>Місто!E345-'[1]Місто'!E342</f>
        <v>46743</v>
      </c>
      <c r="F344" s="38">
        <f>Місто!F345-'[1]Місто'!F342</f>
        <v>46743</v>
      </c>
      <c r="G344" s="38">
        <f>Місто!G345-'[1]Місто'!G342</f>
        <v>141782</v>
      </c>
      <c r="H344" s="38">
        <f>Місто!H345-'[1]Місто'!H342</f>
        <v>0</v>
      </c>
      <c r="I344" s="38">
        <f>Місто!I345-'[1]Місто'!I342</f>
        <v>0</v>
      </c>
      <c r="J344" s="38">
        <f>Місто!J345-'[1]Місто'!J342</f>
        <v>13000</v>
      </c>
      <c r="K344" s="38">
        <f>Місто!K345-'[1]Місто'!K342</f>
        <v>0</v>
      </c>
      <c r="L344" s="38">
        <f>Місто!L345-'[1]Місто'!L342</f>
        <v>0</v>
      </c>
      <c r="M344" s="38">
        <f>Місто!M345-'[1]Місто'!M342</f>
        <v>0</v>
      </c>
      <c r="N344" s="38">
        <f>Місто!N345-'[1]Місто'!N342</f>
        <v>13000</v>
      </c>
      <c r="O344" s="38">
        <f>Місто!O345-'[1]Місто'!O342</f>
        <v>13000</v>
      </c>
      <c r="P344" s="38">
        <f>Місто!P345-'[1]Місто'!P342</f>
        <v>59743</v>
      </c>
      <c r="Q344" s="53"/>
      <c r="R344" s="59"/>
      <c r="W344" s="53">
        <f t="shared" si="4"/>
        <v>0</v>
      </c>
    </row>
    <row r="345" spans="1:23" ht="12.75">
      <c r="A345" s="39"/>
      <c r="B345" s="39" t="s">
        <v>249</v>
      </c>
      <c r="C345" s="74" t="s">
        <v>441</v>
      </c>
      <c r="D345" s="58" t="s">
        <v>250</v>
      </c>
      <c r="E345" s="38">
        <f>Місто!E346-'[1]Місто'!E343</f>
        <v>46743</v>
      </c>
      <c r="F345" s="38">
        <f>Місто!F346-'[1]Місто'!F343</f>
        <v>46743</v>
      </c>
      <c r="G345" s="38">
        <f>Місто!G346-'[1]Місто'!G343</f>
        <v>141782</v>
      </c>
      <c r="H345" s="38">
        <f>Місто!H346-'[1]Місто'!H343</f>
        <v>0</v>
      </c>
      <c r="I345" s="38">
        <f>Місто!I346-'[1]Місто'!I343</f>
        <v>0</v>
      </c>
      <c r="J345" s="38">
        <f>Місто!J346-'[1]Місто'!J343</f>
        <v>13000</v>
      </c>
      <c r="K345" s="38">
        <f>Місто!K346-'[1]Місто'!K343</f>
        <v>0</v>
      </c>
      <c r="L345" s="38">
        <f>Місто!L346-'[1]Місто'!L343</f>
        <v>0</v>
      </c>
      <c r="M345" s="38">
        <f>Місто!M346-'[1]Місто'!M343</f>
        <v>0</v>
      </c>
      <c r="N345" s="38">
        <f>Місто!N346-'[1]Місто'!N343</f>
        <v>13000</v>
      </c>
      <c r="O345" s="38">
        <f>Місто!O346-'[1]Місто'!O343</f>
        <v>13000</v>
      </c>
      <c r="P345" s="55">
        <f>Місто!P346-'[1]Місто'!P343</f>
        <v>59743</v>
      </c>
      <c r="Q345" s="53"/>
      <c r="R345" s="59"/>
      <c r="W345" s="53">
        <f aca="true" t="shared" si="5" ref="W345:W412">N345-O345</f>
        <v>0</v>
      </c>
    </row>
    <row r="346" spans="1:23" ht="12.75" hidden="1">
      <c r="A346" s="74"/>
      <c r="B346" s="74" t="s">
        <v>374</v>
      </c>
      <c r="C346" s="74"/>
      <c r="D346" s="36" t="s">
        <v>375</v>
      </c>
      <c r="E346" s="38">
        <f>Місто!E347-'[1]Місто'!E344</f>
        <v>0</v>
      </c>
      <c r="F346" s="38">
        <f>Місто!F347-'[1]Місто'!F344</f>
        <v>0</v>
      </c>
      <c r="G346" s="38">
        <f>Місто!G347-'[1]Місто'!G344</f>
        <v>0</v>
      </c>
      <c r="H346" s="38">
        <f>Місто!H347-'[1]Місто'!H344</f>
        <v>0</v>
      </c>
      <c r="I346" s="38">
        <f>Місто!I347-'[1]Місто'!I344</f>
        <v>0</v>
      </c>
      <c r="J346" s="38">
        <f>Місто!J347-'[1]Місто'!J344</f>
        <v>0</v>
      </c>
      <c r="K346" s="38">
        <f>Місто!K347-'[1]Місто'!K344</f>
        <v>0</v>
      </c>
      <c r="L346" s="38">
        <f>Місто!L347-'[1]Місто'!L344</f>
        <v>0</v>
      </c>
      <c r="M346" s="38">
        <f>Місто!M347-'[1]Місто'!M344</f>
        <v>0</v>
      </c>
      <c r="N346" s="38">
        <f>Місто!N347-'[1]Місто'!N344</f>
        <v>0</v>
      </c>
      <c r="O346" s="38">
        <f>Місто!O347-'[1]Місто'!O344</f>
        <v>0</v>
      </c>
      <c r="P346" s="55">
        <f>Місто!P347-'[1]Місто'!P344</f>
        <v>0</v>
      </c>
      <c r="Q346" s="53"/>
      <c r="R346" s="59"/>
      <c r="W346" s="53">
        <f t="shared" si="5"/>
        <v>0</v>
      </c>
    </row>
    <row r="347" spans="1:23" ht="12.75" hidden="1">
      <c r="A347" s="74"/>
      <c r="B347" s="74" t="s">
        <v>102</v>
      </c>
      <c r="C347" s="74"/>
      <c r="D347" s="68" t="s">
        <v>106</v>
      </c>
      <c r="E347" s="38">
        <f>Місто!E348-'[1]Місто'!E345</f>
        <v>0</v>
      </c>
      <c r="F347" s="38">
        <f>Місто!F348-'[1]Місто'!F345</f>
        <v>0</v>
      </c>
      <c r="G347" s="38">
        <f>Місто!G348-'[1]Місто'!G345</f>
        <v>0</v>
      </c>
      <c r="H347" s="38">
        <f>Місто!H348-'[1]Місто'!H345</f>
        <v>0</v>
      </c>
      <c r="I347" s="38">
        <f>Місто!I348-'[1]Місто'!I345</f>
        <v>0</v>
      </c>
      <c r="J347" s="38">
        <f>Місто!J348-'[1]Місто'!J345</f>
        <v>0</v>
      </c>
      <c r="K347" s="38">
        <f>Місто!K348-'[1]Місто'!K345</f>
        <v>0</v>
      </c>
      <c r="L347" s="38">
        <f>Місто!L348-'[1]Місто'!L345</f>
        <v>0</v>
      </c>
      <c r="M347" s="38">
        <f>Місто!M348-'[1]Місто'!M345</f>
        <v>0</v>
      </c>
      <c r="N347" s="38">
        <f>Місто!N348-'[1]Місто'!N345</f>
        <v>0</v>
      </c>
      <c r="O347" s="38">
        <f>Місто!O348-'[1]Місто'!O345</f>
        <v>0</v>
      </c>
      <c r="P347" s="55">
        <f>Місто!P348-'[1]Місто'!P345</f>
        <v>0</v>
      </c>
      <c r="Q347" s="53"/>
      <c r="R347" s="59"/>
      <c r="W347" s="53">
        <f t="shared" si="5"/>
        <v>0</v>
      </c>
    </row>
    <row r="348" spans="1:23" ht="12.75">
      <c r="A348" s="74"/>
      <c r="B348" s="74" t="s">
        <v>364</v>
      </c>
      <c r="C348" s="74"/>
      <c r="D348" s="36" t="s">
        <v>365</v>
      </c>
      <c r="E348" s="38">
        <f>Місто!E349-'[1]Місто'!E346</f>
        <v>2182559</v>
      </c>
      <c r="F348" s="38">
        <f>Місто!F349-'[1]Місто'!F346</f>
        <v>2182559</v>
      </c>
      <c r="G348" s="38">
        <f>Місто!G349-'[1]Місто'!G346</f>
        <v>0</v>
      </c>
      <c r="H348" s="38">
        <f>Місто!H349-'[1]Місто'!H346</f>
        <v>0</v>
      </c>
      <c r="I348" s="38">
        <f>Місто!I349-'[1]Місто'!I346</f>
        <v>0</v>
      </c>
      <c r="J348" s="38">
        <f>Місто!J349-'[1]Місто'!J346</f>
        <v>1039450</v>
      </c>
      <c r="K348" s="38">
        <f>Місто!K349-'[1]Місто'!K346</f>
        <v>0</v>
      </c>
      <c r="L348" s="38">
        <f>Місто!L349-'[1]Місто'!L346</f>
        <v>0</v>
      </c>
      <c r="M348" s="38">
        <f>Місто!M349-'[1]Місто'!M346</f>
        <v>0</v>
      </c>
      <c r="N348" s="38">
        <f>Місто!N349-'[1]Місто'!N346</f>
        <v>1039450</v>
      </c>
      <c r="O348" s="38">
        <f>Місто!O349-'[1]Місто'!O346</f>
        <v>1039450</v>
      </c>
      <c r="P348" s="55">
        <f>Місто!P349-'[1]Місто'!P346</f>
        <v>3222009</v>
      </c>
      <c r="Q348" s="53"/>
      <c r="R348" s="59"/>
      <c r="W348" s="53">
        <f t="shared" si="5"/>
        <v>0</v>
      </c>
    </row>
    <row r="349" spans="1:23" ht="12.75">
      <c r="A349" s="74"/>
      <c r="B349" s="74" t="s">
        <v>391</v>
      </c>
      <c r="C349" s="74" t="s">
        <v>442</v>
      </c>
      <c r="D349" s="75" t="s">
        <v>392</v>
      </c>
      <c r="E349" s="38">
        <f>Місто!E350-'[1]Місто'!E347</f>
        <v>2182559</v>
      </c>
      <c r="F349" s="38">
        <f>Місто!F350-'[1]Місто'!F347</f>
        <v>2182559</v>
      </c>
      <c r="G349" s="38">
        <f>Місто!G350-'[1]Місто'!G347</f>
        <v>0</v>
      </c>
      <c r="H349" s="38">
        <f>Місто!H350-'[1]Місто'!H347</f>
        <v>0</v>
      </c>
      <c r="I349" s="38">
        <f>Місто!I350-'[1]Місто'!I347</f>
        <v>0</v>
      </c>
      <c r="J349" s="38">
        <f>Місто!J350-'[1]Місто'!J347</f>
        <v>1039450</v>
      </c>
      <c r="K349" s="38">
        <f>Місто!K350-'[1]Місто'!K347</f>
        <v>0</v>
      </c>
      <c r="L349" s="38">
        <f>Місто!L350-'[1]Місто'!L347</f>
        <v>0</v>
      </c>
      <c r="M349" s="38">
        <f>Місто!M350-'[1]Місто'!M347</f>
        <v>0</v>
      </c>
      <c r="N349" s="38">
        <f>Місто!N350-'[1]Місто'!N347</f>
        <v>1039450</v>
      </c>
      <c r="O349" s="38">
        <f>Місто!O350-'[1]Місто'!O347</f>
        <v>1039450</v>
      </c>
      <c r="P349" s="55">
        <f>Місто!P350-'[1]Місто'!P347</f>
        <v>3222009</v>
      </c>
      <c r="Q349" s="53"/>
      <c r="R349" s="59"/>
      <c r="W349" s="53">
        <f t="shared" si="5"/>
        <v>0</v>
      </c>
    </row>
    <row r="350" spans="1:23" ht="12.75">
      <c r="A350" s="39"/>
      <c r="B350" s="39" t="s">
        <v>366</v>
      </c>
      <c r="C350" s="39"/>
      <c r="D350" s="36" t="s">
        <v>283</v>
      </c>
      <c r="E350" s="76">
        <f>Місто!E351-'[1]Місто'!E348</f>
        <v>0</v>
      </c>
      <c r="F350" s="76">
        <f>Місто!F351-'[1]Місто'!F348</f>
        <v>0</v>
      </c>
      <c r="G350" s="38">
        <f>Місто!G351-'[1]Місто'!G348</f>
        <v>0</v>
      </c>
      <c r="H350" s="38">
        <f>Місто!H351-'[1]Місто'!H348</f>
        <v>0</v>
      </c>
      <c r="I350" s="38">
        <f>Місто!I351-'[1]Місто'!I348</f>
        <v>0</v>
      </c>
      <c r="J350" s="38">
        <f>Місто!J351-'[1]Місто'!J348</f>
        <v>16117537</v>
      </c>
      <c r="K350" s="38">
        <f>Місто!K351-'[1]Місто'!K348</f>
        <v>0</v>
      </c>
      <c r="L350" s="38">
        <f>Місто!L351-'[1]Місто'!L348</f>
        <v>0</v>
      </c>
      <c r="M350" s="38">
        <f>Місто!M351-'[1]Місто'!M348</f>
        <v>0</v>
      </c>
      <c r="N350" s="38">
        <f>Місто!N351-'[1]Місто'!N348</f>
        <v>16117537</v>
      </c>
      <c r="O350" s="38">
        <f>Місто!O351-'[1]Місто'!O348</f>
        <v>16117537</v>
      </c>
      <c r="P350" s="55">
        <f>Місто!P351-'[1]Місто'!P348</f>
        <v>16117537</v>
      </c>
      <c r="Q350" s="53"/>
      <c r="R350" s="59"/>
      <c r="W350" s="53">
        <f t="shared" si="5"/>
        <v>0</v>
      </c>
    </row>
    <row r="351" spans="1:23" ht="12.75">
      <c r="A351" s="39"/>
      <c r="B351" s="39" t="s">
        <v>338</v>
      </c>
      <c r="C351" s="74" t="s">
        <v>443</v>
      </c>
      <c r="D351" s="36" t="s">
        <v>339</v>
      </c>
      <c r="E351" s="38">
        <f>Місто!E352-'[1]Місто'!E349</f>
        <v>0</v>
      </c>
      <c r="F351" s="38">
        <f>Місто!F352-'[1]Місто'!F349</f>
        <v>0</v>
      </c>
      <c r="G351" s="38">
        <f>Місто!G352-'[1]Місто'!G349</f>
        <v>0</v>
      </c>
      <c r="H351" s="38">
        <f>Місто!H352-'[1]Місто'!H349</f>
        <v>0</v>
      </c>
      <c r="I351" s="38">
        <f>Місто!I352-'[1]Місто'!I349</f>
        <v>0</v>
      </c>
      <c r="J351" s="38">
        <f>Місто!J352-'[1]Місто'!J349</f>
        <v>16117537</v>
      </c>
      <c r="K351" s="38">
        <f>Місто!K352-'[1]Місто'!K349</f>
        <v>0</v>
      </c>
      <c r="L351" s="38">
        <f>Місто!L352-'[1]Місто'!L349</f>
        <v>0</v>
      </c>
      <c r="M351" s="38">
        <f>Місто!M352-'[1]Місто'!M349</f>
        <v>0</v>
      </c>
      <c r="N351" s="38">
        <f>Місто!N352-'[1]Місто'!N349</f>
        <v>16117537</v>
      </c>
      <c r="O351" s="76">
        <f>Місто!O352-'[1]Місто'!O349</f>
        <v>16117537</v>
      </c>
      <c r="P351" s="55">
        <f>Місто!P352-'[1]Місто'!P349</f>
        <v>16117537</v>
      </c>
      <c r="Q351" s="53"/>
      <c r="R351" s="59"/>
      <c r="W351" s="53">
        <f t="shared" si="5"/>
        <v>0</v>
      </c>
    </row>
    <row r="352" spans="1:23" ht="28.5" customHeight="1">
      <c r="A352" s="74"/>
      <c r="B352" s="74" t="s">
        <v>367</v>
      </c>
      <c r="C352" s="74"/>
      <c r="D352" s="68" t="s">
        <v>368</v>
      </c>
      <c r="E352" s="38">
        <f>Місто!E353-'[1]Місто'!E350</f>
        <v>503931</v>
      </c>
      <c r="F352" s="38">
        <f>Місто!F353-'[1]Місто'!F350</f>
        <v>503931</v>
      </c>
      <c r="G352" s="38">
        <f>Місто!G353-'[1]Місто'!G350</f>
        <v>0</v>
      </c>
      <c r="H352" s="38">
        <f>Місто!H353-'[1]Місто'!H350</f>
        <v>0</v>
      </c>
      <c r="I352" s="38">
        <f>Місто!I353-'[1]Місто'!I350</f>
        <v>0</v>
      </c>
      <c r="J352" s="38">
        <f>Місто!J353-'[1]Місто'!J350</f>
        <v>0</v>
      </c>
      <c r="K352" s="38">
        <f>Місто!K353-'[1]Місто'!K350</f>
        <v>0</v>
      </c>
      <c r="L352" s="38">
        <f>Місто!L353-'[1]Місто'!L350</f>
        <v>0</v>
      </c>
      <c r="M352" s="38">
        <f>Місто!M353-'[1]Місто'!M350</f>
        <v>0</v>
      </c>
      <c r="N352" s="38">
        <f>Місто!N353-'[1]Місто'!N350</f>
        <v>0</v>
      </c>
      <c r="O352" s="76">
        <f>Місто!O353-'[1]Місто'!O350</f>
        <v>0</v>
      </c>
      <c r="P352" s="55">
        <f>Місто!P353-'[1]Місто'!P350</f>
        <v>503931</v>
      </c>
      <c r="Q352" s="53"/>
      <c r="R352" s="59"/>
      <c r="W352" s="53">
        <f t="shared" si="5"/>
        <v>0</v>
      </c>
    </row>
    <row r="353" spans="1:23" ht="25.5">
      <c r="A353" s="74"/>
      <c r="B353" s="74" t="s">
        <v>209</v>
      </c>
      <c r="C353" s="74" t="s">
        <v>477</v>
      </c>
      <c r="D353" s="68" t="s">
        <v>210</v>
      </c>
      <c r="E353" s="76">
        <f>Місто!E354-'[1]Місто'!E351</f>
        <v>503931</v>
      </c>
      <c r="F353" s="76">
        <f>Місто!F354-'[1]Місто'!F351</f>
        <v>503931</v>
      </c>
      <c r="G353" s="38">
        <f>Місто!G354-'[1]Місто'!G351</f>
        <v>0</v>
      </c>
      <c r="H353" s="38">
        <f>Місто!H354-'[1]Місто'!H351</f>
        <v>0</v>
      </c>
      <c r="I353" s="38">
        <f>Місто!I354-'[1]Місто'!I351</f>
        <v>0</v>
      </c>
      <c r="J353" s="38">
        <f>Місто!J354-'[1]Місто'!J351</f>
        <v>0</v>
      </c>
      <c r="K353" s="38">
        <f>Місто!K354-'[1]Місто'!K351</f>
        <v>0</v>
      </c>
      <c r="L353" s="38">
        <f>Місто!L354-'[1]Місто'!L351</f>
        <v>0</v>
      </c>
      <c r="M353" s="38">
        <f>Місто!M354-'[1]Місто'!M351</f>
        <v>0</v>
      </c>
      <c r="N353" s="38">
        <f>Місто!N354-'[1]Місто'!N351</f>
        <v>0</v>
      </c>
      <c r="O353" s="76">
        <f>Місто!O354-'[1]Місто'!O351</f>
        <v>0</v>
      </c>
      <c r="P353" s="55">
        <f>Місто!P354-'[1]Місто'!P351</f>
        <v>503931</v>
      </c>
      <c r="Q353" s="53"/>
      <c r="R353" s="59"/>
      <c r="W353" s="53">
        <f t="shared" si="5"/>
        <v>0</v>
      </c>
    </row>
    <row r="354" spans="1:23" ht="19.5" customHeight="1">
      <c r="A354" s="39"/>
      <c r="B354" s="39" t="s">
        <v>86</v>
      </c>
      <c r="C354" s="74" t="s">
        <v>478</v>
      </c>
      <c r="D354" s="36" t="s">
        <v>99</v>
      </c>
      <c r="E354" s="76">
        <f>Місто!E355-'[1]Місто'!E352</f>
        <v>0</v>
      </c>
      <c r="F354" s="76">
        <f>Місто!F355-'[1]Місто'!F352</f>
        <v>0</v>
      </c>
      <c r="G354" s="38">
        <f>Місто!G355-'[1]Місто'!G352</f>
        <v>0</v>
      </c>
      <c r="H354" s="38">
        <f>Місто!H355-'[1]Місто'!H352</f>
        <v>0</v>
      </c>
      <c r="I354" s="38">
        <f>Місто!I355-'[1]Місто'!I352</f>
        <v>0</v>
      </c>
      <c r="J354" s="38">
        <f>Місто!J355-'[1]Місто'!J352</f>
        <v>0</v>
      </c>
      <c r="K354" s="38">
        <f>Місто!K355-'[1]Місто'!K352</f>
        <v>0</v>
      </c>
      <c r="L354" s="38">
        <f>Місто!L355-'[1]Місто'!L352</f>
        <v>0</v>
      </c>
      <c r="M354" s="38">
        <f>Місто!M355-'[1]Місто'!M352</f>
        <v>0</v>
      </c>
      <c r="N354" s="38">
        <f>Місто!N355-'[1]Місто'!N352</f>
        <v>0</v>
      </c>
      <c r="O354" s="76">
        <f>Місто!O355-'[1]Місто'!O352</f>
        <v>0</v>
      </c>
      <c r="P354" s="55">
        <f>Місто!P355-'[1]Місто'!P352</f>
        <v>0</v>
      </c>
      <c r="Q354" s="53"/>
      <c r="R354" s="59"/>
      <c r="W354" s="53">
        <f t="shared" si="5"/>
        <v>0</v>
      </c>
    </row>
    <row r="355" spans="1:23" ht="25.5" hidden="1">
      <c r="A355" s="39"/>
      <c r="B355" s="39" t="s">
        <v>376</v>
      </c>
      <c r="C355" s="39"/>
      <c r="D355" s="58" t="s">
        <v>377</v>
      </c>
      <c r="E355" s="38">
        <f>Місто!E356-'[1]Місто'!E353</f>
        <v>0</v>
      </c>
      <c r="F355" s="38">
        <f>Місто!F356-'[1]Місто'!F353</f>
        <v>0</v>
      </c>
      <c r="G355" s="38">
        <f>Місто!G356-'[1]Місто'!G353</f>
        <v>0</v>
      </c>
      <c r="H355" s="38">
        <f>Місто!H356-'[1]Місто'!H353</f>
        <v>0</v>
      </c>
      <c r="I355" s="38">
        <f>Місто!I356-'[1]Місто'!I353</f>
        <v>0</v>
      </c>
      <c r="J355" s="38">
        <f>Місто!J356-'[1]Місто'!J353</f>
        <v>26550702</v>
      </c>
      <c r="K355" s="38">
        <f>Місто!K356-'[1]Місто'!K353</f>
        <v>0</v>
      </c>
      <c r="L355" s="38">
        <f>Місто!L356-'[1]Місто'!L353</f>
        <v>0</v>
      </c>
      <c r="M355" s="38">
        <f>Місто!M356-'[1]Місто'!M353</f>
        <v>0</v>
      </c>
      <c r="N355" s="38">
        <f>Місто!N356-'[1]Місто'!N353</f>
        <v>26550702</v>
      </c>
      <c r="O355" s="38">
        <f>Місто!O356-'[1]Місто'!O353</f>
        <v>26550702</v>
      </c>
      <c r="P355" s="55">
        <f>Місто!P356-'[1]Місто'!P353</f>
        <v>26550702</v>
      </c>
      <c r="Q355" s="53"/>
      <c r="R355" s="59"/>
      <c r="W355" s="53">
        <f t="shared" si="5"/>
        <v>0</v>
      </c>
    </row>
    <row r="356" spans="1:23" ht="51" hidden="1">
      <c r="A356" s="39"/>
      <c r="B356" s="39" t="s">
        <v>355</v>
      </c>
      <c r="C356" s="74" t="s">
        <v>443</v>
      </c>
      <c r="D356" s="68" t="s">
        <v>211</v>
      </c>
      <c r="E356" s="38">
        <f>Місто!E357-'[1]Місто'!E354</f>
        <v>0</v>
      </c>
      <c r="F356" s="38">
        <f>Місто!F357-'[1]Місто'!F354</f>
        <v>0</v>
      </c>
      <c r="G356" s="38">
        <f>Місто!G357-'[1]Місто'!G354</f>
        <v>0</v>
      </c>
      <c r="H356" s="38">
        <f>Місто!H357-'[1]Місто'!H354</f>
        <v>0</v>
      </c>
      <c r="I356" s="38">
        <f>Місто!I357-'[1]Місто'!I354</f>
        <v>0</v>
      </c>
      <c r="J356" s="38">
        <f>Місто!J357-'[1]Місто'!J354</f>
        <v>26550702</v>
      </c>
      <c r="K356" s="38">
        <f>Місто!K357-'[1]Місто'!K354</f>
        <v>0</v>
      </c>
      <c r="L356" s="38">
        <f>Місто!L357-'[1]Місто'!L354</f>
        <v>0</v>
      </c>
      <c r="M356" s="38">
        <f>Місто!M357-'[1]Місто'!M354</f>
        <v>0</v>
      </c>
      <c r="N356" s="76">
        <f>Місто!N357-'[1]Місто'!N354</f>
        <v>26550702</v>
      </c>
      <c r="O356" s="76">
        <f>Місто!O357-'[1]Місто'!O354</f>
        <v>26550702</v>
      </c>
      <c r="P356" s="55">
        <f>Місто!P357-'[1]Місто'!P354</f>
        <v>26550702</v>
      </c>
      <c r="Q356" s="53"/>
      <c r="R356" s="59"/>
      <c r="W356" s="53">
        <f t="shared" si="5"/>
        <v>0</v>
      </c>
    </row>
    <row r="357" spans="1:23" ht="25.5" hidden="1">
      <c r="A357" s="39"/>
      <c r="B357" s="39" t="s">
        <v>371</v>
      </c>
      <c r="C357" s="39"/>
      <c r="D357" s="60" t="s">
        <v>372</v>
      </c>
      <c r="E357" s="38">
        <f>Місто!E358-'[1]Місто'!E355</f>
        <v>0</v>
      </c>
      <c r="F357" s="38">
        <f>Місто!F358-'[1]Місто'!F355</f>
        <v>0</v>
      </c>
      <c r="G357" s="38">
        <f>Місто!G358-'[1]Місто'!G355</f>
        <v>0</v>
      </c>
      <c r="H357" s="38">
        <f>Місто!H358-'[1]Місто'!H355</f>
        <v>0</v>
      </c>
      <c r="I357" s="38">
        <f>Місто!I358-'[1]Місто'!I355</f>
        <v>0</v>
      </c>
      <c r="J357" s="38">
        <f>Місто!J358-'[1]Місто'!J355</f>
        <v>0</v>
      </c>
      <c r="K357" s="38">
        <f>Місто!K358-'[1]Місто'!K355</f>
        <v>0</v>
      </c>
      <c r="L357" s="38">
        <f>Місто!L358-'[1]Місто'!L355</f>
        <v>0</v>
      </c>
      <c r="M357" s="38">
        <f>Місто!M358-'[1]Місто'!M355</f>
        <v>0</v>
      </c>
      <c r="N357" s="38">
        <f>Місто!N358-'[1]Місто'!N355</f>
        <v>0</v>
      </c>
      <c r="O357" s="38">
        <f>Місто!O358-'[1]Місто'!O355</f>
        <v>0</v>
      </c>
      <c r="P357" s="38">
        <f>Місто!P358-'[1]Місто'!P355</f>
        <v>0</v>
      </c>
      <c r="Q357" s="53"/>
      <c r="R357" s="59"/>
      <c r="W357" s="53">
        <f t="shared" si="5"/>
        <v>0</v>
      </c>
    </row>
    <row r="358" spans="1:23" ht="12.75" hidden="1">
      <c r="A358" s="74"/>
      <c r="B358" s="74" t="s">
        <v>288</v>
      </c>
      <c r="C358" s="74"/>
      <c r="D358" s="68" t="s">
        <v>316</v>
      </c>
      <c r="E358" s="38">
        <f>Місто!E359-'[1]Місто'!E356</f>
        <v>0</v>
      </c>
      <c r="F358" s="38" t="e">
        <f>Місто!#REF!-'[1]Місто'!F356</f>
        <v>#REF!</v>
      </c>
      <c r="G358" s="38">
        <f>Місто!G359-'[1]Місто'!G356</f>
        <v>0</v>
      </c>
      <c r="H358" s="38">
        <f>Місто!H359-'[1]Місто'!H356</f>
        <v>0</v>
      </c>
      <c r="I358" s="38">
        <f>Місто!I359-'[1]Місто'!I356</f>
        <v>0</v>
      </c>
      <c r="J358" s="38">
        <f>Місто!J359-'[1]Місто'!J356</f>
        <v>0</v>
      </c>
      <c r="K358" s="38">
        <f>Місто!K359-'[1]Місто'!K356</f>
        <v>0</v>
      </c>
      <c r="L358" s="38">
        <f>Місто!L359-'[1]Місто'!L356</f>
        <v>0</v>
      </c>
      <c r="M358" s="38">
        <f>Місто!M359-'[1]Місто'!M356</f>
        <v>0</v>
      </c>
      <c r="N358" s="38">
        <f>Місто!N359-'[1]Місто'!N356</f>
        <v>0</v>
      </c>
      <c r="O358" s="38">
        <f>Місто!O359-'[1]Місто'!O356</f>
        <v>0</v>
      </c>
      <c r="P358" s="38">
        <f>Місто!P359-'[1]Місто'!P356</f>
        <v>0</v>
      </c>
      <c r="Q358" s="53"/>
      <c r="R358" s="59"/>
      <c r="W358" s="53">
        <f t="shared" si="5"/>
        <v>0</v>
      </c>
    </row>
    <row r="359" spans="1:23" ht="51" hidden="1">
      <c r="A359" s="74"/>
      <c r="B359" s="74"/>
      <c r="C359" s="74"/>
      <c r="D359" s="73" t="s">
        <v>217</v>
      </c>
      <c r="E359" s="38">
        <f>Місто!F359-'[1]Місто'!E357</f>
        <v>0</v>
      </c>
      <c r="F359" s="38">
        <f>Місто!F360-'[1]Місто'!F357</f>
        <v>0</v>
      </c>
      <c r="G359" s="38">
        <f>Місто!G360-'[1]Місто'!G357</f>
        <v>0</v>
      </c>
      <c r="H359" s="38">
        <f>Місто!H360-'[1]Місто'!H357</f>
        <v>0</v>
      </c>
      <c r="I359" s="38">
        <f>Місто!I360-'[1]Місто'!I357</f>
        <v>0</v>
      </c>
      <c r="J359" s="38">
        <f>Місто!J360-'[1]Місто'!J357</f>
        <v>0</v>
      </c>
      <c r="K359" s="38">
        <f>Місто!K360-'[1]Місто'!K357</f>
        <v>0</v>
      </c>
      <c r="L359" s="38">
        <f>Місто!L360-'[1]Місто'!L357</f>
        <v>0</v>
      </c>
      <c r="M359" s="38">
        <f>Місто!M360-'[1]Місто'!M357</f>
        <v>0</v>
      </c>
      <c r="N359" s="38">
        <f>Місто!N360-'[1]Місто'!N357</f>
        <v>0</v>
      </c>
      <c r="O359" s="38">
        <f>Місто!O360-'[1]Місто'!O357</f>
        <v>0</v>
      </c>
      <c r="P359" s="55">
        <f>Місто!P360-'[1]Місто'!P357</f>
        <v>0</v>
      </c>
      <c r="Q359" s="53"/>
      <c r="R359" s="59"/>
      <c r="W359" s="53">
        <f t="shared" si="5"/>
        <v>0</v>
      </c>
    </row>
    <row r="360" spans="1:23" ht="25.5" hidden="1">
      <c r="A360" s="74"/>
      <c r="B360" s="74"/>
      <c r="C360" s="74"/>
      <c r="D360" s="68" t="s">
        <v>229</v>
      </c>
      <c r="E360" s="38">
        <f>Місто!E361-'[1]Місто'!E358</f>
        <v>0</v>
      </c>
      <c r="F360" s="38">
        <f>Місто!F361-'[1]Місто'!F358</f>
        <v>0</v>
      </c>
      <c r="G360" s="38">
        <f>Місто!G361-'[1]Місто'!G358</f>
        <v>0</v>
      </c>
      <c r="H360" s="38">
        <f>Місто!H361-'[1]Місто'!H358</f>
        <v>0</v>
      </c>
      <c r="I360" s="38">
        <f>Місто!I361-'[1]Місто'!I358</f>
        <v>0</v>
      </c>
      <c r="J360" s="38">
        <f>Місто!J361-'[1]Місто'!J358</f>
        <v>0</v>
      </c>
      <c r="K360" s="38">
        <f>Місто!K361-'[1]Місто'!K358</f>
        <v>0</v>
      </c>
      <c r="L360" s="38">
        <f>Місто!L361-'[1]Місто'!L358</f>
        <v>0</v>
      </c>
      <c r="M360" s="38">
        <f>Місто!M361-'[1]Місто'!M358</f>
        <v>0</v>
      </c>
      <c r="N360" s="38">
        <f>Місто!N361-'[1]Місто'!N358</f>
        <v>0</v>
      </c>
      <c r="O360" s="38">
        <f>Місто!O361-'[1]Місто'!O358</f>
        <v>0</v>
      </c>
      <c r="P360" s="55">
        <f>Місто!P361-'[1]Місто'!P358</f>
        <v>0</v>
      </c>
      <c r="Q360" s="53"/>
      <c r="R360" s="59"/>
      <c r="W360" s="53">
        <f t="shared" si="5"/>
        <v>0</v>
      </c>
    </row>
    <row r="361" spans="1:23" ht="25.5" hidden="1">
      <c r="A361" s="74"/>
      <c r="B361" s="74"/>
      <c r="C361" s="74"/>
      <c r="D361" s="68" t="s">
        <v>213</v>
      </c>
      <c r="E361" s="38">
        <f>Місто!E362-'[1]Місто'!E359</f>
        <v>0</v>
      </c>
      <c r="F361" s="38">
        <f>Місто!F362-'[1]Місто'!F359</f>
        <v>0</v>
      </c>
      <c r="G361" s="38">
        <f>Місто!G362-'[1]Місто'!G359</f>
        <v>0</v>
      </c>
      <c r="H361" s="38">
        <f>Місто!H362-'[1]Місто'!H359</f>
        <v>0</v>
      </c>
      <c r="I361" s="38">
        <f>Місто!I362-'[1]Місто'!I359</f>
        <v>0</v>
      </c>
      <c r="J361" s="38">
        <f>Місто!J362-'[1]Місто'!J359</f>
        <v>0</v>
      </c>
      <c r="K361" s="38">
        <f>Місто!K362-'[1]Місто'!K359</f>
        <v>0</v>
      </c>
      <c r="L361" s="38">
        <f>Місто!L362-'[1]Місто'!L359</f>
        <v>0</v>
      </c>
      <c r="M361" s="38">
        <f>Місто!M362-'[1]Місто'!M359</f>
        <v>0</v>
      </c>
      <c r="N361" s="38">
        <f>Місто!N362-'[1]Місто'!N359</f>
        <v>0</v>
      </c>
      <c r="O361" s="38">
        <f>Місто!O362-'[1]Місто'!O359</f>
        <v>0</v>
      </c>
      <c r="P361" s="55">
        <f>Місто!P362-'[1]Місто'!P359</f>
        <v>0</v>
      </c>
      <c r="Q361" s="53"/>
      <c r="R361" s="59"/>
      <c r="W361" s="53">
        <f t="shared" si="5"/>
        <v>0</v>
      </c>
    </row>
    <row r="362" spans="1:23" ht="25.5" hidden="1">
      <c r="A362" s="74"/>
      <c r="B362" s="74"/>
      <c r="C362" s="74"/>
      <c r="D362" s="68" t="s">
        <v>236</v>
      </c>
      <c r="E362" s="38" t="e">
        <f>Місто!#REF!-'[1]Місто'!E360</f>
        <v>#REF!</v>
      </c>
      <c r="F362" s="38" t="e">
        <f>Місто!#REF!-'[1]Місто'!F360</f>
        <v>#REF!</v>
      </c>
      <c r="G362" s="38" t="e">
        <f>Місто!#REF!-'[1]Місто'!G360</f>
        <v>#REF!</v>
      </c>
      <c r="H362" s="38" t="e">
        <f>Місто!#REF!-'[1]Місто'!H360</f>
        <v>#REF!</v>
      </c>
      <c r="I362" s="38" t="e">
        <f>Місто!#REF!-'[1]Місто'!I360</f>
        <v>#REF!</v>
      </c>
      <c r="J362" s="38" t="e">
        <f>Місто!#REF!-'[1]Місто'!J360</f>
        <v>#REF!</v>
      </c>
      <c r="K362" s="38" t="e">
        <f>Місто!#REF!-'[1]Місто'!K360</f>
        <v>#REF!</v>
      </c>
      <c r="L362" s="38" t="e">
        <f>Місто!#REF!-'[1]Місто'!L360</f>
        <v>#REF!</v>
      </c>
      <c r="M362" s="38" t="e">
        <f>Місто!#REF!-'[1]Місто'!M360</f>
        <v>#REF!</v>
      </c>
      <c r="N362" s="38" t="e">
        <f>Місто!#REF!-'[1]Місто'!N360</f>
        <v>#REF!</v>
      </c>
      <c r="O362" s="38" t="e">
        <f>Місто!#REF!-'[1]Місто'!O360</f>
        <v>#REF!</v>
      </c>
      <c r="P362" s="55" t="e">
        <f>Місто!#REF!-'[1]Місто'!P360</f>
        <v>#REF!</v>
      </c>
      <c r="Q362" s="53"/>
      <c r="R362" s="59"/>
      <c r="W362" s="53" t="e">
        <f t="shared" si="5"/>
        <v>#REF!</v>
      </c>
    </row>
    <row r="363" spans="1:23" ht="25.5" hidden="1">
      <c r="A363" s="74"/>
      <c r="B363" s="74" t="s">
        <v>303</v>
      </c>
      <c r="C363" s="74" t="s">
        <v>452</v>
      </c>
      <c r="D363" s="132" t="s">
        <v>304</v>
      </c>
      <c r="E363" s="38">
        <f>Місто!E363-'[1]Місто'!E361</f>
        <v>0</v>
      </c>
      <c r="F363" s="38">
        <f>Місто!F363-'[1]Місто'!F361</f>
        <v>0</v>
      </c>
      <c r="G363" s="38">
        <f>Місто!G363-'[1]Місто'!G361</f>
        <v>0</v>
      </c>
      <c r="H363" s="38">
        <f>Місто!H363-'[1]Місто'!H361</f>
        <v>0</v>
      </c>
      <c r="I363" s="38">
        <f>Місто!I363-'[1]Місто'!I361</f>
        <v>0</v>
      </c>
      <c r="J363" s="38">
        <f>Місто!J363-'[1]Місто'!J361</f>
        <v>0</v>
      </c>
      <c r="K363" s="38">
        <f>Місто!K363-'[1]Місто'!K361</f>
        <v>0</v>
      </c>
      <c r="L363" s="38">
        <f>Місто!L363-'[1]Місто'!L361</f>
        <v>0</v>
      </c>
      <c r="M363" s="38">
        <f>Місто!M363-'[1]Місто'!M361</f>
        <v>0</v>
      </c>
      <c r="N363" s="38">
        <f>Місто!N363-'[1]Місто'!N361</f>
        <v>0</v>
      </c>
      <c r="O363" s="76">
        <f>Місто!O363-'[1]Місто'!O361</f>
        <v>0</v>
      </c>
      <c r="P363" s="55">
        <f>Місто!P363-'[1]Місто'!P361</f>
        <v>0</v>
      </c>
      <c r="Q363" s="53"/>
      <c r="R363" s="59"/>
      <c r="W363" s="53">
        <f>N363-O363</f>
        <v>0</v>
      </c>
    </row>
    <row r="364" spans="1:23" ht="51">
      <c r="A364" s="98"/>
      <c r="B364" s="98" t="s">
        <v>174</v>
      </c>
      <c r="C364" s="98"/>
      <c r="D364" s="97" t="s">
        <v>133</v>
      </c>
      <c r="E364" s="51">
        <f>Місто!E364-'[1]Місто'!E362</f>
        <v>-237441</v>
      </c>
      <c r="F364" s="51">
        <f>Місто!F364-'[1]Місто'!F362</f>
        <v>-237441</v>
      </c>
      <c r="G364" s="51">
        <f>Місто!G364-'[1]Місто'!G362</f>
        <v>535034</v>
      </c>
      <c r="H364" s="51">
        <f>Місто!H364-'[1]Місто'!H362</f>
        <v>0</v>
      </c>
      <c r="I364" s="51">
        <f>Місто!I364-'[1]Місто'!I362</f>
        <v>0</v>
      </c>
      <c r="J364" s="51">
        <f>Місто!J364-'[1]Місто'!J362</f>
        <v>32600</v>
      </c>
      <c r="K364" s="51">
        <f>Місто!K364-'[1]Місто'!K362</f>
        <v>0</v>
      </c>
      <c r="L364" s="51">
        <f>Місто!L364-'[1]Місто'!L362</f>
        <v>0</v>
      </c>
      <c r="M364" s="51">
        <f>Місто!M364-'[1]Місто'!M362</f>
        <v>0</v>
      </c>
      <c r="N364" s="51">
        <f>Місто!N364-'[1]Місто'!N362</f>
        <v>32600</v>
      </c>
      <c r="O364" s="51">
        <f>Місто!O364-'[1]Місто'!O362</f>
        <v>32600</v>
      </c>
      <c r="P364" s="52">
        <f>Місто!P364-'[1]Місто'!P362</f>
        <v>-204841</v>
      </c>
      <c r="Q364" s="53"/>
      <c r="R364" s="59"/>
      <c r="W364" s="53">
        <f t="shared" si="5"/>
        <v>0</v>
      </c>
    </row>
    <row r="365" spans="1:23" ht="12.75">
      <c r="A365" s="42"/>
      <c r="B365" s="42" t="s">
        <v>362</v>
      </c>
      <c r="C365" s="42"/>
      <c r="D365" s="43" t="s">
        <v>363</v>
      </c>
      <c r="E365" s="37">
        <f>Місто!E365-'[1]Місто'!E363</f>
        <v>196189</v>
      </c>
      <c r="F365" s="37">
        <f>Місто!F365-'[1]Місто'!F363</f>
        <v>196189</v>
      </c>
      <c r="G365" s="37">
        <f>Місто!G365-'[1]Місто'!G363</f>
        <v>294541</v>
      </c>
      <c r="H365" s="37">
        <f>Місто!H365-'[1]Місто'!H363</f>
        <v>0</v>
      </c>
      <c r="I365" s="37">
        <f>Місто!I365-'[1]Місто'!I363</f>
        <v>0</v>
      </c>
      <c r="J365" s="38">
        <f>Місто!J365-'[1]Місто'!J363</f>
        <v>32600</v>
      </c>
      <c r="K365" s="37">
        <f>Місто!K365-'[1]Місто'!K363</f>
        <v>0</v>
      </c>
      <c r="L365" s="37">
        <f>Місто!L365-'[1]Місто'!L363</f>
        <v>0</v>
      </c>
      <c r="M365" s="37">
        <f>Місто!M365-'[1]Місто'!M363</f>
        <v>0</v>
      </c>
      <c r="N365" s="37">
        <f>Місто!N365-'[1]Місто'!N363</f>
        <v>32600</v>
      </c>
      <c r="O365" s="37">
        <f>Місто!O365-'[1]Місто'!O363</f>
        <v>32600</v>
      </c>
      <c r="P365" s="55">
        <f>Місто!P365-'[1]Місто'!P363</f>
        <v>228789</v>
      </c>
      <c r="Q365" s="53"/>
      <c r="R365" s="59"/>
      <c r="W365" s="53">
        <f t="shared" si="5"/>
        <v>0</v>
      </c>
    </row>
    <row r="366" spans="1:23" ht="12.75">
      <c r="A366" s="39"/>
      <c r="B366" s="39" t="s">
        <v>249</v>
      </c>
      <c r="C366" s="74" t="s">
        <v>441</v>
      </c>
      <c r="D366" s="58" t="s">
        <v>250</v>
      </c>
      <c r="E366" s="38">
        <f>Місто!E366-'[1]Місто'!E364</f>
        <v>196189</v>
      </c>
      <c r="F366" s="38">
        <f>Місто!F366-'[1]Місто'!F364</f>
        <v>196189</v>
      </c>
      <c r="G366" s="38">
        <f>Місто!G366-'[1]Місто'!G364</f>
        <v>294541</v>
      </c>
      <c r="H366" s="38">
        <f>Місто!H366-'[1]Місто'!H364</f>
        <v>0</v>
      </c>
      <c r="I366" s="38">
        <f>Місто!I366-'[1]Місто'!I364</f>
        <v>0</v>
      </c>
      <c r="J366" s="38">
        <f>Місто!J366-'[1]Місто'!J364</f>
        <v>32600</v>
      </c>
      <c r="K366" s="38">
        <f>Місто!K366-'[1]Місто'!K364</f>
        <v>0</v>
      </c>
      <c r="L366" s="38">
        <f>Місто!L366-'[1]Місто'!L364</f>
        <v>0</v>
      </c>
      <c r="M366" s="38">
        <f>Місто!M366-'[1]Місто'!M364</f>
        <v>0</v>
      </c>
      <c r="N366" s="38">
        <f>Місто!N366-'[1]Місто'!N364</f>
        <v>32600</v>
      </c>
      <c r="O366" s="38">
        <f>Місто!O366-'[1]Місто'!O364</f>
        <v>32600</v>
      </c>
      <c r="P366" s="55">
        <f>Місто!P366-'[1]Місто'!P364</f>
        <v>228789</v>
      </c>
      <c r="Q366" s="53"/>
      <c r="R366" s="59"/>
      <c r="W366" s="53">
        <f t="shared" si="5"/>
        <v>0</v>
      </c>
    </row>
    <row r="367" spans="1:23" ht="30" customHeight="1">
      <c r="A367" s="39"/>
      <c r="B367" s="74" t="s">
        <v>194</v>
      </c>
      <c r="C367" s="39"/>
      <c r="D367" s="60" t="s">
        <v>351</v>
      </c>
      <c r="E367" s="38">
        <f>Місто!E367-'[1]Місто'!E365</f>
        <v>-433630</v>
      </c>
      <c r="F367" s="38">
        <f>Місто!F367-'[1]Місто'!F365</f>
        <v>-433630</v>
      </c>
      <c r="G367" s="38">
        <f>Місто!G367-'[1]Місто'!G365</f>
        <v>240493</v>
      </c>
      <c r="H367" s="38">
        <f>Місто!H367-'[1]Місто'!H365</f>
        <v>0</v>
      </c>
      <c r="I367" s="38">
        <f>Місто!I367-'[1]Місто'!I365</f>
        <v>0</v>
      </c>
      <c r="J367" s="38">
        <f>Місто!J367-'[1]Місто'!J365</f>
        <v>0</v>
      </c>
      <c r="K367" s="38">
        <f>Місто!K367-'[1]Місто'!K365</f>
        <v>0</v>
      </c>
      <c r="L367" s="38">
        <f>Місто!L367-'[1]Місто'!L365</f>
        <v>0</v>
      </c>
      <c r="M367" s="38">
        <f>Місто!M367-'[1]Місто'!M365</f>
        <v>0</v>
      </c>
      <c r="N367" s="38">
        <f>Місто!N367-'[1]Місто'!N365</f>
        <v>0</v>
      </c>
      <c r="O367" s="38">
        <f>Місто!O367-'[1]Місто'!O365</f>
        <v>0</v>
      </c>
      <c r="P367" s="55">
        <f>Місто!P367-'[1]Місто'!P365</f>
        <v>-433630</v>
      </c>
      <c r="Q367" s="53"/>
      <c r="R367" s="59"/>
      <c r="W367" s="53">
        <f t="shared" si="5"/>
        <v>0</v>
      </c>
    </row>
    <row r="368" spans="1:23" s="54" customFormat="1" ht="38.25">
      <c r="A368" s="39"/>
      <c r="B368" s="39" t="s">
        <v>285</v>
      </c>
      <c r="C368" s="74" t="s">
        <v>479</v>
      </c>
      <c r="D368" s="73" t="s">
        <v>241</v>
      </c>
      <c r="E368" s="38">
        <f>Місто!E368-'[1]Місто'!E366</f>
        <v>-65576</v>
      </c>
      <c r="F368" s="38">
        <f>Місто!F368-'[1]Місто'!F366</f>
        <v>-65576</v>
      </c>
      <c r="G368" s="38">
        <f>Місто!G368-'[1]Місто'!G366</f>
        <v>240493</v>
      </c>
      <c r="H368" s="38">
        <f>Місто!H368-'[1]Місто'!H366</f>
        <v>0</v>
      </c>
      <c r="I368" s="38">
        <f>Місто!I368-'[1]Місто'!I366</f>
        <v>0</v>
      </c>
      <c r="J368" s="38">
        <f>Місто!J368-'[1]Місто'!J366</f>
        <v>0</v>
      </c>
      <c r="K368" s="38">
        <f>Місто!K368-'[1]Місто'!K366</f>
        <v>0</v>
      </c>
      <c r="L368" s="38">
        <f>Місто!L368-'[1]Місто'!L366</f>
        <v>0</v>
      </c>
      <c r="M368" s="38">
        <f>Місто!M368-'[1]Місто'!M366</f>
        <v>0</v>
      </c>
      <c r="N368" s="38">
        <f>Місто!N368-'[1]Місто'!N366</f>
        <v>0</v>
      </c>
      <c r="O368" s="38">
        <f>Місто!O368-'[1]Місто'!O366</f>
        <v>0</v>
      </c>
      <c r="P368" s="55">
        <f>Місто!P368-'[1]Місто'!P366</f>
        <v>-65576</v>
      </c>
      <c r="Q368" s="53"/>
      <c r="R368" s="53"/>
      <c r="W368" s="53">
        <f t="shared" si="5"/>
        <v>0</v>
      </c>
    </row>
    <row r="369" spans="1:23" s="163" customFormat="1" ht="63.75">
      <c r="A369" s="152"/>
      <c r="B369" s="152"/>
      <c r="C369" s="152"/>
      <c r="D369" s="60" t="s">
        <v>206</v>
      </c>
      <c r="E369" s="38">
        <f>Місто!E369-'[1]Місто'!E367</f>
        <v>0</v>
      </c>
      <c r="F369" s="38">
        <f>Місто!F369-'[1]Місто'!F367</f>
        <v>0</v>
      </c>
      <c r="G369" s="38">
        <f>Місто!G369-'[1]Місто'!G367</f>
        <v>0</v>
      </c>
      <c r="H369" s="38">
        <f>Місто!H369-'[1]Місто'!H367</f>
        <v>0</v>
      </c>
      <c r="I369" s="38">
        <f>Місто!I369-'[1]Місто'!I367</f>
        <v>0</v>
      </c>
      <c r="J369" s="38">
        <f>Місто!J369-'[1]Місто'!J367</f>
        <v>0</v>
      </c>
      <c r="K369" s="38">
        <f>Місто!K369-'[1]Місто'!K367</f>
        <v>0</v>
      </c>
      <c r="L369" s="38">
        <f>Місто!L369-'[1]Місто'!L367</f>
        <v>0</v>
      </c>
      <c r="M369" s="38">
        <f>Місто!M369-'[1]Місто'!M367</f>
        <v>0</v>
      </c>
      <c r="N369" s="38">
        <f>Місто!N369-'[1]Місто'!N367</f>
        <v>0</v>
      </c>
      <c r="O369" s="38">
        <f>Місто!O369-'[1]Місто'!O367</f>
        <v>0</v>
      </c>
      <c r="P369" s="55">
        <f>Місто!P369-'[1]Місто'!P367</f>
        <v>0</v>
      </c>
      <c r="Q369" s="156" t="s">
        <v>126</v>
      </c>
      <c r="R369" s="162"/>
      <c r="W369" s="156">
        <f t="shared" si="5"/>
        <v>0</v>
      </c>
    </row>
    <row r="370" spans="1:23" s="158" customFormat="1" ht="63.75">
      <c r="A370" s="152"/>
      <c r="B370" s="152"/>
      <c r="C370" s="152"/>
      <c r="D370" s="60" t="s">
        <v>66</v>
      </c>
      <c r="E370" s="38">
        <f>Місто!E370-'[1]Місто'!E368</f>
        <v>-65576</v>
      </c>
      <c r="F370" s="38">
        <f>Місто!F370-'[1]Місто'!F368</f>
        <v>-65576</v>
      </c>
      <c r="G370" s="38">
        <f>Місто!G370-'[1]Місто'!G368</f>
        <v>240493</v>
      </c>
      <c r="H370" s="38">
        <f>Місто!H370-'[1]Місто'!H368</f>
        <v>0</v>
      </c>
      <c r="I370" s="38">
        <f>Місто!I370-'[1]Місто'!I368</f>
        <v>0</v>
      </c>
      <c r="J370" s="38">
        <f>Місто!J370-'[1]Місто'!J368</f>
        <v>0</v>
      </c>
      <c r="K370" s="38">
        <f>Місто!K370-'[1]Місто'!K368</f>
        <v>0</v>
      </c>
      <c r="L370" s="38">
        <f>Місто!L370-'[1]Місто'!L368</f>
        <v>0</v>
      </c>
      <c r="M370" s="38">
        <f>Місто!M370-'[1]Місто'!M368</f>
        <v>0</v>
      </c>
      <c r="N370" s="38">
        <f>Місто!N370-'[1]Місто'!N368</f>
        <v>0</v>
      </c>
      <c r="O370" s="38">
        <f>Місто!O370-'[1]Місто'!O368</f>
        <v>0</v>
      </c>
      <c r="P370" s="55">
        <f>Місто!P370-'[1]Місто'!P368</f>
        <v>-65576</v>
      </c>
      <c r="Q370" s="156"/>
      <c r="R370" s="157"/>
      <c r="W370" s="156">
        <f t="shared" si="5"/>
        <v>0</v>
      </c>
    </row>
    <row r="371" spans="1:23" ht="25.5">
      <c r="A371" s="39"/>
      <c r="B371" s="74" t="s">
        <v>11</v>
      </c>
      <c r="C371" s="74" t="s">
        <v>479</v>
      </c>
      <c r="D371" s="60" t="s">
        <v>286</v>
      </c>
      <c r="E371" s="38">
        <f>Місто!E371-'[1]Місто'!E369</f>
        <v>-368054</v>
      </c>
      <c r="F371" s="38">
        <f>Місто!F371-'[1]Місто'!F369</f>
        <v>-368054</v>
      </c>
      <c r="G371" s="38">
        <f>Місто!G371-'[1]Місто'!G369</f>
        <v>0</v>
      </c>
      <c r="H371" s="38">
        <f>Місто!H371-'[1]Місто'!H369</f>
        <v>0</v>
      </c>
      <c r="I371" s="38">
        <f>Місто!I371-'[1]Місто'!I369</f>
        <v>0</v>
      </c>
      <c r="J371" s="38">
        <f>Місто!J371-'[1]Місто'!J369</f>
        <v>0</v>
      </c>
      <c r="K371" s="38">
        <f>Місто!K371-'[1]Місто'!K369</f>
        <v>0</v>
      </c>
      <c r="L371" s="38">
        <f>Місто!L371-'[1]Місто'!L369</f>
        <v>0</v>
      </c>
      <c r="M371" s="38">
        <f>Місто!M371-'[1]Місто'!M369</f>
        <v>0</v>
      </c>
      <c r="N371" s="38">
        <f>Місто!N371-'[1]Місто'!N369</f>
        <v>0</v>
      </c>
      <c r="O371" s="38">
        <f>Місто!O371-'[1]Місто'!O369</f>
        <v>0</v>
      </c>
      <c r="P371" s="55">
        <f>Місто!P371-'[1]Місто'!P369</f>
        <v>-368054</v>
      </c>
      <c r="Q371" s="53"/>
      <c r="R371" s="59"/>
      <c r="W371" s="53">
        <f t="shared" si="5"/>
        <v>0</v>
      </c>
    </row>
    <row r="372" spans="1:23" ht="25.5">
      <c r="A372" s="98"/>
      <c r="B372" s="98" t="s">
        <v>185</v>
      </c>
      <c r="C372" s="98"/>
      <c r="D372" s="104" t="s">
        <v>153</v>
      </c>
      <c r="E372" s="51">
        <f>Місто!E372-'[1]Місто'!E370</f>
        <v>243980</v>
      </c>
      <c r="F372" s="51">
        <f>Місто!F372-'[1]Місто'!F370</f>
        <v>243980</v>
      </c>
      <c r="G372" s="51">
        <f>Місто!G372-'[1]Місто'!G370</f>
        <v>347753</v>
      </c>
      <c r="H372" s="51">
        <f>Місто!H372-'[1]Місто'!H370</f>
        <v>0</v>
      </c>
      <c r="I372" s="51">
        <f>Місто!I372-'[1]Місто'!I370</f>
        <v>0</v>
      </c>
      <c r="J372" s="51">
        <f>Місто!J372-'[1]Місто'!J370</f>
        <v>10944</v>
      </c>
      <c r="K372" s="51">
        <f>Місто!K372-'[1]Місто'!K370</f>
        <v>0</v>
      </c>
      <c r="L372" s="51">
        <f>Місто!L372-'[1]Місто'!L370</f>
        <v>0</v>
      </c>
      <c r="M372" s="51">
        <f>Місто!M372-'[1]Місто'!M370</f>
        <v>0</v>
      </c>
      <c r="N372" s="51">
        <f>Місто!N372-'[1]Місто'!N370</f>
        <v>10944</v>
      </c>
      <c r="O372" s="51">
        <f>Місто!O372-'[1]Місто'!O370</f>
        <v>10944</v>
      </c>
      <c r="P372" s="52">
        <f>Місто!P372-'[1]Місто'!P370</f>
        <v>254924</v>
      </c>
      <c r="Q372" s="53"/>
      <c r="R372" s="59"/>
      <c r="W372" s="53">
        <f t="shared" si="5"/>
        <v>0</v>
      </c>
    </row>
    <row r="373" spans="1:23" ht="12.75">
      <c r="A373" s="42"/>
      <c r="B373" s="42" t="s">
        <v>362</v>
      </c>
      <c r="C373" s="42"/>
      <c r="D373" s="43" t="s">
        <v>363</v>
      </c>
      <c r="E373" s="37">
        <f>Місто!E373-'[1]Місто'!E371</f>
        <v>107783</v>
      </c>
      <c r="F373" s="37">
        <f>Місто!F373-'[1]Місто'!F371</f>
        <v>107783</v>
      </c>
      <c r="G373" s="37">
        <f>Місто!G373-'[1]Місто'!G371</f>
        <v>347753</v>
      </c>
      <c r="H373" s="37">
        <f>Місто!H373-'[1]Місто'!H371</f>
        <v>0</v>
      </c>
      <c r="I373" s="37">
        <f>Місто!I373-'[1]Місто'!I371</f>
        <v>0</v>
      </c>
      <c r="J373" s="38">
        <f>Місто!J373-'[1]Місто'!J371</f>
        <v>10944</v>
      </c>
      <c r="K373" s="37">
        <f>Місто!K373-'[1]Місто'!K371</f>
        <v>0</v>
      </c>
      <c r="L373" s="37">
        <f>Місто!L373-'[1]Місто'!L371</f>
        <v>0</v>
      </c>
      <c r="M373" s="37">
        <f>Місто!M373-'[1]Місто'!M371</f>
        <v>0</v>
      </c>
      <c r="N373" s="37">
        <f>Місто!N373-'[1]Місто'!N371</f>
        <v>10944</v>
      </c>
      <c r="O373" s="37">
        <f>Місто!O373-'[1]Місто'!O371</f>
        <v>10944</v>
      </c>
      <c r="P373" s="55">
        <f>Місто!P373-'[1]Місто'!P371</f>
        <v>118727</v>
      </c>
      <c r="Q373" s="53"/>
      <c r="R373" s="59"/>
      <c r="W373" s="53">
        <f t="shared" si="5"/>
        <v>0</v>
      </c>
    </row>
    <row r="374" spans="1:23" ht="12.75">
      <c r="A374" s="39"/>
      <c r="B374" s="39" t="s">
        <v>249</v>
      </c>
      <c r="C374" s="74" t="s">
        <v>441</v>
      </c>
      <c r="D374" s="58" t="s">
        <v>250</v>
      </c>
      <c r="E374" s="38">
        <f>Місто!E374-'[1]Місто'!E372</f>
        <v>107783</v>
      </c>
      <c r="F374" s="38">
        <f>Місто!F374-'[1]Місто'!F372</f>
        <v>107783</v>
      </c>
      <c r="G374" s="38">
        <f>Місто!G374-'[1]Місто'!G372</f>
        <v>347753</v>
      </c>
      <c r="H374" s="37">
        <f>Місто!H374-'[1]Місто'!H372</f>
        <v>0</v>
      </c>
      <c r="I374" s="37">
        <f>Місто!I374-'[1]Місто'!I372</f>
        <v>0</v>
      </c>
      <c r="J374" s="38">
        <f>Місто!J374-'[1]Місто'!J372</f>
        <v>10944</v>
      </c>
      <c r="K374" s="38">
        <f>Місто!K374-'[1]Місто'!K372</f>
        <v>0</v>
      </c>
      <c r="L374" s="38">
        <f>Місто!L374-'[1]Місто'!L372</f>
        <v>0</v>
      </c>
      <c r="M374" s="38">
        <f>Місто!M374-'[1]Місто'!M372</f>
        <v>0</v>
      </c>
      <c r="N374" s="38">
        <f>Місто!N374-'[1]Місто'!N372</f>
        <v>10944</v>
      </c>
      <c r="O374" s="38">
        <f>Місто!O374-'[1]Місто'!O372</f>
        <v>10944</v>
      </c>
      <c r="P374" s="55">
        <f>Місто!P374-'[1]Місто'!P372</f>
        <v>118727</v>
      </c>
      <c r="Q374" s="53"/>
      <c r="R374" s="59"/>
      <c r="W374" s="53">
        <f t="shared" si="5"/>
        <v>0</v>
      </c>
    </row>
    <row r="375" spans="1:23" ht="12.75" hidden="1">
      <c r="A375" s="74"/>
      <c r="B375" s="74" t="s">
        <v>374</v>
      </c>
      <c r="C375" s="74"/>
      <c r="D375" s="36" t="s">
        <v>375</v>
      </c>
      <c r="E375" s="38">
        <f>Місто!E375-'[1]Місто'!E373</f>
        <v>0</v>
      </c>
      <c r="F375" s="38">
        <f>Місто!F375-'[1]Місто'!F373</f>
        <v>0</v>
      </c>
      <c r="G375" s="38">
        <f>Місто!G375-'[1]Місто'!G373</f>
        <v>0</v>
      </c>
      <c r="H375" s="38">
        <f>Місто!H375-'[1]Місто'!H373</f>
        <v>0</v>
      </c>
      <c r="I375" s="38">
        <f>Місто!I375-'[1]Місто'!I373</f>
        <v>0</v>
      </c>
      <c r="J375" s="38">
        <f>Місто!J375-'[1]Місто'!J373</f>
        <v>0</v>
      </c>
      <c r="K375" s="38">
        <f>Місто!K375-'[1]Місто'!K373</f>
        <v>0</v>
      </c>
      <c r="L375" s="38">
        <f>Місто!L375-'[1]Місто'!L373</f>
        <v>0</v>
      </c>
      <c r="M375" s="38">
        <f>Місто!M375-'[1]Місто'!M373</f>
        <v>0</v>
      </c>
      <c r="N375" s="38">
        <f>Місто!N375-'[1]Місто'!N373</f>
        <v>0</v>
      </c>
      <c r="O375" s="38">
        <f>Місто!O375-'[1]Місто'!O373</f>
        <v>0</v>
      </c>
      <c r="P375" s="55">
        <f>Місто!P375-'[1]Місто'!P373</f>
        <v>0</v>
      </c>
      <c r="Q375" s="53"/>
      <c r="R375" s="59"/>
      <c r="W375" s="53">
        <f t="shared" si="5"/>
        <v>0</v>
      </c>
    </row>
    <row r="376" spans="1:23" ht="178.5" hidden="1">
      <c r="A376" s="74"/>
      <c r="B376" s="74" t="s">
        <v>159</v>
      </c>
      <c r="C376" s="74"/>
      <c r="D376" s="75" t="s">
        <v>192</v>
      </c>
      <c r="E376" s="38">
        <f>Місто!E376-'[1]Місто'!E374</f>
        <v>0</v>
      </c>
      <c r="F376" s="38">
        <f>Місто!F376-'[1]Місто'!F374</f>
        <v>0</v>
      </c>
      <c r="G376" s="38">
        <f>Місто!G376-'[1]Місто'!G374</f>
        <v>0</v>
      </c>
      <c r="H376" s="38">
        <f>Місто!H376-'[1]Місто'!H374</f>
        <v>0</v>
      </c>
      <c r="I376" s="38">
        <f>Місто!I376-'[1]Місто'!I374</f>
        <v>0</v>
      </c>
      <c r="J376" s="38">
        <f>Місто!J376-'[1]Місто'!J374</f>
        <v>0</v>
      </c>
      <c r="K376" s="38">
        <f>Місто!K376-'[1]Місто'!K374</f>
        <v>0</v>
      </c>
      <c r="L376" s="38">
        <f>Місто!L376-'[1]Місто'!L374</f>
        <v>0</v>
      </c>
      <c r="M376" s="38">
        <f>Місто!M376-'[1]Місто'!M374</f>
        <v>0</v>
      </c>
      <c r="N376" s="38">
        <f>Місто!N376-'[1]Місто'!N374</f>
        <v>0</v>
      </c>
      <c r="O376" s="38">
        <f>Місто!O376-'[1]Місто'!O374</f>
        <v>0</v>
      </c>
      <c r="P376" s="55">
        <f>Місто!P376-'[1]Місто'!P374</f>
        <v>0</v>
      </c>
      <c r="Q376" s="53"/>
      <c r="R376" s="59"/>
      <c r="W376" s="53">
        <f t="shared" si="5"/>
        <v>0</v>
      </c>
    </row>
    <row r="377" spans="1:23" ht="216.75" hidden="1">
      <c r="A377" s="39"/>
      <c r="B377" s="39"/>
      <c r="C377" s="39"/>
      <c r="D377" s="75" t="s">
        <v>193</v>
      </c>
      <c r="E377" s="38">
        <f>Місто!E377-'[1]Місто'!E375</f>
        <v>0</v>
      </c>
      <c r="F377" s="38">
        <f>Місто!F377-'[1]Місто'!F375</f>
        <v>0</v>
      </c>
      <c r="G377" s="38">
        <f>Місто!G377-'[1]Місто'!G375</f>
        <v>0</v>
      </c>
      <c r="H377" s="38">
        <f>Місто!H377-'[1]Місто'!H375</f>
        <v>0</v>
      </c>
      <c r="I377" s="38">
        <f>Місто!I377-'[1]Місто'!I375</f>
        <v>0</v>
      </c>
      <c r="J377" s="38">
        <f>Місто!J377-'[1]Місто'!J375</f>
        <v>0</v>
      </c>
      <c r="K377" s="38">
        <f>Місто!K377-'[1]Місто'!K375</f>
        <v>0</v>
      </c>
      <c r="L377" s="38">
        <f>Місто!L377-'[1]Місто'!L375</f>
        <v>0</v>
      </c>
      <c r="M377" s="38">
        <f>Місто!M377-'[1]Місто'!M375</f>
        <v>0</v>
      </c>
      <c r="N377" s="38">
        <f>Місто!N377-'[1]Місто'!N375</f>
        <v>0</v>
      </c>
      <c r="O377" s="38">
        <f>Місто!O377-'[1]Місто'!O375</f>
        <v>0</v>
      </c>
      <c r="P377" s="55">
        <f>Місто!P377-'[1]Місто'!P375</f>
        <v>0</v>
      </c>
      <c r="Q377" s="53"/>
      <c r="R377" s="59"/>
      <c r="W377" s="53">
        <f t="shared" si="5"/>
        <v>0</v>
      </c>
    </row>
    <row r="378" spans="1:23" ht="12.75">
      <c r="A378" s="39"/>
      <c r="B378" s="39" t="s">
        <v>366</v>
      </c>
      <c r="C378" s="39"/>
      <c r="D378" s="58" t="s">
        <v>283</v>
      </c>
      <c r="E378" s="38">
        <f>Місто!E378-'[1]Місто'!E376</f>
        <v>0</v>
      </c>
      <c r="F378" s="38">
        <f>Місто!F378-'[1]Місто'!F376</f>
        <v>0</v>
      </c>
      <c r="G378" s="38">
        <f>Місто!G378-'[1]Місто'!G376</f>
        <v>0</v>
      </c>
      <c r="H378" s="38">
        <f>Місто!H378-'[1]Місто'!H376</f>
        <v>0</v>
      </c>
      <c r="I378" s="38">
        <f>Місто!I378-'[1]Місто'!I376</f>
        <v>0</v>
      </c>
      <c r="J378" s="38">
        <f>Місто!J378-'[1]Місто'!J376</f>
        <v>0</v>
      </c>
      <c r="K378" s="38">
        <f>Місто!K378-'[1]Місто'!K376</f>
        <v>0</v>
      </c>
      <c r="L378" s="38">
        <f>Місто!L378-'[1]Місто'!L376</f>
        <v>0</v>
      </c>
      <c r="M378" s="38">
        <f>Місто!M378-'[1]Місто'!M376</f>
        <v>0</v>
      </c>
      <c r="N378" s="38">
        <f>Місто!N378-'[1]Місто'!N376</f>
        <v>0</v>
      </c>
      <c r="O378" s="38">
        <f>Місто!O378-'[1]Місто'!O376</f>
        <v>0</v>
      </c>
      <c r="P378" s="55">
        <f>Місто!P378-'[1]Місто'!P376</f>
        <v>0</v>
      </c>
      <c r="Q378" s="53"/>
      <c r="R378" s="59"/>
      <c r="W378" s="53">
        <f t="shared" si="5"/>
        <v>0</v>
      </c>
    </row>
    <row r="379" spans="1:23" ht="12.75">
      <c r="A379" s="39"/>
      <c r="B379" s="39" t="s">
        <v>338</v>
      </c>
      <c r="C379" s="74" t="s">
        <v>443</v>
      </c>
      <c r="D379" s="36" t="s">
        <v>339</v>
      </c>
      <c r="E379" s="38">
        <f>Місто!E379-'[1]Місто'!E377</f>
        <v>0</v>
      </c>
      <c r="F379" s="38">
        <f>Місто!F379-'[1]Місто'!F377</f>
        <v>0</v>
      </c>
      <c r="G379" s="38">
        <f>Місто!G379-'[1]Місто'!G377</f>
        <v>0</v>
      </c>
      <c r="H379" s="38">
        <f>Місто!H379-'[1]Місто'!H377</f>
        <v>0</v>
      </c>
      <c r="I379" s="38">
        <f>Місто!I379-'[1]Місто'!I377</f>
        <v>0</v>
      </c>
      <c r="J379" s="38">
        <f>Місто!J379-'[1]Місто'!J377</f>
        <v>0</v>
      </c>
      <c r="K379" s="38">
        <f>Місто!K379-'[1]Місто'!K377</f>
        <v>0</v>
      </c>
      <c r="L379" s="38">
        <f>Місто!L379-'[1]Місто'!L377</f>
        <v>0</v>
      </c>
      <c r="M379" s="38">
        <f>Місто!M379-'[1]Місто'!M377</f>
        <v>0</v>
      </c>
      <c r="N379" s="38">
        <f>Місто!N379-'[1]Місто'!N377</f>
        <v>0</v>
      </c>
      <c r="O379" s="38">
        <f>Місто!O379-'[1]Місто'!O377</f>
        <v>0</v>
      </c>
      <c r="P379" s="55">
        <f>Місто!P379-'[1]Місто'!P377</f>
        <v>0</v>
      </c>
      <c r="Q379" s="53"/>
      <c r="R379" s="59"/>
      <c r="W379" s="53">
        <f t="shared" si="5"/>
        <v>0</v>
      </c>
    </row>
    <row r="380" spans="1:23" ht="56.25" hidden="1">
      <c r="A380" s="39"/>
      <c r="B380" s="39"/>
      <c r="C380" s="39"/>
      <c r="D380" s="93" t="s">
        <v>122</v>
      </c>
      <c r="E380" s="38">
        <f>Місто!E380-'[1]Місто'!E378</f>
        <v>0</v>
      </c>
      <c r="F380" s="38">
        <f>Місто!F380-'[1]Місто'!F378</f>
        <v>0</v>
      </c>
      <c r="G380" s="38">
        <f>Місто!G380-'[1]Місто'!G378</f>
        <v>0</v>
      </c>
      <c r="H380" s="38">
        <f>Місто!H380-'[1]Місто'!H378</f>
        <v>0</v>
      </c>
      <c r="I380" s="38">
        <f>Місто!I380-'[1]Місто'!I378</f>
        <v>0</v>
      </c>
      <c r="J380" s="38">
        <f>Місто!J380-'[1]Місто'!J378</f>
        <v>0</v>
      </c>
      <c r="K380" s="38">
        <f>Місто!K380-'[1]Місто'!K378</f>
        <v>0</v>
      </c>
      <c r="L380" s="38">
        <f>Місто!L380-'[1]Місто'!L378</f>
        <v>0</v>
      </c>
      <c r="M380" s="38">
        <f>Місто!M380-'[1]Місто'!M378</f>
        <v>0</v>
      </c>
      <c r="N380" s="38">
        <f>Місто!N380-'[1]Місто'!N378</f>
        <v>0</v>
      </c>
      <c r="O380" s="76">
        <f>Місто!O380-'[1]Місто'!O378</f>
        <v>0</v>
      </c>
      <c r="P380" s="55">
        <f>Місто!P380-'[1]Місто'!P378</f>
        <v>0</v>
      </c>
      <c r="Q380" s="53"/>
      <c r="R380" s="59"/>
      <c r="W380" s="53">
        <f t="shared" si="5"/>
        <v>0</v>
      </c>
    </row>
    <row r="381" spans="1:23" ht="204" hidden="1">
      <c r="A381" s="39"/>
      <c r="B381" s="39" t="s">
        <v>82</v>
      </c>
      <c r="C381" s="39"/>
      <c r="D381" s="68" t="s">
        <v>67</v>
      </c>
      <c r="E381" s="38">
        <f>Місто!E381-'[1]Місто'!E379</f>
        <v>0</v>
      </c>
      <c r="F381" s="38">
        <f>Місто!F381-'[1]Місто'!F379</f>
        <v>0</v>
      </c>
      <c r="G381" s="38">
        <f>Місто!G381-'[1]Місто'!G379</f>
        <v>0</v>
      </c>
      <c r="H381" s="38">
        <f>Місто!H381-'[1]Місто'!H379</f>
        <v>0</v>
      </c>
      <c r="I381" s="38">
        <f>Місто!I381-'[1]Місто'!I379</f>
        <v>0</v>
      </c>
      <c r="J381" s="38">
        <f>Місто!J381-'[1]Місто'!J379</f>
        <v>0</v>
      </c>
      <c r="K381" s="38">
        <f>Місто!K381-'[1]Місто'!K379</f>
        <v>0</v>
      </c>
      <c r="L381" s="38">
        <f>Місто!L381-'[1]Місто'!L379</f>
        <v>0</v>
      </c>
      <c r="M381" s="38">
        <f>Місто!M381-'[1]Місто'!M379</f>
        <v>0</v>
      </c>
      <c r="N381" s="38">
        <f>Місто!N381-'[1]Місто'!N379</f>
        <v>0</v>
      </c>
      <c r="O381" s="76">
        <f>Місто!O381-'[1]Місто'!O379</f>
        <v>0</v>
      </c>
      <c r="P381" s="55">
        <f>Місто!P381-'[1]Місто'!P379</f>
        <v>0</v>
      </c>
      <c r="Q381" s="53"/>
      <c r="R381" s="59"/>
      <c r="W381" s="53">
        <f t="shared" si="5"/>
        <v>0</v>
      </c>
    </row>
    <row r="382" spans="1:23" ht="22.5" hidden="1">
      <c r="A382" s="39"/>
      <c r="B382" s="39"/>
      <c r="C382" s="39"/>
      <c r="D382" s="93" t="s">
        <v>381</v>
      </c>
      <c r="E382" s="38">
        <f>Місто!E382-'[1]Місто'!E380</f>
        <v>0</v>
      </c>
      <c r="F382" s="38">
        <f>Місто!F382-'[1]Місто'!F380</f>
        <v>0</v>
      </c>
      <c r="G382" s="38">
        <f>Місто!G382-'[1]Місто'!G380</f>
        <v>0</v>
      </c>
      <c r="H382" s="38">
        <f>Місто!H382-'[1]Місто'!H380</f>
        <v>0</v>
      </c>
      <c r="I382" s="38">
        <f>Місто!I382-'[1]Місто'!I380</f>
        <v>0</v>
      </c>
      <c r="J382" s="38">
        <f>Місто!J382-'[1]Місто'!J380</f>
        <v>0</v>
      </c>
      <c r="K382" s="38">
        <f>Місто!K382-'[1]Місто'!K380</f>
        <v>0</v>
      </c>
      <c r="L382" s="38">
        <f>Місто!L382-'[1]Місто'!L380</f>
        <v>0</v>
      </c>
      <c r="M382" s="38">
        <f>Місто!M382-'[1]Місто'!M380</f>
        <v>0</v>
      </c>
      <c r="N382" s="38">
        <f>Місто!N382-'[1]Місто'!N380</f>
        <v>0</v>
      </c>
      <c r="O382" s="76">
        <f>Місто!O382-'[1]Місто'!O380</f>
        <v>0</v>
      </c>
      <c r="P382" s="55">
        <f>Місто!P382-'[1]Місто'!P380</f>
        <v>0</v>
      </c>
      <c r="Q382" s="53"/>
      <c r="R382" s="59"/>
      <c r="W382" s="53">
        <f t="shared" si="5"/>
        <v>0</v>
      </c>
    </row>
    <row r="383" spans="1:23" ht="33.75" hidden="1">
      <c r="A383" s="39"/>
      <c r="B383" s="39"/>
      <c r="C383" s="39"/>
      <c r="D383" s="94" t="s">
        <v>158</v>
      </c>
      <c r="E383" s="38">
        <f>Місто!E383-'[1]Місто'!E381</f>
        <v>0</v>
      </c>
      <c r="F383" s="38">
        <f>Місто!F383-'[1]Місто'!F381</f>
        <v>0</v>
      </c>
      <c r="G383" s="38">
        <f>Місто!G383-'[1]Місто'!G381</f>
        <v>0</v>
      </c>
      <c r="H383" s="38">
        <f>Місто!H383-'[1]Місто'!H381</f>
        <v>0</v>
      </c>
      <c r="I383" s="38">
        <f>Місто!I383-'[1]Місто'!I381</f>
        <v>0</v>
      </c>
      <c r="J383" s="38">
        <f>Місто!J383-'[1]Місто'!J381</f>
        <v>0</v>
      </c>
      <c r="K383" s="38">
        <f>Місто!K383-'[1]Місто'!K381</f>
        <v>0</v>
      </c>
      <c r="L383" s="38">
        <f>Місто!L383-'[1]Місто'!L381</f>
        <v>0</v>
      </c>
      <c r="M383" s="38">
        <f>Місто!M383-'[1]Місто'!M381</f>
        <v>0</v>
      </c>
      <c r="N383" s="38">
        <f>Місто!N383-'[1]Місто'!N381</f>
        <v>0</v>
      </c>
      <c r="O383" s="76">
        <f>Місто!O383-'[1]Місто'!O381</f>
        <v>0</v>
      </c>
      <c r="P383" s="55">
        <f>Місто!P383-'[1]Місто'!P381</f>
        <v>0</v>
      </c>
      <c r="Q383" s="53"/>
      <c r="R383" s="59"/>
      <c r="W383" s="53">
        <f t="shared" si="5"/>
        <v>0</v>
      </c>
    </row>
    <row r="384" spans="1:23" ht="63.75">
      <c r="A384" s="39"/>
      <c r="B384" s="39" t="s">
        <v>353</v>
      </c>
      <c r="C384" s="74" t="s">
        <v>474</v>
      </c>
      <c r="D384" s="58" t="s">
        <v>354</v>
      </c>
      <c r="E384" s="38">
        <f>Місто!E384-'[1]Місто'!E382</f>
        <v>0</v>
      </c>
      <c r="F384" s="38">
        <f>Місто!F384-'[1]Місто'!F382</f>
        <v>0</v>
      </c>
      <c r="G384" s="38">
        <f>Місто!G384-'[1]Місто'!G382</f>
        <v>0</v>
      </c>
      <c r="H384" s="38">
        <f>Місто!H384-'[1]Місто'!H382</f>
        <v>0</v>
      </c>
      <c r="I384" s="38">
        <f>Місто!I384-'[1]Місто'!I382</f>
        <v>0</v>
      </c>
      <c r="J384" s="38">
        <f>Місто!J384-'[1]Місто'!J382</f>
        <v>0</v>
      </c>
      <c r="K384" s="38">
        <f>Місто!K384-'[1]Місто'!K382</f>
        <v>0</v>
      </c>
      <c r="L384" s="38">
        <f>Місто!L384-'[1]Місто'!L382</f>
        <v>0</v>
      </c>
      <c r="M384" s="38">
        <f>Місто!M384-'[1]Місто'!M382</f>
        <v>0</v>
      </c>
      <c r="N384" s="38">
        <f>Місто!N384-'[1]Місто'!N382</f>
        <v>0</v>
      </c>
      <c r="O384" s="76">
        <f>Місто!O384-'[1]Місто'!O382</f>
        <v>0</v>
      </c>
      <c r="P384" s="55">
        <f>Місто!P384-'[1]Місто'!P382</f>
        <v>0</v>
      </c>
      <c r="Q384" s="53"/>
      <c r="R384" s="59"/>
      <c r="W384" s="53">
        <f t="shared" si="5"/>
        <v>0</v>
      </c>
    </row>
    <row r="385" spans="1:23" ht="25.5" hidden="1">
      <c r="A385" s="39"/>
      <c r="B385" s="39" t="s">
        <v>376</v>
      </c>
      <c r="C385" s="39"/>
      <c r="D385" s="58" t="s">
        <v>377</v>
      </c>
      <c r="E385" s="38">
        <f>Місто!E385-'[1]Місто'!E383</f>
        <v>0</v>
      </c>
      <c r="F385" s="38">
        <f>Місто!F385-'[1]Місто'!F383</f>
        <v>0</v>
      </c>
      <c r="G385" s="38">
        <f>Місто!G385-'[1]Місто'!G383</f>
        <v>0</v>
      </c>
      <c r="H385" s="38">
        <f>Місто!H385-'[1]Місто'!H383</f>
        <v>0</v>
      </c>
      <c r="I385" s="38">
        <f>Місто!I385-'[1]Місто'!I383</f>
        <v>0</v>
      </c>
      <c r="J385" s="38">
        <f>Місто!J385-'[1]Місто'!J383</f>
        <v>0</v>
      </c>
      <c r="K385" s="38">
        <f>Місто!K385-'[1]Місто'!K383</f>
        <v>0</v>
      </c>
      <c r="L385" s="38">
        <f>Місто!L385-'[1]Місто'!L383</f>
        <v>0</v>
      </c>
      <c r="M385" s="38">
        <f>Місто!M385-'[1]Місто'!M383</f>
        <v>0</v>
      </c>
      <c r="N385" s="38">
        <f>Місто!N385-'[1]Місто'!N383</f>
        <v>0</v>
      </c>
      <c r="O385" s="76">
        <f>Місто!O385-'[1]Місто'!O383</f>
        <v>0</v>
      </c>
      <c r="P385" s="55">
        <f>Місто!P385-'[1]Місто'!P383</f>
        <v>0</v>
      </c>
      <c r="Q385" s="53"/>
      <c r="R385" s="59"/>
      <c r="W385" s="53"/>
    </row>
    <row r="386" spans="1:23" ht="51" hidden="1">
      <c r="A386" s="39"/>
      <c r="B386" s="39" t="s">
        <v>355</v>
      </c>
      <c r="C386" s="74" t="s">
        <v>443</v>
      </c>
      <c r="D386" s="68" t="s">
        <v>211</v>
      </c>
      <c r="E386" s="38">
        <f>Місто!E386-'[1]Місто'!E384</f>
        <v>0</v>
      </c>
      <c r="F386" s="38">
        <f>Місто!F386-'[1]Місто'!F384</f>
        <v>0</v>
      </c>
      <c r="G386" s="38">
        <f>Місто!G386-'[1]Місто'!G384</f>
        <v>0</v>
      </c>
      <c r="H386" s="38">
        <f>Місто!H386-'[1]Місто'!H384</f>
        <v>0</v>
      </c>
      <c r="I386" s="38">
        <f>Місто!I386-'[1]Місто'!I384</f>
        <v>0</v>
      </c>
      <c r="J386" s="38">
        <f>Місто!J386-'[1]Місто'!J384</f>
        <v>0</v>
      </c>
      <c r="K386" s="38">
        <f>Місто!K386-'[1]Місто'!K384</f>
        <v>0</v>
      </c>
      <c r="L386" s="38">
        <f>Місто!L386-'[1]Місто'!L384</f>
        <v>0</v>
      </c>
      <c r="M386" s="38">
        <f>Місто!M386-'[1]Місто'!M384</f>
        <v>0</v>
      </c>
      <c r="N386" s="38">
        <f>Місто!N386-'[1]Місто'!N384</f>
        <v>0</v>
      </c>
      <c r="O386" s="76">
        <f>Місто!O386-'[1]Місто'!O384</f>
        <v>0</v>
      </c>
      <c r="P386" s="55">
        <f>Місто!P386-'[1]Місто'!P384</f>
        <v>0</v>
      </c>
      <c r="Q386" s="53"/>
      <c r="R386" s="59"/>
      <c r="W386" s="53"/>
    </row>
    <row r="387" spans="1:23" ht="38.25" hidden="1">
      <c r="A387" s="39"/>
      <c r="B387" s="39"/>
      <c r="C387" s="39"/>
      <c r="D387" s="60" t="s">
        <v>351</v>
      </c>
      <c r="E387" s="38">
        <f>Місто!E387-'[1]Місто'!E385</f>
        <v>0</v>
      </c>
      <c r="F387" s="38">
        <f>Місто!F387-'[1]Місто'!F385</f>
        <v>0</v>
      </c>
      <c r="G387" s="38">
        <f>Місто!G387-'[1]Місто'!G385</f>
        <v>0</v>
      </c>
      <c r="H387" s="38">
        <f>Місто!H387-'[1]Місто'!H385</f>
        <v>0</v>
      </c>
      <c r="I387" s="38">
        <f>Місто!I387-'[1]Місто'!I385</f>
        <v>0</v>
      </c>
      <c r="J387" s="38">
        <f>Місто!J387-'[1]Місто'!J385</f>
        <v>0</v>
      </c>
      <c r="K387" s="38">
        <f>Місто!K387-'[1]Місто'!K385</f>
        <v>0</v>
      </c>
      <c r="L387" s="38">
        <f>Місто!L387-'[1]Місто'!L385</f>
        <v>0</v>
      </c>
      <c r="M387" s="38">
        <f>Місто!M387-'[1]Місто'!M385</f>
        <v>0</v>
      </c>
      <c r="N387" s="38">
        <f>Місто!N387-'[1]Місто'!N385</f>
        <v>0</v>
      </c>
      <c r="O387" s="38">
        <f>Місто!O387-'[1]Місто'!O385</f>
        <v>0</v>
      </c>
      <c r="P387" s="55">
        <f>Місто!P387-'[1]Місто'!P385</f>
        <v>0</v>
      </c>
      <c r="Q387" s="53"/>
      <c r="R387" s="59"/>
      <c r="W387" s="53">
        <f t="shared" si="5"/>
        <v>0</v>
      </c>
    </row>
    <row r="388" spans="1:23" ht="38.25" hidden="1">
      <c r="A388" s="39"/>
      <c r="B388" s="39" t="s">
        <v>285</v>
      </c>
      <c r="C388" s="39"/>
      <c r="D388" s="73" t="s">
        <v>241</v>
      </c>
      <c r="E388" s="38">
        <f>Місто!E388-'[1]Місто'!E386</f>
        <v>0</v>
      </c>
      <c r="F388" s="38">
        <f>Місто!F388-'[1]Місто'!F386</f>
        <v>0</v>
      </c>
      <c r="G388" s="38">
        <f>Місто!G388-'[1]Місто'!G386</f>
        <v>0</v>
      </c>
      <c r="H388" s="38">
        <f>Місто!H388-'[1]Місто'!H386</f>
        <v>0</v>
      </c>
      <c r="I388" s="38">
        <f>Місто!I388-'[1]Місто'!I386</f>
        <v>0</v>
      </c>
      <c r="J388" s="38">
        <f>Місто!J388-'[1]Місто'!J386</f>
        <v>0</v>
      </c>
      <c r="K388" s="38">
        <f>Місто!K388-'[1]Місто'!K386</f>
        <v>0</v>
      </c>
      <c r="L388" s="38">
        <f>Місто!L388-'[1]Місто'!L386</f>
        <v>0</v>
      </c>
      <c r="M388" s="38">
        <f>Місто!M388-'[1]Місто'!M386</f>
        <v>0</v>
      </c>
      <c r="N388" s="124">
        <f>Місто!N388-'[1]Місто'!N386</f>
        <v>0</v>
      </c>
      <c r="O388" s="38">
        <f>Місто!O388-'[1]Місто'!O386</f>
        <v>0</v>
      </c>
      <c r="P388" s="55">
        <f>Місто!P388-'[1]Місто'!P386</f>
        <v>0</v>
      </c>
      <c r="Q388" s="53"/>
      <c r="R388" s="59"/>
      <c r="W388" s="53">
        <f t="shared" si="5"/>
        <v>0</v>
      </c>
    </row>
    <row r="389" spans="1:23" ht="12.75" hidden="1">
      <c r="A389" s="39"/>
      <c r="B389" s="9" t="s">
        <v>369</v>
      </c>
      <c r="C389" s="9"/>
      <c r="D389" s="4" t="s">
        <v>373</v>
      </c>
      <c r="E389" s="38">
        <f>Місто!E389-'[1]Місто'!E387</f>
        <v>0</v>
      </c>
      <c r="F389" s="38">
        <f>Місто!F389-'[1]Місто'!F387</f>
        <v>0</v>
      </c>
      <c r="G389" s="38">
        <f>Місто!G389-'[1]Місто'!G387</f>
        <v>0</v>
      </c>
      <c r="H389" s="38">
        <f>Місто!H389-'[1]Місто'!H387</f>
        <v>0</v>
      </c>
      <c r="I389" s="38">
        <f>Місто!I389-'[1]Місто'!I387</f>
        <v>0</v>
      </c>
      <c r="J389" s="38">
        <f>Місто!J389-'[1]Місто'!J387</f>
        <v>0</v>
      </c>
      <c r="K389" s="38">
        <f>Місто!K389-'[1]Місто'!K387</f>
        <v>0</v>
      </c>
      <c r="L389" s="38">
        <f>Місто!L389-'[1]Місто'!L387</f>
        <v>0</v>
      </c>
      <c r="M389" s="38">
        <f>Місто!M389-'[1]Місто'!M387</f>
        <v>0</v>
      </c>
      <c r="N389" s="124">
        <f>Місто!N389-'[1]Місто'!N387</f>
        <v>0</v>
      </c>
      <c r="O389" s="38">
        <f>Місто!O389-'[1]Місто'!O387</f>
        <v>0</v>
      </c>
      <c r="P389" s="55">
        <f>Місто!P389-'[1]Місто'!P387</f>
        <v>0</v>
      </c>
      <c r="Q389" s="53"/>
      <c r="R389" s="59"/>
      <c r="W389" s="53"/>
    </row>
    <row r="390" spans="1:23" ht="63.75" hidden="1">
      <c r="A390" s="39"/>
      <c r="B390" s="9" t="s">
        <v>287</v>
      </c>
      <c r="C390" s="9" t="s">
        <v>444</v>
      </c>
      <c r="D390" s="73" t="s">
        <v>109</v>
      </c>
      <c r="E390" s="38">
        <f>Місто!E390-'[1]Місто'!E388</f>
        <v>0</v>
      </c>
      <c r="F390" s="38">
        <f>Місто!F390-'[1]Місто'!F388</f>
        <v>0</v>
      </c>
      <c r="G390" s="38">
        <f>Місто!G390-'[1]Місто'!G388</f>
        <v>0</v>
      </c>
      <c r="H390" s="38">
        <f>Місто!H390-'[1]Місто'!H388</f>
        <v>0</v>
      </c>
      <c r="I390" s="38">
        <f>Місто!I390-'[1]Місто'!I388</f>
        <v>0</v>
      </c>
      <c r="J390" s="38">
        <f>Місто!J390-'[1]Місто'!J388</f>
        <v>0</v>
      </c>
      <c r="K390" s="38">
        <f>Місто!K390-'[1]Місто'!K388</f>
        <v>0</v>
      </c>
      <c r="L390" s="38">
        <f>Місто!L390-'[1]Місто'!L388</f>
        <v>0</v>
      </c>
      <c r="M390" s="38">
        <f>Місто!M390-'[1]Місто'!M388</f>
        <v>0</v>
      </c>
      <c r="N390" s="124">
        <f>Місто!N390-'[1]Місто'!N388</f>
        <v>0</v>
      </c>
      <c r="O390" s="38">
        <f>Місто!O390-'[1]Місто'!O388</f>
        <v>0</v>
      </c>
      <c r="P390" s="55">
        <f>Місто!P390-'[1]Місто'!P388</f>
        <v>0</v>
      </c>
      <c r="Q390" s="53"/>
      <c r="R390" s="59"/>
      <c r="W390" s="53"/>
    </row>
    <row r="391" spans="1:23" ht="25.5" hidden="1">
      <c r="A391" s="39"/>
      <c r="B391" s="39" t="s">
        <v>371</v>
      </c>
      <c r="C391" s="39"/>
      <c r="D391" s="60" t="s">
        <v>372</v>
      </c>
      <c r="E391" s="38">
        <f>Місто!E391-'[1]Місто'!E389</f>
        <v>136197</v>
      </c>
      <c r="F391" s="38">
        <f>Місто!F391-'[1]Місто'!F389</f>
        <v>136197</v>
      </c>
      <c r="G391" s="38">
        <f>Місто!G391-'[1]Місто'!G389</f>
        <v>0</v>
      </c>
      <c r="H391" s="38">
        <f>Місто!H391-'[1]Місто'!H389</f>
        <v>0</v>
      </c>
      <c r="I391" s="38">
        <f>Місто!I391-'[1]Місто'!I389</f>
        <v>0</v>
      </c>
      <c r="J391" s="38">
        <f>Місто!J391-'[1]Місто'!J389</f>
        <v>0</v>
      </c>
      <c r="K391" s="38">
        <f>Місто!K391-'[1]Місто'!K389</f>
        <v>0</v>
      </c>
      <c r="L391" s="38">
        <f>Місто!L391-'[1]Місто'!L389</f>
        <v>0</v>
      </c>
      <c r="M391" s="38">
        <f>Місто!M391-'[1]Місто'!M389</f>
        <v>0</v>
      </c>
      <c r="N391" s="38">
        <f>Місто!N391-'[1]Місто'!N389</f>
        <v>0</v>
      </c>
      <c r="O391" s="38">
        <f>Місто!O391-'[1]Місто'!O389</f>
        <v>0</v>
      </c>
      <c r="P391" s="38">
        <f>Місто!P391-'[1]Місто'!P389</f>
        <v>136197</v>
      </c>
      <c r="Q391" s="53"/>
      <c r="R391" s="59"/>
      <c r="W391" s="53">
        <f t="shared" si="5"/>
        <v>0</v>
      </c>
    </row>
    <row r="392" spans="1:23" ht="12.75" hidden="1">
      <c r="A392" s="74"/>
      <c r="B392" s="74" t="s">
        <v>288</v>
      </c>
      <c r="C392" s="74" t="s">
        <v>444</v>
      </c>
      <c r="D392" s="68" t="s">
        <v>316</v>
      </c>
      <c r="E392" s="76">
        <f>Місто!E392-'[1]Місто'!E390</f>
        <v>136197</v>
      </c>
      <c r="F392" s="76">
        <f>Місто!F392-'[1]Місто'!F390</f>
        <v>136197</v>
      </c>
      <c r="G392" s="38">
        <f>Місто!G392-'[1]Місто'!G390</f>
        <v>0</v>
      </c>
      <c r="H392" s="38">
        <f>Місто!H392-'[1]Місто'!H390</f>
        <v>0</v>
      </c>
      <c r="I392" s="38">
        <f>Місто!I392-'[1]Місто'!I390</f>
        <v>0</v>
      </c>
      <c r="J392" s="38">
        <f>Місто!J392-'[1]Місто'!J390</f>
        <v>0</v>
      </c>
      <c r="K392" s="38">
        <f>Місто!K392-'[1]Місто'!K390</f>
        <v>0</v>
      </c>
      <c r="L392" s="38">
        <f>Місто!L392-'[1]Місто'!L390</f>
        <v>0</v>
      </c>
      <c r="M392" s="38">
        <f>Місто!M392-'[1]Місто'!M390</f>
        <v>0</v>
      </c>
      <c r="N392" s="38">
        <f>Місто!N392-'[1]Місто'!N390</f>
        <v>0</v>
      </c>
      <c r="O392" s="38">
        <f>Місто!O392-'[1]Місто'!O390</f>
        <v>0</v>
      </c>
      <c r="P392" s="38">
        <f>Місто!P392-'[1]Місто'!P390</f>
        <v>136197</v>
      </c>
      <c r="Q392" s="53"/>
      <c r="R392" s="59"/>
      <c r="W392" s="53">
        <f t="shared" si="5"/>
        <v>0</v>
      </c>
    </row>
    <row r="393" spans="1:23" ht="25.5" hidden="1">
      <c r="A393" s="74"/>
      <c r="B393" s="74"/>
      <c r="C393" s="74"/>
      <c r="D393" s="68" t="s">
        <v>495</v>
      </c>
      <c r="E393" s="76">
        <f>Місто!E393-'[1]Місто'!E391</f>
        <v>136197</v>
      </c>
      <c r="F393" s="76">
        <f>Місто!F393-'[1]Місто'!F391</f>
        <v>136197</v>
      </c>
      <c r="G393" s="38">
        <f>Місто!G393-'[1]Місто'!G391</f>
        <v>0</v>
      </c>
      <c r="H393" s="38">
        <f>Місто!H393-'[1]Місто'!H391</f>
        <v>0</v>
      </c>
      <c r="I393" s="38">
        <f>Місто!I393-'[1]Місто'!I391</f>
        <v>0</v>
      </c>
      <c r="J393" s="38">
        <f>Місто!J393-'[1]Місто'!J391</f>
        <v>0</v>
      </c>
      <c r="K393" s="38">
        <f>Місто!K393-'[1]Місто'!K391</f>
        <v>0</v>
      </c>
      <c r="L393" s="38">
        <f>Місто!L393-'[1]Місто'!L391</f>
        <v>0</v>
      </c>
      <c r="M393" s="38">
        <f>Місто!M393-'[1]Місто'!M391</f>
        <v>0</v>
      </c>
      <c r="N393" s="38">
        <f>Місто!N393-'[1]Місто'!N391</f>
        <v>0</v>
      </c>
      <c r="O393" s="38">
        <f>Місто!O393-'[1]Місто'!O391</f>
        <v>0</v>
      </c>
      <c r="P393" s="38">
        <f>Місто!P393-'[1]Місто'!P391</f>
        <v>136197</v>
      </c>
      <c r="Q393" s="53"/>
      <c r="R393" s="59"/>
      <c r="W393" s="53"/>
    </row>
    <row r="394" spans="1:23" ht="89.25" hidden="1">
      <c r="A394" s="39"/>
      <c r="B394" s="39"/>
      <c r="C394" s="39"/>
      <c r="D394" s="75" t="s">
        <v>440</v>
      </c>
      <c r="E394" s="38">
        <f>Місто!E394-'[1]Місто'!E392</f>
        <v>0</v>
      </c>
      <c r="F394" s="38">
        <f>Місто!F394-'[1]Місто'!F392</f>
        <v>0</v>
      </c>
      <c r="G394" s="38">
        <f>Місто!G394-'[1]Місто'!G392</f>
        <v>0</v>
      </c>
      <c r="H394" s="38">
        <f>Місто!H394-'[1]Місто'!H392</f>
        <v>0</v>
      </c>
      <c r="I394" s="38">
        <f>Місто!I394-'[1]Місто'!I392</f>
        <v>0</v>
      </c>
      <c r="J394" s="38">
        <f>Місто!J394-'[1]Місто'!J392</f>
        <v>0</v>
      </c>
      <c r="K394" s="38">
        <f>Місто!K394-'[1]Місто'!K392</f>
        <v>0</v>
      </c>
      <c r="L394" s="38">
        <f>Місто!L394-'[1]Місто'!L392</f>
        <v>0</v>
      </c>
      <c r="M394" s="38">
        <f>Місто!M394-'[1]Місто'!M392</f>
        <v>0</v>
      </c>
      <c r="N394" s="38">
        <f>Місто!N394-'[1]Місто'!N392</f>
        <v>0</v>
      </c>
      <c r="O394" s="38">
        <f>Місто!O394-'[1]Місто'!O392</f>
        <v>0</v>
      </c>
      <c r="P394" s="55">
        <f>Місто!P394-'[1]Місто'!P392</f>
        <v>0</v>
      </c>
      <c r="Q394" s="53"/>
      <c r="R394" s="59"/>
      <c r="W394" s="53">
        <f t="shared" si="5"/>
        <v>0</v>
      </c>
    </row>
    <row r="395" spans="1:23" s="57" customFormat="1" ht="27" customHeight="1">
      <c r="A395" s="98"/>
      <c r="B395" s="98" t="s">
        <v>183</v>
      </c>
      <c r="C395" s="98"/>
      <c r="D395" s="100" t="s">
        <v>130</v>
      </c>
      <c r="E395" s="51">
        <f>Місто!E395-'[1]Місто'!E393</f>
        <v>410107</v>
      </c>
      <c r="F395" s="51">
        <f>Місто!F395-'[1]Місто'!F393</f>
        <v>410107</v>
      </c>
      <c r="G395" s="51">
        <f>Місто!G395-'[1]Місто'!G393</f>
        <v>715408</v>
      </c>
      <c r="H395" s="51">
        <f>Місто!H395-'[1]Місто'!H393</f>
        <v>0</v>
      </c>
      <c r="I395" s="51">
        <f>Місто!I395-'[1]Місто'!I393</f>
        <v>0</v>
      </c>
      <c r="J395" s="51">
        <f>Місто!J395-'[1]Місто'!J393</f>
        <v>157040</v>
      </c>
      <c r="K395" s="51">
        <f>Місто!K395-'[1]Місто'!K393</f>
        <v>0</v>
      </c>
      <c r="L395" s="51">
        <f>Місто!L395-'[1]Місто'!L393</f>
        <v>0</v>
      </c>
      <c r="M395" s="51">
        <f>Місто!M395-'[1]Місто'!M393</f>
        <v>0</v>
      </c>
      <c r="N395" s="51">
        <f>Місто!N395-'[1]Місто'!N393</f>
        <v>157040</v>
      </c>
      <c r="O395" s="51">
        <f>Місто!O395-'[1]Місто'!O393</f>
        <v>157040</v>
      </c>
      <c r="P395" s="52">
        <f>Місто!P395-'[1]Місто'!P393</f>
        <v>567147</v>
      </c>
      <c r="Q395" s="53"/>
      <c r="W395" s="53">
        <f>N395-O395</f>
        <v>0</v>
      </c>
    </row>
    <row r="396" spans="1:23" s="57" customFormat="1" ht="12.75">
      <c r="A396" s="42"/>
      <c r="B396" s="42" t="s">
        <v>362</v>
      </c>
      <c r="C396" s="42"/>
      <c r="D396" s="43" t="s">
        <v>363</v>
      </c>
      <c r="E396" s="37">
        <f>Місто!E396-'[1]Місто'!E394</f>
        <v>383407</v>
      </c>
      <c r="F396" s="37">
        <f>Місто!F396-'[1]Місто'!F394</f>
        <v>383407</v>
      </c>
      <c r="G396" s="37">
        <f>Місто!G396-'[1]Місто'!G394</f>
        <v>715408</v>
      </c>
      <c r="H396" s="37">
        <f>Місто!H396-'[1]Місто'!H394</f>
        <v>0</v>
      </c>
      <c r="I396" s="37">
        <f>Місто!I396-'[1]Місто'!I394</f>
        <v>0</v>
      </c>
      <c r="J396" s="38">
        <f>Місто!J396-'[1]Місто'!J394</f>
        <v>157040</v>
      </c>
      <c r="K396" s="38">
        <f>Місто!K396-'[1]Місто'!K394</f>
        <v>0</v>
      </c>
      <c r="L396" s="38">
        <f>Місто!L396-'[1]Місто'!L394</f>
        <v>0</v>
      </c>
      <c r="M396" s="38">
        <f>Місто!M396-'[1]Місто'!M394</f>
        <v>0</v>
      </c>
      <c r="N396" s="38">
        <f>Місто!N396-'[1]Місто'!N394</f>
        <v>157040</v>
      </c>
      <c r="O396" s="38">
        <f>Місто!O396-'[1]Місто'!O394</f>
        <v>157040</v>
      </c>
      <c r="P396" s="55">
        <f>Місто!P396-'[1]Місто'!P394</f>
        <v>540447</v>
      </c>
      <c r="Q396" s="53"/>
      <c r="W396" s="53">
        <f t="shared" si="5"/>
        <v>0</v>
      </c>
    </row>
    <row r="397" spans="1:23" s="57" customFormat="1" ht="12.75">
      <c r="A397" s="39"/>
      <c r="B397" s="39" t="s">
        <v>249</v>
      </c>
      <c r="C397" s="74" t="s">
        <v>441</v>
      </c>
      <c r="D397" s="58" t="s">
        <v>250</v>
      </c>
      <c r="E397" s="38">
        <f>Місто!E397-'[1]Місто'!E395</f>
        <v>383407</v>
      </c>
      <c r="F397" s="38">
        <f>Місто!F397-'[1]Місто'!F395</f>
        <v>383407</v>
      </c>
      <c r="G397" s="38">
        <f>Місто!G397-'[1]Місто'!G395</f>
        <v>715408</v>
      </c>
      <c r="H397" s="38">
        <f>Місто!H397-'[1]Місто'!H395</f>
        <v>0</v>
      </c>
      <c r="I397" s="38">
        <f>Місто!I397-'[1]Місто'!I395</f>
        <v>0</v>
      </c>
      <c r="J397" s="38">
        <f>Місто!J397-'[1]Місто'!J395</f>
        <v>157040</v>
      </c>
      <c r="K397" s="38">
        <f>Місто!K397-'[1]Місто'!K395</f>
        <v>0</v>
      </c>
      <c r="L397" s="38">
        <f>Місто!L397-'[1]Місто'!L395</f>
        <v>0</v>
      </c>
      <c r="M397" s="38">
        <f>Місто!M397-'[1]Місто'!M395</f>
        <v>0</v>
      </c>
      <c r="N397" s="38">
        <f>Місто!N397-'[1]Місто'!N395</f>
        <v>157040</v>
      </c>
      <c r="O397" s="38">
        <f>Місто!O397-'[1]Місто'!O395</f>
        <v>157040</v>
      </c>
      <c r="P397" s="55">
        <f>Місто!P397-'[1]Місто'!P395</f>
        <v>540447</v>
      </c>
      <c r="Q397" s="53"/>
      <c r="W397" s="53">
        <f t="shared" si="5"/>
        <v>0</v>
      </c>
    </row>
    <row r="398" spans="1:23" s="57" customFormat="1" ht="12.75" hidden="1">
      <c r="A398" s="39"/>
      <c r="B398" s="39" t="s">
        <v>366</v>
      </c>
      <c r="C398" s="39"/>
      <c r="D398" s="58" t="s">
        <v>283</v>
      </c>
      <c r="E398" s="38">
        <f>Місто!E398-'[1]Місто'!E396</f>
        <v>0</v>
      </c>
      <c r="F398" s="38">
        <f>Місто!F398-'[1]Місто'!F396</f>
        <v>0</v>
      </c>
      <c r="G398" s="38">
        <f>Місто!G398-'[1]Місто'!G396</f>
        <v>0</v>
      </c>
      <c r="H398" s="38">
        <f>Місто!H398-'[1]Місто'!H396</f>
        <v>0</v>
      </c>
      <c r="I398" s="38">
        <f>Місто!I398-'[1]Місто'!I396</f>
        <v>0</v>
      </c>
      <c r="J398" s="38">
        <f>Місто!J398-'[1]Місто'!J396</f>
        <v>0</v>
      </c>
      <c r="K398" s="38">
        <f>Місто!K398-'[1]Місто'!K396</f>
        <v>0</v>
      </c>
      <c r="L398" s="38">
        <f>Місто!L398-'[1]Місто'!L396</f>
        <v>0</v>
      </c>
      <c r="M398" s="38">
        <f>Місто!M398-'[1]Місто'!M396</f>
        <v>0</v>
      </c>
      <c r="N398" s="38">
        <f>Місто!N398-'[1]Місто'!N396</f>
        <v>0</v>
      </c>
      <c r="O398" s="38">
        <f>Місто!O398-'[1]Місто'!O396</f>
        <v>0</v>
      </c>
      <c r="P398" s="55">
        <f>Місто!P398-'[1]Місто'!P396</f>
        <v>0</v>
      </c>
      <c r="Q398" s="53"/>
      <c r="W398" s="53"/>
    </row>
    <row r="399" spans="1:23" s="57" customFormat="1" ht="12.75" hidden="1">
      <c r="A399" s="39"/>
      <c r="B399" s="39" t="s">
        <v>338</v>
      </c>
      <c r="C399" s="74" t="s">
        <v>443</v>
      </c>
      <c r="D399" s="36" t="s">
        <v>339</v>
      </c>
      <c r="E399" s="38">
        <f>Місто!E399-'[1]Місто'!E397</f>
        <v>0</v>
      </c>
      <c r="F399" s="38">
        <f>Місто!F399-'[1]Місто'!F397</f>
        <v>0</v>
      </c>
      <c r="G399" s="38">
        <f>Місто!G399-'[1]Місто'!G397</f>
        <v>0</v>
      </c>
      <c r="H399" s="38">
        <f>Місто!H399-'[1]Місто'!H397</f>
        <v>0</v>
      </c>
      <c r="I399" s="38">
        <f>Місто!I399-'[1]Місто'!I397</f>
        <v>0</v>
      </c>
      <c r="J399" s="38">
        <f>Місто!J399-'[1]Місто'!J397</f>
        <v>0</v>
      </c>
      <c r="K399" s="38">
        <f>Місто!K399-'[1]Місто'!K397</f>
        <v>0</v>
      </c>
      <c r="L399" s="38">
        <f>Місто!L399-'[1]Місто'!L397</f>
        <v>0</v>
      </c>
      <c r="M399" s="38">
        <f>Місто!M399-'[1]Місто'!M397</f>
        <v>0</v>
      </c>
      <c r="N399" s="38">
        <f>Місто!N399-'[1]Місто'!N397</f>
        <v>0</v>
      </c>
      <c r="O399" s="171">
        <f>Місто!O399-'[1]Місто'!O397</f>
        <v>0</v>
      </c>
      <c r="P399" s="55">
        <f>Місто!P399-'[1]Місто'!P397</f>
        <v>0</v>
      </c>
      <c r="Q399" s="53"/>
      <c r="W399" s="53"/>
    </row>
    <row r="400" spans="1:23" s="57" customFormat="1" ht="12.75" hidden="1">
      <c r="A400" s="39"/>
      <c r="B400" s="39" t="s">
        <v>379</v>
      </c>
      <c r="C400" s="39"/>
      <c r="D400" s="36" t="s">
        <v>380</v>
      </c>
      <c r="E400" s="38">
        <f>Місто!E400-'[1]Місто'!E398</f>
        <v>0</v>
      </c>
      <c r="F400" s="38">
        <f>Місто!F400-'[1]Місто'!F398</f>
        <v>0</v>
      </c>
      <c r="G400" s="38">
        <f>Місто!G400-'[1]Місто'!G398</f>
        <v>0</v>
      </c>
      <c r="H400" s="38">
        <f>Місто!H400-'[1]Місто'!H398</f>
        <v>0</v>
      </c>
      <c r="I400" s="38">
        <f>Місто!I400-'[1]Місто'!I398</f>
        <v>0</v>
      </c>
      <c r="J400" s="38">
        <f>Місто!J400-'[1]Місто'!J398</f>
        <v>0</v>
      </c>
      <c r="K400" s="38">
        <f>Місто!K400-'[1]Місто'!K398</f>
        <v>0</v>
      </c>
      <c r="L400" s="38">
        <f>Місто!L400-'[1]Місто'!L398</f>
        <v>0</v>
      </c>
      <c r="M400" s="38">
        <f>Місто!M400-'[1]Місто'!M398</f>
        <v>0</v>
      </c>
      <c r="N400" s="38">
        <f>Місто!N400-'[1]Місто'!N398</f>
        <v>0</v>
      </c>
      <c r="O400" s="38">
        <f>Місто!O400-'[1]Місто'!O398</f>
        <v>0</v>
      </c>
      <c r="P400" s="55">
        <f>Місто!P400-'[1]Місто'!P398</f>
        <v>0</v>
      </c>
      <c r="Q400" s="53"/>
      <c r="W400" s="53">
        <f t="shared" si="5"/>
        <v>0</v>
      </c>
    </row>
    <row r="401" spans="1:23" ht="12.75" hidden="1">
      <c r="A401" s="39"/>
      <c r="B401" s="39" t="s">
        <v>342</v>
      </c>
      <c r="C401" s="39"/>
      <c r="D401" s="60" t="s">
        <v>336</v>
      </c>
      <c r="E401" s="38">
        <f>Місто!E401-'[1]Місто'!E399</f>
        <v>0</v>
      </c>
      <c r="F401" s="38">
        <f>Місто!F401-'[1]Місто'!F399</f>
        <v>0</v>
      </c>
      <c r="G401" s="38">
        <f>Місто!G401-'[1]Місто'!G399</f>
        <v>0</v>
      </c>
      <c r="H401" s="38">
        <f>Місто!H401-'[1]Місто'!H399</f>
        <v>0</v>
      </c>
      <c r="I401" s="38">
        <f>Місто!I401-'[1]Місто'!I399</f>
        <v>0</v>
      </c>
      <c r="J401" s="38">
        <f>Місто!J401-'[1]Місто'!J399</f>
        <v>0</v>
      </c>
      <c r="K401" s="38">
        <f>Місто!K401-'[1]Місто'!K399</f>
        <v>0</v>
      </c>
      <c r="L401" s="38">
        <f>Місто!L401-'[1]Місто'!L399</f>
        <v>0</v>
      </c>
      <c r="M401" s="38">
        <f>Місто!M401-'[1]Місто'!M399</f>
        <v>0</v>
      </c>
      <c r="N401" s="38">
        <f>Місто!N401-'[1]Місто'!N399</f>
        <v>0</v>
      </c>
      <c r="O401" s="38">
        <f>Місто!O401-'[1]Місто'!O399</f>
        <v>0</v>
      </c>
      <c r="P401" s="55">
        <f>Місто!P401-'[1]Місто'!P399</f>
        <v>0</v>
      </c>
      <c r="Q401" s="53"/>
      <c r="R401" s="59"/>
      <c r="W401" s="53">
        <f t="shared" si="5"/>
        <v>0</v>
      </c>
    </row>
    <row r="402" spans="1:23" ht="12.75" hidden="1">
      <c r="A402" s="9"/>
      <c r="B402" s="9" t="s">
        <v>369</v>
      </c>
      <c r="C402" s="9"/>
      <c r="D402" s="4" t="s">
        <v>373</v>
      </c>
      <c r="E402" s="38">
        <f>Місто!E402-'[1]Місто'!E400</f>
        <v>0</v>
      </c>
      <c r="F402" s="38">
        <f>Місто!F402-'[1]Місто'!F400</f>
        <v>0</v>
      </c>
      <c r="G402" s="38">
        <f>Місто!G402-'[1]Місто'!G400</f>
        <v>0</v>
      </c>
      <c r="H402" s="38">
        <f>Місто!H402-'[1]Місто'!H400</f>
        <v>0</v>
      </c>
      <c r="I402" s="38">
        <f>Місто!I402-'[1]Місто'!I400</f>
        <v>0</v>
      </c>
      <c r="J402" s="38">
        <f>Місто!J402-'[1]Місто'!J400</f>
        <v>0</v>
      </c>
      <c r="K402" s="38">
        <f>Місто!K402-'[1]Місто'!K400</f>
        <v>0</v>
      </c>
      <c r="L402" s="38">
        <f>Місто!L402-'[1]Місто'!L400</f>
        <v>0</v>
      </c>
      <c r="M402" s="38">
        <f>Місто!M402-'[1]Місто'!M400</f>
        <v>0</v>
      </c>
      <c r="N402" s="38">
        <f>Місто!N402-'[1]Місто'!N400</f>
        <v>0</v>
      </c>
      <c r="O402" s="38">
        <f>Місто!O402-'[1]Місто'!O400</f>
        <v>0</v>
      </c>
      <c r="P402" s="55">
        <f>Місто!P402-'[1]Місто'!P400</f>
        <v>0</v>
      </c>
      <c r="Q402" s="53"/>
      <c r="R402" s="59"/>
      <c r="W402" s="53">
        <f t="shared" si="5"/>
        <v>0</v>
      </c>
    </row>
    <row r="403" spans="1:23" ht="63.75" hidden="1">
      <c r="A403" s="9"/>
      <c r="B403" s="9" t="s">
        <v>287</v>
      </c>
      <c r="C403" s="9"/>
      <c r="D403" s="73" t="s">
        <v>109</v>
      </c>
      <c r="E403" s="38">
        <f>Місто!E403-'[1]Місто'!E401</f>
        <v>0</v>
      </c>
      <c r="F403" s="38">
        <f>Місто!F403-'[1]Місто'!F401</f>
        <v>0</v>
      </c>
      <c r="G403" s="38">
        <f>Місто!G403-'[1]Місто'!G401</f>
        <v>0</v>
      </c>
      <c r="H403" s="38">
        <f>Місто!H403-'[1]Місто'!H401</f>
        <v>0</v>
      </c>
      <c r="I403" s="38">
        <f>Місто!I403-'[1]Місто'!I401</f>
        <v>0</v>
      </c>
      <c r="J403" s="38">
        <f>Місто!J403-'[1]Місто'!J401</f>
        <v>0</v>
      </c>
      <c r="K403" s="38">
        <f>Місто!K403-'[1]Місто'!K401</f>
        <v>0</v>
      </c>
      <c r="L403" s="38">
        <f>Місто!L403-'[1]Місто'!L401</f>
        <v>0</v>
      </c>
      <c r="M403" s="38">
        <f>Місто!M403-'[1]Місто'!M401</f>
        <v>0</v>
      </c>
      <c r="N403" s="38">
        <f>Місто!N403-'[1]Місто'!N401</f>
        <v>0</v>
      </c>
      <c r="O403" s="38">
        <f>Місто!O403-'[1]Місто'!O401</f>
        <v>0</v>
      </c>
      <c r="P403" s="55">
        <f>Місто!P403-'[1]Місто'!P401</f>
        <v>0</v>
      </c>
      <c r="Q403" s="53"/>
      <c r="R403" s="59"/>
      <c r="W403" s="53">
        <f t="shared" si="5"/>
        <v>0</v>
      </c>
    </row>
    <row r="404" spans="1:23" ht="38.25" hidden="1">
      <c r="A404" s="9"/>
      <c r="B404" s="9" t="s">
        <v>194</v>
      </c>
      <c r="C404" s="9"/>
      <c r="D404" s="60" t="s">
        <v>351</v>
      </c>
      <c r="E404" s="38">
        <f>Місто!E404-'[1]Місто'!E402</f>
        <v>0</v>
      </c>
      <c r="F404" s="38">
        <f>Місто!F404-'[1]Місто'!F402</f>
        <v>0</v>
      </c>
      <c r="G404" s="38">
        <f>Місто!G404-'[1]Місто'!G402</f>
        <v>0</v>
      </c>
      <c r="H404" s="38">
        <f>Місто!H404-'[1]Місто'!H402</f>
        <v>0</v>
      </c>
      <c r="I404" s="38">
        <f>Місто!I404-'[1]Місто'!I402</f>
        <v>0</v>
      </c>
      <c r="J404" s="38">
        <f>Місто!J404-'[1]Місто'!J402</f>
        <v>0</v>
      </c>
      <c r="K404" s="38">
        <f>Місто!K404-'[1]Місто'!K402</f>
        <v>0</v>
      </c>
      <c r="L404" s="38">
        <f>Місто!L404-'[1]Місто'!L402</f>
        <v>0</v>
      </c>
      <c r="M404" s="38">
        <f>Місто!M404-'[1]Місто'!M402</f>
        <v>0</v>
      </c>
      <c r="N404" s="38">
        <f>Місто!N404-'[1]Місто'!N402</f>
        <v>0</v>
      </c>
      <c r="O404" s="38">
        <f>Місто!O404-'[1]Місто'!O402</f>
        <v>0</v>
      </c>
      <c r="P404" s="55">
        <f>Місто!P404-'[1]Місто'!P402</f>
        <v>0</v>
      </c>
      <c r="Q404" s="53"/>
      <c r="R404" s="59"/>
      <c r="W404" s="53">
        <f t="shared" si="5"/>
        <v>0</v>
      </c>
    </row>
    <row r="405" spans="1:23" ht="38.25" hidden="1">
      <c r="A405" s="9"/>
      <c r="B405" s="9" t="s">
        <v>285</v>
      </c>
      <c r="C405" s="9"/>
      <c r="D405" s="73" t="s">
        <v>241</v>
      </c>
      <c r="E405" s="38">
        <f>Місто!E405-'[1]Місто'!E403</f>
        <v>0</v>
      </c>
      <c r="F405" s="38">
        <f>Місто!F405-'[1]Місто'!F403</f>
        <v>0</v>
      </c>
      <c r="G405" s="38">
        <f>Місто!G405-'[1]Місто'!G403</f>
        <v>0</v>
      </c>
      <c r="H405" s="38">
        <f>Місто!H405-'[1]Місто'!H403</f>
        <v>0</v>
      </c>
      <c r="I405" s="38">
        <f>Місто!I405-'[1]Місто'!I403</f>
        <v>0</v>
      </c>
      <c r="J405" s="38">
        <f>Місто!J405-'[1]Місто'!J403</f>
        <v>0</v>
      </c>
      <c r="K405" s="38">
        <f>Місто!K405-'[1]Місто'!K403</f>
        <v>0</v>
      </c>
      <c r="L405" s="38">
        <f>Місто!L405-'[1]Місто'!L403</f>
        <v>0</v>
      </c>
      <c r="M405" s="38">
        <f>Місто!M405-'[1]Місто'!M403</f>
        <v>0</v>
      </c>
      <c r="N405" s="38">
        <f>Місто!N405-'[1]Місто'!N403</f>
        <v>0</v>
      </c>
      <c r="O405" s="38">
        <f>Місто!O405-'[1]Місто'!O403</f>
        <v>0</v>
      </c>
      <c r="P405" s="55">
        <f>Місто!P405-'[1]Місто'!P403</f>
        <v>0</v>
      </c>
      <c r="Q405" s="53"/>
      <c r="R405" s="59"/>
      <c r="W405" s="53">
        <f t="shared" si="5"/>
        <v>0</v>
      </c>
    </row>
    <row r="406" spans="1:23" ht="21" customHeight="1" hidden="1">
      <c r="A406" s="42"/>
      <c r="B406" s="42" t="s">
        <v>371</v>
      </c>
      <c r="C406" s="42"/>
      <c r="D406" s="43" t="s">
        <v>372</v>
      </c>
      <c r="E406" s="37">
        <f>Місто!E406-'[1]Місто'!E404</f>
        <v>26700</v>
      </c>
      <c r="F406" s="37">
        <f>Місто!F406-'[1]Місто'!F404</f>
        <v>26700</v>
      </c>
      <c r="G406" s="37">
        <f>Місто!G406-'[1]Місто'!G404</f>
        <v>0</v>
      </c>
      <c r="H406" s="37">
        <f>Місто!H406-'[1]Місто'!H404</f>
        <v>0</v>
      </c>
      <c r="I406" s="37">
        <f>Місто!I406-'[1]Місто'!I404</f>
        <v>0</v>
      </c>
      <c r="J406" s="38">
        <f>Місто!J406-'[1]Місто'!J404</f>
        <v>0</v>
      </c>
      <c r="K406" s="37">
        <f>Місто!K406-'[1]Місто'!K404</f>
        <v>0</v>
      </c>
      <c r="L406" s="37">
        <f>Місто!L406-'[1]Місто'!L404</f>
        <v>0</v>
      </c>
      <c r="M406" s="37">
        <f>Місто!M406-'[1]Місто'!M404</f>
        <v>0</v>
      </c>
      <c r="N406" s="38">
        <f>Місто!N406-'[1]Місто'!N404</f>
        <v>0</v>
      </c>
      <c r="O406" s="37">
        <f>Місто!O406-'[1]Місто'!O404</f>
        <v>0</v>
      </c>
      <c r="P406" s="55">
        <f>Місто!P406-'[1]Місто'!P404</f>
        <v>26700</v>
      </c>
      <c r="Q406" s="53"/>
      <c r="R406" s="59"/>
      <c r="W406" s="53">
        <f t="shared" si="5"/>
        <v>0</v>
      </c>
    </row>
    <row r="407" spans="1:23" ht="12.75" hidden="1">
      <c r="A407" s="42"/>
      <c r="B407" s="42" t="s">
        <v>288</v>
      </c>
      <c r="C407" s="86" t="s">
        <v>444</v>
      </c>
      <c r="D407" s="43" t="s">
        <v>316</v>
      </c>
      <c r="E407" s="108">
        <f>Місто!E407-'[1]Місто'!E405</f>
        <v>26700</v>
      </c>
      <c r="F407" s="108">
        <f>Місто!F407-'[1]Місто'!F405</f>
        <v>26700</v>
      </c>
      <c r="G407" s="37">
        <f>Місто!G407-'[1]Місто'!G405</f>
        <v>0</v>
      </c>
      <c r="H407" s="37">
        <f>Місто!H407-'[1]Місто'!H405</f>
        <v>0</v>
      </c>
      <c r="I407" s="37">
        <f>Місто!I407-'[1]Місто'!I405</f>
        <v>0</v>
      </c>
      <c r="J407" s="37">
        <f>Місто!J407-'[1]Місто'!J405</f>
        <v>0</v>
      </c>
      <c r="K407" s="37">
        <f>Місто!K407-'[1]Місто'!K405</f>
        <v>0</v>
      </c>
      <c r="L407" s="37">
        <f>Місто!L407-'[1]Місто'!L405</f>
        <v>0</v>
      </c>
      <c r="M407" s="37">
        <f>Місто!M407-'[1]Місто'!M405</f>
        <v>0</v>
      </c>
      <c r="N407" s="37">
        <f>Місто!N407-'[1]Місто'!N405</f>
        <v>0</v>
      </c>
      <c r="O407" s="37">
        <f>Місто!O407-'[1]Місто'!O405</f>
        <v>0</v>
      </c>
      <c r="P407" s="55">
        <f>Місто!P407-'[1]Місто'!P405</f>
        <v>26700</v>
      </c>
      <c r="Q407" s="53"/>
      <c r="R407" s="59"/>
      <c r="W407" s="53">
        <f t="shared" si="5"/>
        <v>0</v>
      </c>
    </row>
    <row r="408" spans="1:23" s="158" customFormat="1" ht="25.5" hidden="1">
      <c r="A408" s="159"/>
      <c r="B408" s="159"/>
      <c r="C408" s="159"/>
      <c r="D408" s="160" t="s">
        <v>110</v>
      </c>
      <c r="E408" s="154">
        <f>Місто!E408-'[1]Місто'!E406</f>
        <v>26700</v>
      </c>
      <c r="F408" s="154">
        <f>Місто!F408-'[1]Місто'!F406</f>
        <v>26700</v>
      </c>
      <c r="G408" s="161">
        <f>Місто!G408-'[1]Місто'!G406</f>
        <v>0</v>
      </c>
      <c r="H408" s="161">
        <f>Місто!H408-'[1]Місто'!H406</f>
        <v>0</v>
      </c>
      <c r="I408" s="161">
        <f>Місто!I408-'[1]Місто'!I406</f>
        <v>0</v>
      </c>
      <c r="J408" s="161">
        <f>Місто!J408-'[1]Місто'!J406</f>
        <v>0</v>
      </c>
      <c r="K408" s="161">
        <f>Місто!K408-'[1]Місто'!K406</f>
        <v>0</v>
      </c>
      <c r="L408" s="161">
        <f>Місто!L408-'[1]Місто'!L406</f>
        <v>0</v>
      </c>
      <c r="M408" s="161">
        <f>Місто!M408-'[1]Місто'!M406</f>
        <v>0</v>
      </c>
      <c r="N408" s="161">
        <f>Місто!N408-'[1]Місто'!N406</f>
        <v>0</v>
      </c>
      <c r="O408" s="161">
        <f>Місто!O408-'[1]Місто'!O406</f>
        <v>0</v>
      </c>
      <c r="P408" s="155">
        <f>Місто!P408-'[1]Місто'!P406</f>
        <v>26700</v>
      </c>
      <c r="Q408" s="156"/>
      <c r="R408" s="157"/>
      <c r="W408" s="156">
        <f t="shared" si="5"/>
        <v>0</v>
      </c>
    </row>
    <row r="409" spans="1:23" ht="28.5" customHeight="1">
      <c r="A409" s="98"/>
      <c r="B409" s="98" t="s">
        <v>184</v>
      </c>
      <c r="C409" s="98"/>
      <c r="D409" s="100" t="s">
        <v>130</v>
      </c>
      <c r="E409" s="51">
        <f>Місто!E409-'[1]Місто'!E407</f>
        <v>12891866</v>
      </c>
      <c r="F409" s="51">
        <f>Місто!F409-'[1]Місто'!F407</f>
        <v>32514536</v>
      </c>
      <c r="G409" s="51">
        <f>Місто!G409-'[1]Місто'!G407</f>
        <v>0</v>
      </c>
      <c r="H409" s="51">
        <f>Місто!H409-'[1]Місто'!H407</f>
        <v>0</v>
      </c>
      <c r="I409" s="51">
        <f>Місто!I409-'[1]Місто'!I407</f>
        <v>0</v>
      </c>
      <c r="J409" s="51">
        <f>Місто!J409-'[1]Місто'!J407</f>
        <v>3798382</v>
      </c>
      <c r="K409" s="51">
        <f>Місто!K409-'[1]Місто'!K407</f>
        <v>0</v>
      </c>
      <c r="L409" s="51">
        <f>Місто!L409-'[1]Місто'!L407</f>
        <v>0</v>
      </c>
      <c r="M409" s="51">
        <f>Місто!M409-'[1]Місто'!M407</f>
        <v>0</v>
      </c>
      <c r="N409" s="51">
        <f>Місто!N409-'[1]Місто'!N407</f>
        <v>3798382</v>
      </c>
      <c r="O409" s="51">
        <f>Місто!O409-'[1]Місто'!O407</f>
        <v>3798382</v>
      </c>
      <c r="P409" s="52">
        <f>Місто!P409-'[1]Місто'!P407</f>
        <v>16690248</v>
      </c>
      <c r="Q409" s="53"/>
      <c r="R409" s="59"/>
      <c r="W409" s="53">
        <f t="shared" si="5"/>
        <v>0</v>
      </c>
    </row>
    <row r="410" spans="1:23" ht="14.25" customHeight="1">
      <c r="A410" s="42"/>
      <c r="B410" s="42" t="s">
        <v>371</v>
      </c>
      <c r="C410" s="42"/>
      <c r="D410" s="43" t="s">
        <v>372</v>
      </c>
      <c r="E410" s="37">
        <f>Місто!E410-'[1]Місто'!E408</f>
        <v>12891866</v>
      </c>
      <c r="F410" s="37">
        <f>Місто!F410-'[1]Місто'!F408</f>
        <v>32514536</v>
      </c>
      <c r="G410" s="37">
        <f>Місто!G410-'[1]Місто'!G408</f>
        <v>0</v>
      </c>
      <c r="H410" s="37">
        <f>Місто!H410-'[1]Місто'!H408</f>
        <v>0</v>
      </c>
      <c r="I410" s="37">
        <f>Місто!I410-'[1]Місто'!I408</f>
        <v>0</v>
      </c>
      <c r="J410" s="37">
        <f>Місто!J410-'[1]Місто'!J408</f>
        <v>3798382</v>
      </c>
      <c r="K410" s="37">
        <f>Місто!K410-'[1]Місто'!K408</f>
        <v>0</v>
      </c>
      <c r="L410" s="37">
        <f>Місто!L410-'[1]Місто'!L408</f>
        <v>0</v>
      </c>
      <c r="M410" s="37">
        <f>Місто!M410-'[1]Місто'!M408</f>
        <v>0</v>
      </c>
      <c r="N410" s="37">
        <f>Місто!N410-'[1]Місто'!N408</f>
        <v>3798382</v>
      </c>
      <c r="O410" s="37">
        <f>Місто!O410-'[1]Місто'!O408</f>
        <v>3798382</v>
      </c>
      <c r="P410" s="55">
        <f>Місто!P410-'[1]Місто'!P408</f>
        <v>16690248</v>
      </c>
      <c r="Q410" s="53"/>
      <c r="R410" s="59"/>
      <c r="W410" s="53">
        <f t="shared" si="5"/>
        <v>0</v>
      </c>
    </row>
    <row r="411" spans="1:23" ht="12.75" hidden="1">
      <c r="A411" s="42"/>
      <c r="B411" s="86" t="s">
        <v>421</v>
      </c>
      <c r="C411" s="86" t="s">
        <v>444</v>
      </c>
      <c r="D411" s="72" t="s">
        <v>422</v>
      </c>
      <c r="E411" s="37">
        <f>Місто!E411-'[1]Місто'!E409</f>
        <v>0</v>
      </c>
      <c r="F411" s="37">
        <f>Місто!F411-'[1]Місто'!F409</f>
        <v>0</v>
      </c>
      <c r="G411" s="37">
        <f>Місто!G411-'[1]Місто'!G409</f>
        <v>0</v>
      </c>
      <c r="H411" s="37">
        <f>Місто!H411-'[1]Місто'!H409</f>
        <v>0</v>
      </c>
      <c r="I411" s="37">
        <f>Місто!I411-'[1]Місто'!I409</f>
        <v>0</v>
      </c>
      <c r="J411" s="37">
        <f>Місто!J411-'[1]Місто'!J409</f>
        <v>0</v>
      </c>
      <c r="K411" s="37">
        <f>Місто!K411-'[1]Місто'!K409</f>
        <v>0</v>
      </c>
      <c r="L411" s="37">
        <f>Місто!L411-'[1]Місто'!L409</f>
        <v>0</v>
      </c>
      <c r="M411" s="37">
        <f>Місто!M411-'[1]Місто'!M409</f>
        <v>0</v>
      </c>
      <c r="N411" s="37">
        <f>Місто!N411-'[1]Місто'!N409</f>
        <v>0</v>
      </c>
      <c r="O411" s="37">
        <f>Місто!O411-'[1]Місто'!O409</f>
        <v>0</v>
      </c>
      <c r="P411" s="55">
        <f>Місто!P411-'[1]Місто'!P409</f>
        <v>0</v>
      </c>
      <c r="Q411" s="53"/>
      <c r="R411" s="59"/>
      <c r="W411" s="53"/>
    </row>
    <row r="412" spans="1:23" s="54" customFormat="1" ht="12.75">
      <c r="A412" s="86"/>
      <c r="B412" s="86" t="s">
        <v>290</v>
      </c>
      <c r="C412" s="86" t="s">
        <v>480</v>
      </c>
      <c r="D412" s="72" t="s">
        <v>420</v>
      </c>
      <c r="E412" s="37">
        <f>Місто!E412-'[1]Місто'!E410</f>
        <v>30287100</v>
      </c>
      <c r="F412" s="37">
        <f>Місто!F412-'[1]Місто'!F410</f>
        <v>30287100</v>
      </c>
      <c r="G412" s="37">
        <f>Місто!G412-'[1]Місто'!G410</f>
        <v>0</v>
      </c>
      <c r="H412" s="37">
        <f>Місто!H412-'[1]Місто'!H410</f>
        <v>0</v>
      </c>
      <c r="I412" s="37">
        <f>Місто!I412-'[1]Місто'!I410</f>
        <v>0</v>
      </c>
      <c r="J412" s="37">
        <f>Місто!J412-'[1]Місто'!J410</f>
        <v>0</v>
      </c>
      <c r="K412" s="37">
        <f>Місто!K412-'[1]Місто'!K410</f>
        <v>0</v>
      </c>
      <c r="L412" s="37">
        <f>Місто!L412-'[1]Місто'!L410</f>
        <v>0</v>
      </c>
      <c r="M412" s="37">
        <f>Місто!M412-'[1]Місто'!M410</f>
        <v>0</v>
      </c>
      <c r="N412" s="37">
        <f>Місто!N412-'[1]Місто'!N410</f>
        <v>0</v>
      </c>
      <c r="O412" s="37">
        <f>Місто!O412-'[1]Місто'!O410</f>
        <v>0</v>
      </c>
      <c r="P412" s="55">
        <f>Місто!P412-'[1]Місто'!P410</f>
        <v>30287100</v>
      </c>
      <c r="Q412" s="53"/>
      <c r="R412" s="53"/>
      <c r="W412" s="53">
        <f t="shared" si="5"/>
        <v>0</v>
      </c>
    </row>
    <row r="413" spans="1:23" ht="12.75">
      <c r="A413" s="42"/>
      <c r="B413" s="86" t="s">
        <v>421</v>
      </c>
      <c r="C413" s="42"/>
      <c r="D413" s="72" t="s">
        <v>422</v>
      </c>
      <c r="E413" s="37">
        <f>Місто!E413-'[1]Місто'!E411</f>
        <v>-19622670</v>
      </c>
      <c r="F413" s="37">
        <f>Місто!F413-'[1]Місто'!F411</f>
        <v>0</v>
      </c>
      <c r="G413" s="37">
        <f>Місто!G413-'[1]Місто'!G411</f>
        <v>0</v>
      </c>
      <c r="H413" s="37">
        <f>Місто!H413-'[1]Місто'!H411</f>
        <v>0</v>
      </c>
      <c r="I413" s="37">
        <f>Місто!I413-'[1]Місто'!I411</f>
        <v>0</v>
      </c>
      <c r="J413" s="38">
        <f>Місто!J413-'[1]Місто'!J411</f>
        <v>0</v>
      </c>
      <c r="K413" s="37">
        <f>Місто!K413-'[1]Місто'!K411</f>
        <v>0</v>
      </c>
      <c r="L413" s="37">
        <f>Місто!L413-'[1]Місто'!L411</f>
        <v>0</v>
      </c>
      <c r="M413" s="37">
        <f>Місто!M413-'[1]Місто'!M411</f>
        <v>0</v>
      </c>
      <c r="N413" s="38">
        <f>Місто!N413-'[1]Місто'!N411</f>
        <v>0</v>
      </c>
      <c r="O413" s="170">
        <f>Місто!O413-'[1]Місто'!O411</f>
        <v>0</v>
      </c>
      <c r="P413" s="55">
        <f>Місто!P413-'[1]Місто'!P411</f>
        <v>-19622670</v>
      </c>
      <c r="Q413" s="53"/>
      <c r="R413" s="59"/>
      <c r="W413" s="53">
        <f>N413-O413</f>
        <v>0</v>
      </c>
    </row>
    <row r="414" spans="1:23" s="57" customFormat="1" ht="51" hidden="1">
      <c r="A414" s="39"/>
      <c r="B414" s="39" t="s">
        <v>81</v>
      </c>
      <c r="C414" s="39"/>
      <c r="D414" s="68" t="s">
        <v>155</v>
      </c>
      <c r="E414" s="38">
        <f>Місто!E414-'[1]Місто'!E412</f>
        <v>2227436</v>
      </c>
      <c r="F414" s="38">
        <f>Місто!F414-'[1]Місто'!F412</f>
        <v>2227436</v>
      </c>
      <c r="G414" s="38">
        <f>Місто!G414-'[1]Місто'!G412</f>
        <v>0</v>
      </c>
      <c r="H414" s="38">
        <f>Місто!H414-'[1]Місто'!H412</f>
        <v>0</v>
      </c>
      <c r="I414" s="38">
        <f>Місто!I414-'[1]Місто'!I412</f>
        <v>0</v>
      </c>
      <c r="J414" s="38">
        <f>Місто!J414-'[1]Місто'!J412</f>
        <v>3698382</v>
      </c>
      <c r="K414" s="38">
        <f>Місто!K414-'[1]Місто'!K412</f>
        <v>0</v>
      </c>
      <c r="L414" s="38">
        <f>Місто!L414-'[1]Місто'!L412</f>
        <v>0</v>
      </c>
      <c r="M414" s="38">
        <f>Місто!M414-'[1]Місто'!M412</f>
        <v>0</v>
      </c>
      <c r="N414" s="38">
        <f>Місто!N414-'[1]Місто'!N412</f>
        <v>3698382</v>
      </c>
      <c r="O414" s="38">
        <f>Місто!O414-'[1]Місто'!O412</f>
        <v>3698382</v>
      </c>
      <c r="P414" s="55">
        <f>Місто!P414-'[1]Місто'!P412</f>
        <v>5925818</v>
      </c>
      <c r="Q414" s="53"/>
      <c r="R414" s="56"/>
      <c r="W414" s="53">
        <f aca="true" t="shared" si="6" ref="W414:W486">N414-O414</f>
        <v>0</v>
      </c>
    </row>
    <row r="415" spans="1:23" s="57" customFormat="1" ht="12.75" hidden="1">
      <c r="A415" s="74"/>
      <c r="B415" s="74" t="s">
        <v>228</v>
      </c>
      <c r="C415" s="74" t="s">
        <v>480</v>
      </c>
      <c r="D415" s="68" t="s">
        <v>227</v>
      </c>
      <c r="E415" s="38">
        <f>Місто!E415-'[1]Місто'!E413</f>
        <v>0</v>
      </c>
      <c r="F415" s="38">
        <f>Місто!F415-'[1]Місто'!F413</f>
        <v>0</v>
      </c>
      <c r="G415" s="38">
        <f>Місто!G415-'[1]Місто'!G413</f>
        <v>0</v>
      </c>
      <c r="H415" s="38">
        <f>Місто!H415-'[1]Місто'!H413</f>
        <v>0</v>
      </c>
      <c r="I415" s="38">
        <f>Місто!I415-'[1]Місто'!I413</f>
        <v>0</v>
      </c>
      <c r="J415" s="38">
        <f>Місто!J415-'[1]Місто'!J413</f>
        <v>100000</v>
      </c>
      <c r="K415" s="38">
        <f>Місто!K415-'[1]Місто'!K413</f>
        <v>0</v>
      </c>
      <c r="L415" s="38">
        <f>Місто!L415-'[1]Місто'!L413</f>
        <v>0</v>
      </c>
      <c r="M415" s="38">
        <f>Місто!M415-'[1]Місто'!M413</f>
        <v>0</v>
      </c>
      <c r="N415" s="38">
        <f>Місто!N415-'[1]Місто'!N413</f>
        <v>100000</v>
      </c>
      <c r="O415" s="38">
        <f>Місто!O415-'[1]Місто'!O413</f>
        <v>100000</v>
      </c>
      <c r="P415" s="55">
        <f>Місто!P415-'[1]Місто'!P413</f>
        <v>100000</v>
      </c>
      <c r="Q415" s="53"/>
      <c r="R415" s="56"/>
      <c r="W415" s="53">
        <f t="shared" si="6"/>
        <v>0</v>
      </c>
    </row>
    <row r="416" spans="1:23" s="57" customFormat="1" ht="51" hidden="1">
      <c r="A416" s="74"/>
      <c r="B416" s="39" t="s">
        <v>81</v>
      </c>
      <c r="C416" s="74" t="s">
        <v>480</v>
      </c>
      <c r="D416" s="68" t="s">
        <v>155</v>
      </c>
      <c r="E416" s="38" t="e">
        <f>Місто!#REF!-'[1]Місто'!E414</f>
        <v>#REF!</v>
      </c>
      <c r="F416" s="38" t="e">
        <f>Місто!#REF!-'[1]Місто'!F414</f>
        <v>#REF!</v>
      </c>
      <c r="G416" s="38" t="e">
        <f>Місто!#REF!-'[1]Місто'!G414</f>
        <v>#REF!</v>
      </c>
      <c r="H416" s="38" t="e">
        <f>Місто!#REF!-'[1]Місто'!H414</f>
        <v>#REF!</v>
      </c>
      <c r="I416" s="38" t="e">
        <f>Місто!#REF!-'[1]Місто'!I414</f>
        <v>#REF!</v>
      </c>
      <c r="J416" s="38" t="e">
        <f>Місто!#REF!-'[1]Місто'!J414</f>
        <v>#REF!</v>
      </c>
      <c r="K416" s="38" t="e">
        <f>Місто!#REF!-'[1]Місто'!K414</f>
        <v>#REF!</v>
      </c>
      <c r="L416" s="38" t="e">
        <f>Місто!#REF!-'[1]Місто'!L414</f>
        <v>#REF!</v>
      </c>
      <c r="M416" s="38" t="e">
        <f>Місто!#REF!-'[1]Місто'!M414</f>
        <v>#REF!</v>
      </c>
      <c r="N416" s="38" t="e">
        <f>Місто!#REF!-'[1]Місто'!N414</f>
        <v>#REF!</v>
      </c>
      <c r="O416" s="37" t="e">
        <f>Місто!#REF!-'[1]Місто'!O414</f>
        <v>#REF!</v>
      </c>
      <c r="P416" s="55" t="e">
        <f>Місто!#REF!-'[1]Місто'!P414</f>
        <v>#REF!</v>
      </c>
      <c r="Q416" s="53"/>
      <c r="R416" s="56"/>
      <c r="W416" s="53"/>
    </row>
    <row r="417" spans="1:23" s="19" customFormat="1" ht="25.5">
      <c r="A417" s="18"/>
      <c r="B417" s="18" t="s">
        <v>162</v>
      </c>
      <c r="C417" s="18"/>
      <c r="D417" s="20" t="s">
        <v>138</v>
      </c>
      <c r="E417" s="31">
        <f>Місто!E416-'[1]Місто'!E415</f>
        <v>24019865</v>
      </c>
      <c r="F417" s="31">
        <f>Місто!F416-'[1]Місто'!F415</f>
        <v>24019865</v>
      </c>
      <c r="G417" s="31">
        <f>Місто!G416-'[1]Місто'!G415</f>
        <v>383316</v>
      </c>
      <c r="H417" s="31">
        <f>Місто!H416-'[1]Місто'!H415</f>
        <v>166573</v>
      </c>
      <c r="I417" s="31">
        <f>Місто!I416-'[1]Місто'!I415</f>
        <v>0</v>
      </c>
      <c r="J417" s="31">
        <f>Місто!J416-'[1]Місто'!J415</f>
        <v>3861303</v>
      </c>
      <c r="K417" s="31">
        <f>Місто!K416-'[1]Місто'!K415</f>
        <v>0</v>
      </c>
      <c r="L417" s="31">
        <f>Місто!L416-'[1]Місто'!L415</f>
        <v>0</v>
      </c>
      <c r="M417" s="31">
        <f>Місто!M416-'[1]Місто'!M415</f>
        <v>0</v>
      </c>
      <c r="N417" s="31">
        <f>Місто!N416-'[1]Місто'!N415</f>
        <v>3861303</v>
      </c>
      <c r="O417" s="31">
        <f>Місто!O416-'[1]Місто'!O415</f>
        <v>3861303</v>
      </c>
      <c r="P417" s="30">
        <f>Місто!P416-'[1]Місто'!P415</f>
        <v>27881168</v>
      </c>
      <c r="Q417" s="53"/>
      <c r="W417" s="53">
        <f t="shared" si="6"/>
        <v>0</v>
      </c>
    </row>
    <row r="418" spans="1:23" s="3" customFormat="1" ht="12.75">
      <c r="A418" s="9"/>
      <c r="B418" s="9" t="s">
        <v>362</v>
      </c>
      <c r="C418" s="9"/>
      <c r="D418" s="4" t="s">
        <v>363</v>
      </c>
      <c r="E418" s="27">
        <f>Місто!E417-'[1]Місто'!E416</f>
        <v>139569</v>
      </c>
      <c r="F418" s="27">
        <f>Місто!F417-'[1]Місто'!F416</f>
        <v>139569</v>
      </c>
      <c r="G418" s="27">
        <f>Місто!G417-'[1]Місто'!G416</f>
        <v>383316</v>
      </c>
      <c r="H418" s="27">
        <f>Місто!H417-'[1]Місто'!H416</f>
        <v>0</v>
      </c>
      <c r="I418" s="27">
        <f>Місто!I417-'[1]Місто'!I416</f>
        <v>0</v>
      </c>
      <c r="J418" s="27">
        <f>Місто!J417-'[1]Місто'!J416</f>
        <v>179934</v>
      </c>
      <c r="K418" s="27">
        <f>Місто!K417-'[1]Місто'!K416</f>
        <v>0</v>
      </c>
      <c r="L418" s="27">
        <f>Місто!L417-'[1]Місто'!L416</f>
        <v>0</v>
      </c>
      <c r="M418" s="27">
        <f>Місто!M417-'[1]Місто'!M416</f>
        <v>0</v>
      </c>
      <c r="N418" s="27">
        <f>Місто!N417-'[1]Місто'!N416</f>
        <v>179934</v>
      </c>
      <c r="O418" s="27">
        <f>Місто!O417-'[1]Місто'!O416</f>
        <v>179934</v>
      </c>
      <c r="P418" s="26">
        <f>Місто!P417-'[1]Місто'!P416</f>
        <v>319503</v>
      </c>
      <c r="Q418" s="53"/>
      <c r="W418" s="53">
        <f t="shared" si="6"/>
        <v>0</v>
      </c>
    </row>
    <row r="419" spans="1:23" s="3" customFormat="1" ht="12.75">
      <c r="A419" s="9"/>
      <c r="B419" s="9" t="s">
        <v>249</v>
      </c>
      <c r="C419" s="9" t="s">
        <v>441</v>
      </c>
      <c r="D419" s="4" t="s">
        <v>250</v>
      </c>
      <c r="E419" s="27">
        <f>Місто!E418-'[1]Місто'!E417</f>
        <v>139569</v>
      </c>
      <c r="F419" s="27">
        <f>Місто!F418-'[1]Місто'!F417</f>
        <v>139569</v>
      </c>
      <c r="G419" s="27">
        <f>Місто!G418-'[1]Місто'!G417</f>
        <v>383316</v>
      </c>
      <c r="H419" s="27">
        <f>Місто!H418-'[1]Місто'!H417</f>
        <v>0</v>
      </c>
      <c r="I419" s="27">
        <f>Місто!I418-'[1]Місто'!I417</f>
        <v>0</v>
      </c>
      <c r="J419" s="27">
        <f>Місто!J418-'[1]Місто'!J417</f>
        <v>179934</v>
      </c>
      <c r="K419" s="27">
        <f>Місто!K418-'[1]Місто'!K417</f>
        <v>0</v>
      </c>
      <c r="L419" s="27">
        <f>Місто!L418-'[1]Місто'!L417</f>
        <v>0</v>
      </c>
      <c r="M419" s="27">
        <f>Місто!M418-'[1]Місто'!M417</f>
        <v>0</v>
      </c>
      <c r="N419" s="27">
        <f>Місто!N418-'[1]Місто'!N417</f>
        <v>179934</v>
      </c>
      <c r="O419" s="27">
        <f>Місто!O418-'[1]Місто'!O417</f>
        <v>179934</v>
      </c>
      <c r="P419" s="26">
        <f>Місто!P418-'[1]Місто'!P417</f>
        <v>319503</v>
      </c>
      <c r="Q419" s="53"/>
      <c r="W419" s="53">
        <f t="shared" si="6"/>
        <v>0</v>
      </c>
    </row>
    <row r="420" spans="1:23" s="3" customFormat="1" ht="25.5" hidden="1">
      <c r="A420" s="39"/>
      <c r="B420" s="39" t="s">
        <v>271</v>
      </c>
      <c r="C420" s="39"/>
      <c r="D420" s="58" t="s">
        <v>317</v>
      </c>
      <c r="E420" s="27">
        <f>Місто!E419-'[1]Місто'!E418</f>
        <v>0</v>
      </c>
      <c r="F420" s="27">
        <f>Місто!F419-'[1]Місто'!F418</f>
        <v>0</v>
      </c>
      <c r="G420" s="27">
        <f>Місто!G419-'[1]Місто'!G418</f>
        <v>0</v>
      </c>
      <c r="H420" s="27">
        <f>Місто!H419-'[1]Місто'!H418</f>
        <v>0</v>
      </c>
      <c r="I420" s="27">
        <f>Місто!I419-'[1]Місто'!I418</f>
        <v>0</v>
      </c>
      <c r="J420" s="27">
        <f>Місто!J419-'[1]Місто'!J418</f>
        <v>0</v>
      </c>
      <c r="K420" s="27">
        <f>Місто!K419-'[1]Місто'!K418</f>
        <v>0</v>
      </c>
      <c r="L420" s="27">
        <f>Місто!L419-'[1]Місто'!L418</f>
        <v>0</v>
      </c>
      <c r="M420" s="27">
        <f>Місто!M419-'[1]Місто'!M418</f>
        <v>0</v>
      </c>
      <c r="N420" s="27">
        <f>Місто!N419-'[1]Місто'!N418</f>
        <v>0</v>
      </c>
      <c r="O420" s="27">
        <f>Місто!O419-'[1]Місто'!O418</f>
        <v>0</v>
      </c>
      <c r="P420" s="26">
        <f>Місто!P419-'[1]Місто'!P418</f>
        <v>0</v>
      </c>
      <c r="Q420" s="53"/>
      <c r="W420" s="53">
        <f t="shared" si="6"/>
        <v>0</v>
      </c>
    </row>
    <row r="421" spans="1:23" s="3" customFormat="1" ht="25.5" hidden="1">
      <c r="A421" s="39"/>
      <c r="B421" s="39" t="s">
        <v>272</v>
      </c>
      <c r="C421" s="74" t="s">
        <v>465</v>
      </c>
      <c r="D421" s="36" t="s">
        <v>331</v>
      </c>
      <c r="E421" s="27">
        <f>Місто!E420-'[1]Місто'!E419</f>
        <v>0</v>
      </c>
      <c r="F421" s="27">
        <f>Місто!F420-'[1]Місто'!F419</f>
        <v>0</v>
      </c>
      <c r="G421" s="27">
        <f>Місто!G420-'[1]Місто'!G419</f>
        <v>0</v>
      </c>
      <c r="H421" s="27">
        <f>Місто!H420-'[1]Місто'!H419</f>
        <v>0</v>
      </c>
      <c r="I421" s="27">
        <f>Місто!I420-'[1]Місто'!I419</f>
        <v>0</v>
      </c>
      <c r="J421" s="27">
        <f>Місто!J420-'[1]Місто'!J419</f>
        <v>0</v>
      </c>
      <c r="K421" s="27">
        <f>Місто!K420-'[1]Місто'!K419</f>
        <v>0</v>
      </c>
      <c r="L421" s="27">
        <f>Місто!L420-'[1]Місто'!L419</f>
        <v>0</v>
      </c>
      <c r="M421" s="27">
        <f>Місто!M420-'[1]Місто'!M419</f>
        <v>0</v>
      </c>
      <c r="N421" s="27">
        <f>Місто!N420-'[1]Місто'!N419</f>
        <v>0</v>
      </c>
      <c r="O421" s="27">
        <f>Місто!O420-'[1]Місто'!O419</f>
        <v>0</v>
      </c>
      <c r="P421" s="26">
        <f>Місто!P420-'[1]Місто'!P419</f>
        <v>0</v>
      </c>
      <c r="Q421" s="53"/>
      <c r="W421" s="53">
        <f t="shared" si="6"/>
        <v>0</v>
      </c>
    </row>
    <row r="422" spans="1:23" s="3" customFormat="1" ht="12.75">
      <c r="A422" s="9"/>
      <c r="B422" s="9" t="s">
        <v>374</v>
      </c>
      <c r="C422" s="9"/>
      <c r="D422" s="4" t="s">
        <v>375</v>
      </c>
      <c r="E422" s="27">
        <f>Місто!E421-'[1]Місто'!E420</f>
        <v>23753026</v>
      </c>
      <c r="F422" s="27">
        <f>Місто!F421-'[1]Місто'!F420</f>
        <v>23753026</v>
      </c>
      <c r="G422" s="27">
        <f>Місто!G421-'[1]Місто'!G420</f>
        <v>0</v>
      </c>
      <c r="H422" s="27">
        <f>Місто!H421-'[1]Місто'!H420</f>
        <v>166573</v>
      </c>
      <c r="I422" s="27">
        <f>Місто!I421-'[1]Місто'!I420</f>
        <v>0</v>
      </c>
      <c r="J422" s="27">
        <f>Місто!J421-'[1]Місто'!J420</f>
        <v>199891</v>
      </c>
      <c r="K422" s="27">
        <f>Місто!K421-'[1]Місто'!K420</f>
        <v>0</v>
      </c>
      <c r="L422" s="27">
        <f>Місто!L421-'[1]Місто'!L420</f>
        <v>0</v>
      </c>
      <c r="M422" s="27">
        <f>Місто!M421-'[1]Місто'!M420</f>
        <v>0</v>
      </c>
      <c r="N422" s="27">
        <f>Місто!N421-'[1]Місто'!N420</f>
        <v>199891</v>
      </c>
      <c r="O422" s="27">
        <f>Місто!O421-'[1]Місто'!O420</f>
        <v>199891</v>
      </c>
      <c r="P422" s="26">
        <f>Місто!P421-'[1]Місто'!P420</f>
        <v>23952917</v>
      </c>
      <c r="Q422" s="53"/>
      <c r="W422" s="53">
        <f t="shared" si="6"/>
        <v>0</v>
      </c>
    </row>
    <row r="423" spans="1:23" s="3" customFormat="1" ht="12.75">
      <c r="A423" s="9"/>
      <c r="B423" s="9" t="s">
        <v>102</v>
      </c>
      <c r="C423" s="9" t="s">
        <v>474</v>
      </c>
      <c r="D423" s="4" t="s">
        <v>106</v>
      </c>
      <c r="E423" s="27">
        <f>Місто!E423-'[1]Місто'!E421</f>
        <v>18575404</v>
      </c>
      <c r="F423" s="27">
        <f>Місто!F423-'[1]Місто'!F421</f>
        <v>18575404</v>
      </c>
      <c r="G423" s="27">
        <f>Місто!G423-'[1]Місто'!G421</f>
        <v>0</v>
      </c>
      <c r="H423" s="27">
        <f>Місто!H423-'[1]Місто'!H421</f>
        <v>166573</v>
      </c>
      <c r="I423" s="27">
        <f>Місто!I423-'[1]Місто'!I421</f>
        <v>0</v>
      </c>
      <c r="J423" s="27">
        <f>Місто!J423-'[1]Місто'!J421</f>
        <v>199891</v>
      </c>
      <c r="K423" s="27">
        <f>Місто!K423-'[1]Місто'!K421</f>
        <v>0</v>
      </c>
      <c r="L423" s="27">
        <f>Місто!L423-'[1]Місто'!L421</f>
        <v>0</v>
      </c>
      <c r="M423" s="27">
        <f>Місто!M423-'[1]Місто'!M421</f>
        <v>0</v>
      </c>
      <c r="N423" s="27">
        <f>Місто!N423-'[1]Місто'!N421</f>
        <v>199891</v>
      </c>
      <c r="O423" s="27">
        <f>Місто!O423-'[1]Місто'!O421</f>
        <v>199891</v>
      </c>
      <c r="P423" s="26">
        <f>Місто!P423-'[1]Місто'!P421</f>
        <v>18775295</v>
      </c>
      <c r="Q423" s="53"/>
      <c r="W423" s="53">
        <f t="shared" si="6"/>
        <v>0</v>
      </c>
    </row>
    <row r="424" spans="1:23" s="3" customFormat="1" ht="12.75" hidden="1">
      <c r="A424" s="39"/>
      <c r="B424" s="39" t="s">
        <v>366</v>
      </c>
      <c r="C424" s="39"/>
      <c r="D424" s="60" t="s">
        <v>283</v>
      </c>
      <c r="E424" s="38">
        <f>Місто!E424-'[1]Місто'!E422</f>
        <v>0</v>
      </c>
      <c r="F424" s="38">
        <f>Місто!F424-'[1]Місто'!F422</f>
        <v>0</v>
      </c>
      <c r="G424" s="38">
        <f>Місто!G424-'[1]Місто'!G422</f>
        <v>0</v>
      </c>
      <c r="H424" s="38">
        <f>Місто!H424-'[1]Місто'!H422</f>
        <v>0</v>
      </c>
      <c r="I424" s="38">
        <f>Місто!I424-'[1]Місто'!I422</f>
        <v>0</v>
      </c>
      <c r="J424" s="38">
        <f>Місто!J424-'[1]Місто'!J422</f>
        <v>3481478</v>
      </c>
      <c r="K424" s="38">
        <f>Місто!K424-'[1]Місто'!K422</f>
        <v>0</v>
      </c>
      <c r="L424" s="38">
        <f>Місто!L424-'[1]Місто'!L422</f>
        <v>0</v>
      </c>
      <c r="M424" s="38">
        <f>Місто!M424-'[1]Місто'!M422</f>
        <v>0</v>
      </c>
      <c r="N424" s="38">
        <f>Місто!N424-'[1]Місто'!N422</f>
        <v>3481478</v>
      </c>
      <c r="O424" s="38">
        <f>Місто!O424-'[1]Місто'!O422</f>
        <v>3481478</v>
      </c>
      <c r="P424" s="26">
        <f>Місто!P424-'[1]Місто'!P422</f>
        <v>3481478</v>
      </c>
      <c r="Q424" s="53"/>
      <c r="W424" s="53">
        <f t="shared" si="6"/>
        <v>0</v>
      </c>
    </row>
    <row r="425" spans="1:23" s="3" customFormat="1" ht="12.75" hidden="1">
      <c r="A425" s="39"/>
      <c r="B425" s="39" t="s">
        <v>338</v>
      </c>
      <c r="C425" s="39"/>
      <c r="D425" s="58" t="s">
        <v>339</v>
      </c>
      <c r="E425" s="38">
        <f>Місто!E425-'[1]Місто'!E423</f>
        <v>0</v>
      </c>
      <c r="F425" s="38">
        <f>Місто!F425-'[1]Місто'!F423</f>
        <v>0</v>
      </c>
      <c r="G425" s="38">
        <f>Місто!G425-'[1]Місто'!G423</f>
        <v>0</v>
      </c>
      <c r="H425" s="38">
        <f>Місто!H425-'[1]Місто'!H423</f>
        <v>0</v>
      </c>
      <c r="I425" s="38">
        <f>Місто!I425-'[1]Місто'!I423</f>
        <v>0</v>
      </c>
      <c r="J425" s="38">
        <f>Місто!J425-'[1]Місто'!J423</f>
        <v>3481478</v>
      </c>
      <c r="K425" s="38">
        <f>Місто!K425-'[1]Місто'!K423</f>
        <v>0</v>
      </c>
      <c r="L425" s="38">
        <f>Місто!L425-'[1]Місто'!L423</f>
        <v>0</v>
      </c>
      <c r="M425" s="38">
        <f>Місто!M425-'[1]Місто'!M423</f>
        <v>0</v>
      </c>
      <c r="N425" s="38">
        <f>Місто!N425-'[1]Місто'!N423</f>
        <v>3481478</v>
      </c>
      <c r="O425" s="38">
        <f>Місто!O425-'[1]Місто'!O423</f>
        <v>3481478</v>
      </c>
      <c r="P425" s="26">
        <f>Місто!P425-'[1]Місто'!P423</f>
        <v>3481478</v>
      </c>
      <c r="Q425" s="53"/>
      <c r="W425" s="53">
        <f t="shared" si="6"/>
        <v>0</v>
      </c>
    </row>
    <row r="426" spans="1:23" s="3" customFormat="1" ht="38.25" hidden="1">
      <c r="A426" s="39"/>
      <c r="B426" s="39"/>
      <c r="C426" s="39"/>
      <c r="D426" s="60" t="s">
        <v>351</v>
      </c>
      <c r="E426" s="38">
        <f>Місто!E426-'[1]Місто'!E424</f>
        <v>0</v>
      </c>
      <c r="F426" s="38">
        <f>Місто!F426-'[1]Місто'!F424</f>
        <v>0</v>
      </c>
      <c r="G426" s="38">
        <f>Місто!G426-'[1]Місто'!G424</f>
        <v>0</v>
      </c>
      <c r="H426" s="38">
        <f>Місто!H426-'[1]Місто'!H424</f>
        <v>0</v>
      </c>
      <c r="I426" s="38">
        <f>Місто!I426-'[1]Місто'!I424</f>
        <v>0</v>
      </c>
      <c r="J426" s="38">
        <f>Місто!J426-'[1]Місто'!J424</f>
        <v>0</v>
      </c>
      <c r="K426" s="38">
        <f>Місто!K426-'[1]Місто'!K424</f>
        <v>0</v>
      </c>
      <c r="L426" s="38">
        <f>Місто!L426-'[1]Місто'!L424</f>
        <v>0</v>
      </c>
      <c r="M426" s="38">
        <f>Місто!M426-'[1]Місто'!M424</f>
        <v>0</v>
      </c>
      <c r="N426" s="38">
        <f>Місто!N426-'[1]Місто'!N424</f>
        <v>0</v>
      </c>
      <c r="O426" s="38">
        <f>Місто!O426-'[1]Місто'!O424</f>
        <v>0</v>
      </c>
      <c r="P426" s="26">
        <f>Місто!P426-'[1]Місто'!P424</f>
        <v>0</v>
      </c>
      <c r="Q426" s="53"/>
      <c r="W426" s="53">
        <f t="shared" si="6"/>
        <v>0</v>
      </c>
    </row>
    <row r="427" spans="1:23" s="3" customFormat="1" ht="38.25" hidden="1">
      <c r="A427" s="39"/>
      <c r="B427" s="39" t="s">
        <v>285</v>
      </c>
      <c r="C427" s="39"/>
      <c r="D427" s="73" t="s">
        <v>241</v>
      </c>
      <c r="E427" s="38">
        <f>Місто!E427-'[1]Місто'!E425</f>
        <v>0</v>
      </c>
      <c r="F427" s="38">
        <f>Місто!F427-'[1]Місто'!F425</f>
        <v>0</v>
      </c>
      <c r="G427" s="38">
        <f>Місто!G427-'[1]Місто'!G425</f>
        <v>0</v>
      </c>
      <c r="H427" s="38">
        <f>Місто!H427-'[1]Місто'!H425</f>
        <v>0</v>
      </c>
      <c r="I427" s="38">
        <f>Місто!I427-'[1]Місто'!I425</f>
        <v>0</v>
      </c>
      <c r="J427" s="38">
        <f>Місто!J427-'[1]Місто'!J425</f>
        <v>0</v>
      </c>
      <c r="K427" s="38">
        <f>Місто!K427-'[1]Місто'!K425</f>
        <v>0</v>
      </c>
      <c r="L427" s="38">
        <f>Місто!L427-'[1]Місто'!L425</f>
        <v>0</v>
      </c>
      <c r="M427" s="38">
        <f>Місто!M427-'[1]Місто'!M425</f>
        <v>0</v>
      </c>
      <c r="N427" s="38">
        <f>Місто!N427-'[1]Місто'!N425</f>
        <v>0</v>
      </c>
      <c r="O427" s="38">
        <f>Місто!O427-'[1]Місто'!O425</f>
        <v>0</v>
      </c>
      <c r="P427" s="26">
        <f>Місто!P427-'[1]Місто'!P425</f>
        <v>0</v>
      </c>
      <c r="Q427" s="53"/>
      <c r="W427" s="53">
        <f t="shared" si="6"/>
        <v>0</v>
      </c>
    </row>
    <row r="428" spans="1:23" s="3" customFormat="1" ht="12.75" hidden="1">
      <c r="A428" s="9"/>
      <c r="B428" s="9" t="s">
        <v>369</v>
      </c>
      <c r="C428" s="9"/>
      <c r="D428" s="4" t="s">
        <v>373</v>
      </c>
      <c r="E428" s="27">
        <f>Місто!E428-'[1]Місто'!E426</f>
        <v>0</v>
      </c>
      <c r="F428" s="27">
        <f>Місто!F428-'[1]Місто'!F426</f>
        <v>0</v>
      </c>
      <c r="G428" s="27">
        <f>Місто!G428-'[1]Місто'!G426</f>
        <v>0</v>
      </c>
      <c r="H428" s="27">
        <f>Місто!H428-'[1]Місто'!H426</f>
        <v>0</v>
      </c>
      <c r="I428" s="27">
        <f>Місто!I428-'[1]Місто'!I426</f>
        <v>0</v>
      </c>
      <c r="J428" s="27">
        <f>Місто!J428-'[1]Місто'!J426</f>
        <v>0</v>
      </c>
      <c r="K428" s="27">
        <f>Місто!K428-'[1]Місто'!K426</f>
        <v>0</v>
      </c>
      <c r="L428" s="27">
        <f>Місто!L428-'[1]Місто'!L426</f>
        <v>0</v>
      </c>
      <c r="M428" s="27">
        <f>Місто!M428-'[1]Місто'!M426</f>
        <v>0</v>
      </c>
      <c r="N428" s="27">
        <f>Місто!N428-'[1]Місто'!N426</f>
        <v>0</v>
      </c>
      <c r="O428" s="27">
        <f>Місто!O428-'[1]Місто'!O426</f>
        <v>0</v>
      </c>
      <c r="P428" s="26">
        <f>Місто!P428-'[1]Місто'!P426</f>
        <v>0</v>
      </c>
      <c r="Q428" s="53"/>
      <c r="W428" s="53">
        <f t="shared" si="6"/>
        <v>0</v>
      </c>
    </row>
    <row r="429" spans="1:23" s="3" customFormat="1" ht="63.75" hidden="1">
      <c r="A429" s="9"/>
      <c r="B429" s="9" t="s">
        <v>287</v>
      </c>
      <c r="C429" s="9"/>
      <c r="D429" s="73" t="s">
        <v>109</v>
      </c>
      <c r="E429" s="27">
        <f>Місто!E429-'[1]Місто'!E427</f>
        <v>0</v>
      </c>
      <c r="F429" s="27">
        <f>Місто!F429-'[1]Місто'!F427</f>
        <v>0</v>
      </c>
      <c r="G429" s="27">
        <f>Місто!G429-'[1]Місто'!G427</f>
        <v>0</v>
      </c>
      <c r="H429" s="27">
        <f>Місто!H429-'[1]Місто'!H427</f>
        <v>0</v>
      </c>
      <c r="I429" s="27">
        <f>Місто!I429-'[1]Місто'!I427</f>
        <v>0</v>
      </c>
      <c r="J429" s="27">
        <f>Місто!J429-'[1]Місто'!J427</f>
        <v>0</v>
      </c>
      <c r="K429" s="27">
        <f>Місто!K429-'[1]Місто'!K427</f>
        <v>0</v>
      </c>
      <c r="L429" s="27">
        <f>Місто!L429-'[1]Місто'!L427</f>
        <v>0</v>
      </c>
      <c r="M429" s="27">
        <f>Місто!M429-'[1]Місто'!M427</f>
        <v>0</v>
      </c>
      <c r="N429" s="27">
        <f>Місто!N429-'[1]Місто'!N427</f>
        <v>0</v>
      </c>
      <c r="O429" s="27">
        <f>Місто!O429-'[1]Місто'!O427</f>
        <v>0</v>
      </c>
      <c r="P429" s="26">
        <f>Місто!P429-'[1]Місто'!P427</f>
        <v>0</v>
      </c>
      <c r="Q429" s="53"/>
      <c r="W429" s="53">
        <f t="shared" si="6"/>
        <v>0</v>
      </c>
    </row>
    <row r="430" spans="1:23" s="3" customFormat="1" ht="17.25" customHeight="1">
      <c r="A430" s="9"/>
      <c r="B430" s="9" t="s">
        <v>371</v>
      </c>
      <c r="C430" s="9"/>
      <c r="D430" s="60" t="s">
        <v>372</v>
      </c>
      <c r="E430" s="27">
        <f>Місто!E430-'[1]Місто'!E428</f>
        <v>127270</v>
      </c>
      <c r="F430" s="27">
        <f>Місто!F430-'[1]Місто'!F428</f>
        <v>127270</v>
      </c>
      <c r="G430" s="27">
        <f>Місто!G430-'[1]Місто'!G428</f>
        <v>0</v>
      </c>
      <c r="H430" s="27">
        <f>Місто!H430-'[1]Місто'!H428</f>
        <v>0</v>
      </c>
      <c r="I430" s="27">
        <f>Місто!I430-'[1]Місто'!I428</f>
        <v>0</v>
      </c>
      <c r="J430" s="27">
        <f>Місто!J430-'[1]Місто'!J428</f>
        <v>0</v>
      </c>
      <c r="K430" s="27">
        <f>Місто!K430-'[1]Місто'!K428</f>
        <v>0</v>
      </c>
      <c r="L430" s="27">
        <f>Місто!L430-'[1]Місто'!L428</f>
        <v>0</v>
      </c>
      <c r="M430" s="27">
        <f>Місто!M430-'[1]Місто'!M428</f>
        <v>0</v>
      </c>
      <c r="N430" s="27">
        <f>Місто!N430-'[1]Місто'!N428</f>
        <v>0</v>
      </c>
      <c r="O430" s="27">
        <f>Місто!O430-'[1]Місто'!O428</f>
        <v>0</v>
      </c>
      <c r="P430" s="26">
        <f>Місто!P430-'[1]Місто'!P428</f>
        <v>127270</v>
      </c>
      <c r="Q430" s="53"/>
      <c r="W430" s="53">
        <f t="shared" si="6"/>
        <v>0</v>
      </c>
    </row>
    <row r="431" spans="1:23" s="3" customFormat="1" ht="38.25" hidden="1">
      <c r="A431" s="9"/>
      <c r="B431" s="74" t="s">
        <v>305</v>
      </c>
      <c r="C431" s="74" t="s">
        <v>494</v>
      </c>
      <c r="D431" s="73" t="s">
        <v>12</v>
      </c>
      <c r="E431" s="27">
        <f>Місто!E431-'[1]Місто'!E429</f>
        <v>0</v>
      </c>
      <c r="F431" s="27">
        <f>Місто!F431-'[1]Місто'!F429</f>
        <v>0</v>
      </c>
      <c r="G431" s="27">
        <f>Місто!G431-'[1]Місто'!G429</f>
        <v>0</v>
      </c>
      <c r="H431" s="27">
        <f>Місто!H431-'[1]Місто'!H429</f>
        <v>0</v>
      </c>
      <c r="I431" s="27">
        <f>Місто!I431-'[1]Місто'!I429</f>
        <v>0</v>
      </c>
      <c r="J431" s="27">
        <f>Місто!J431-'[1]Місто'!J429</f>
        <v>0</v>
      </c>
      <c r="K431" s="27">
        <f>Місто!K431-'[1]Місто'!K429</f>
        <v>0</v>
      </c>
      <c r="L431" s="27">
        <f>Місто!L431-'[1]Місто'!L429</f>
        <v>0</v>
      </c>
      <c r="M431" s="27">
        <f>Місто!M431-'[1]Місто'!M429</f>
        <v>0</v>
      </c>
      <c r="N431" s="27">
        <f>Місто!N431-'[1]Місто'!N429</f>
        <v>0</v>
      </c>
      <c r="O431" s="27">
        <f>Місто!O431-'[1]Місто'!O429</f>
        <v>0</v>
      </c>
      <c r="P431" s="26">
        <f>Місто!P431-'[1]Місто'!P429</f>
        <v>0</v>
      </c>
      <c r="Q431" s="53"/>
      <c r="W431" s="53"/>
    </row>
    <row r="432" spans="1:23" s="3" customFormat="1" ht="63.75" hidden="1">
      <c r="A432" s="9"/>
      <c r="B432" s="39"/>
      <c r="C432" s="39"/>
      <c r="D432" s="68" t="s">
        <v>493</v>
      </c>
      <c r="E432" s="27">
        <f>Місто!E432-'[1]Місто'!E430</f>
        <v>0</v>
      </c>
      <c r="F432" s="27">
        <f>Місто!F432-'[1]Місто'!F430</f>
        <v>0</v>
      </c>
      <c r="G432" s="27">
        <f>Місто!G432-'[1]Місто'!G430</f>
        <v>0</v>
      </c>
      <c r="H432" s="27">
        <f>Місто!H432-'[1]Місто'!H430</f>
        <v>0</v>
      </c>
      <c r="I432" s="27">
        <f>Місто!I432-'[1]Місто'!I430</f>
        <v>0</v>
      </c>
      <c r="J432" s="27">
        <f>Місто!J432-'[1]Місто'!J430</f>
        <v>0</v>
      </c>
      <c r="K432" s="27">
        <f>Місто!K432-'[1]Місто'!K430</f>
        <v>0</v>
      </c>
      <c r="L432" s="27">
        <f>Місто!L432-'[1]Місто'!L430</f>
        <v>0</v>
      </c>
      <c r="M432" s="27">
        <f>Місто!M432-'[1]Місто'!M430</f>
        <v>0</v>
      </c>
      <c r="N432" s="27">
        <f>Місто!N432-'[1]Місто'!N430</f>
        <v>0</v>
      </c>
      <c r="O432" s="27">
        <f>Місто!O432-'[1]Місто'!O430</f>
        <v>0</v>
      </c>
      <c r="P432" s="26">
        <f>Місто!P432-'[1]Місто'!P430</f>
        <v>0</v>
      </c>
      <c r="Q432" s="53"/>
      <c r="W432" s="53"/>
    </row>
    <row r="433" spans="1:23" s="3" customFormat="1" ht="12.75">
      <c r="A433" s="9"/>
      <c r="B433" s="9" t="s">
        <v>288</v>
      </c>
      <c r="C433" s="9" t="s">
        <v>444</v>
      </c>
      <c r="D433" s="4" t="s">
        <v>316</v>
      </c>
      <c r="E433" s="27">
        <f>Місто!E433-'[1]Місто'!E431</f>
        <v>127270</v>
      </c>
      <c r="F433" s="27">
        <f>Місто!F433-'[1]Місто'!F431</f>
        <v>127270</v>
      </c>
      <c r="G433" s="27">
        <f>Місто!G433-'[1]Місто'!G431</f>
        <v>0</v>
      </c>
      <c r="H433" s="27">
        <f>Місто!H433-'[1]Місто'!H431</f>
        <v>0</v>
      </c>
      <c r="I433" s="27">
        <f>Місто!I433-'[1]Місто'!I431</f>
        <v>0</v>
      </c>
      <c r="J433" s="27">
        <f>Місто!J433-'[1]Місто'!J431</f>
        <v>0</v>
      </c>
      <c r="K433" s="27">
        <f>Місто!K433-'[1]Місто'!K431</f>
        <v>0</v>
      </c>
      <c r="L433" s="27">
        <f>Місто!L433-'[1]Місто'!L431</f>
        <v>0</v>
      </c>
      <c r="M433" s="27">
        <f>Місто!M433-'[1]Місто'!M431</f>
        <v>0</v>
      </c>
      <c r="N433" s="27">
        <f>Місто!N433-'[1]Місто'!N431</f>
        <v>0</v>
      </c>
      <c r="O433" s="27">
        <f>Місто!O433-'[1]Місто'!O431</f>
        <v>0</v>
      </c>
      <c r="P433" s="26">
        <f>Місто!P433-'[1]Місто'!P431</f>
        <v>127270</v>
      </c>
      <c r="Q433" s="53"/>
      <c r="W433" s="53">
        <f t="shared" si="6"/>
        <v>0</v>
      </c>
    </row>
    <row r="434" spans="1:23" s="166" customFormat="1" ht="38.25" hidden="1">
      <c r="A434" s="164"/>
      <c r="B434" s="9"/>
      <c r="C434" s="9"/>
      <c r="D434" s="4" t="s">
        <v>187</v>
      </c>
      <c r="E434" s="27">
        <f>Місто!E434-'[1]Місто'!E432</f>
        <v>0</v>
      </c>
      <c r="F434" s="27">
        <f>Місто!F434-'[1]Місто'!F432</f>
        <v>0</v>
      </c>
      <c r="G434" s="27">
        <f>Місто!G434-'[1]Місто'!G432</f>
        <v>0</v>
      </c>
      <c r="H434" s="27">
        <f>Місто!H434-'[1]Місто'!H432</f>
        <v>0</v>
      </c>
      <c r="I434" s="27">
        <f>Місто!I434-'[1]Місто'!I432</f>
        <v>0</v>
      </c>
      <c r="J434" s="27">
        <f>Місто!J434-'[1]Місто'!J432</f>
        <v>0</v>
      </c>
      <c r="K434" s="27">
        <f>Місто!K434-'[1]Місто'!K432</f>
        <v>0</v>
      </c>
      <c r="L434" s="27">
        <f>Місто!L434-'[1]Місто'!L432</f>
        <v>0</v>
      </c>
      <c r="M434" s="27">
        <f>Місто!M434-'[1]Місто'!M432</f>
        <v>0</v>
      </c>
      <c r="N434" s="27">
        <f>Місто!N434-'[1]Місто'!N432</f>
        <v>0</v>
      </c>
      <c r="O434" s="27">
        <f>Місто!O434-'[1]Місто'!O432</f>
        <v>0</v>
      </c>
      <c r="P434" s="26">
        <f>Місто!P434-'[1]Місто'!P432</f>
        <v>0</v>
      </c>
      <c r="Q434" s="165"/>
      <c r="W434" s="165">
        <f t="shared" si="6"/>
        <v>0</v>
      </c>
    </row>
    <row r="435" spans="1:23" s="166" customFormat="1" ht="25.5" hidden="1">
      <c r="A435" s="164"/>
      <c r="B435" s="9"/>
      <c r="C435" s="9"/>
      <c r="D435" s="6" t="s">
        <v>208</v>
      </c>
      <c r="E435" s="27">
        <f>Місто!E435-'[1]Місто'!E433</f>
        <v>0</v>
      </c>
      <c r="F435" s="27">
        <f>Місто!F435-'[1]Місто'!F433</f>
        <v>0</v>
      </c>
      <c r="G435" s="27">
        <f>Місто!G435-'[1]Місто'!G433</f>
        <v>0</v>
      </c>
      <c r="H435" s="27">
        <f>Місто!H435-'[1]Місто'!H433</f>
        <v>0</v>
      </c>
      <c r="I435" s="27">
        <f>Місто!I435-'[1]Місто'!I433</f>
        <v>0</v>
      </c>
      <c r="J435" s="27">
        <f>Місто!J435-'[1]Місто'!J433</f>
        <v>0</v>
      </c>
      <c r="K435" s="27">
        <f>Місто!K435-'[1]Місто'!K433</f>
        <v>0</v>
      </c>
      <c r="L435" s="27">
        <f>Місто!L435-'[1]Місто'!L433</f>
        <v>0</v>
      </c>
      <c r="M435" s="27">
        <f>Місто!M435-'[1]Місто'!M433</f>
        <v>0</v>
      </c>
      <c r="N435" s="27">
        <f>Місто!N435-'[1]Місто'!N433</f>
        <v>0</v>
      </c>
      <c r="O435" s="27">
        <f>Місто!O435-'[1]Місто'!O433</f>
        <v>0</v>
      </c>
      <c r="P435" s="26">
        <f>Місто!P435-'[1]Місто'!P433</f>
        <v>0</v>
      </c>
      <c r="Q435" s="165"/>
      <c r="W435" s="165">
        <f t="shared" si="6"/>
        <v>0</v>
      </c>
    </row>
    <row r="436" spans="1:23" s="166" customFormat="1" ht="25.5" hidden="1">
      <c r="A436" s="164"/>
      <c r="B436" s="9"/>
      <c r="C436" s="9"/>
      <c r="D436" s="4" t="s">
        <v>207</v>
      </c>
      <c r="E436" s="27">
        <f>Місто!E436-'[1]Місто'!E434</f>
        <v>0</v>
      </c>
      <c r="F436" s="27">
        <f>Місто!F436-'[1]Місто'!F434</f>
        <v>0</v>
      </c>
      <c r="G436" s="27">
        <f>Місто!G436-'[1]Місто'!G434</f>
        <v>0</v>
      </c>
      <c r="H436" s="27">
        <f>Місто!H436-'[1]Місто'!H434</f>
        <v>0</v>
      </c>
      <c r="I436" s="27">
        <f>Місто!I436-'[1]Місто'!I434</f>
        <v>0</v>
      </c>
      <c r="J436" s="27">
        <f>Місто!J436-'[1]Місто'!J434</f>
        <v>0</v>
      </c>
      <c r="K436" s="27">
        <f>Місто!K436-'[1]Місто'!K434</f>
        <v>0</v>
      </c>
      <c r="L436" s="27">
        <f>Місто!L436-'[1]Місто'!L434</f>
        <v>0</v>
      </c>
      <c r="M436" s="27">
        <f>Місто!M436-'[1]Місто'!M434</f>
        <v>0</v>
      </c>
      <c r="N436" s="27">
        <f>Місто!N436-'[1]Місто'!N434</f>
        <v>0</v>
      </c>
      <c r="O436" s="27">
        <f>Місто!O436-'[1]Місто'!O434</f>
        <v>0</v>
      </c>
      <c r="P436" s="26">
        <f>Місто!P436-'[1]Місто'!P434</f>
        <v>0</v>
      </c>
      <c r="Q436" s="165"/>
      <c r="W436" s="165">
        <f t="shared" si="6"/>
        <v>0</v>
      </c>
    </row>
    <row r="437" spans="1:23" s="166" customFormat="1" ht="25.5" hidden="1">
      <c r="A437" s="164"/>
      <c r="B437" s="9"/>
      <c r="C437" s="9"/>
      <c r="D437" s="4" t="s">
        <v>111</v>
      </c>
      <c r="E437" s="27">
        <f>Місто!E437-'[1]Місто'!E435</f>
        <v>0</v>
      </c>
      <c r="F437" s="27">
        <f>Місто!F437-'[1]Місто'!F435</f>
        <v>0</v>
      </c>
      <c r="G437" s="27">
        <f>Місто!G437-'[1]Місто'!G435</f>
        <v>0</v>
      </c>
      <c r="H437" s="27">
        <f>Місто!H437-'[1]Місто'!H435</f>
        <v>0</v>
      </c>
      <c r="I437" s="27">
        <f>Місто!I437-'[1]Місто'!I435</f>
        <v>0</v>
      </c>
      <c r="J437" s="27">
        <f>Місто!J437-'[1]Місто'!J435</f>
        <v>0</v>
      </c>
      <c r="K437" s="27">
        <f>Місто!K437-'[1]Місто'!K435</f>
        <v>0</v>
      </c>
      <c r="L437" s="27">
        <f>Місто!L437-'[1]Місто'!L435</f>
        <v>0</v>
      </c>
      <c r="M437" s="27">
        <f>Місто!M437-'[1]Місто'!M435</f>
        <v>0</v>
      </c>
      <c r="N437" s="27">
        <f>Місто!N437-'[1]Місто'!N435</f>
        <v>0</v>
      </c>
      <c r="O437" s="27">
        <f>Місто!O437-'[1]Місто'!O435</f>
        <v>0</v>
      </c>
      <c r="P437" s="26">
        <f>Місто!P437-'[1]Місто'!P435</f>
        <v>0</v>
      </c>
      <c r="Q437" s="165"/>
      <c r="W437" s="165">
        <f t="shared" si="6"/>
        <v>0</v>
      </c>
    </row>
    <row r="438" spans="1:23" s="166" customFormat="1" ht="51" hidden="1">
      <c r="A438" s="164"/>
      <c r="B438" s="9"/>
      <c r="C438" s="9"/>
      <c r="D438" s="4" t="s">
        <v>222</v>
      </c>
      <c r="E438" s="27">
        <f>Місто!E438-'[1]Місто'!E436</f>
        <v>66100</v>
      </c>
      <c r="F438" s="27">
        <f>Місто!F438-'[1]Місто'!F436</f>
        <v>66100</v>
      </c>
      <c r="G438" s="27">
        <f>Місто!G438-'[1]Місто'!G436</f>
        <v>0</v>
      </c>
      <c r="H438" s="27">
        <f>Місто!H438-'[1]Місто'!H436</f>
        <v>0</v>
      </c>
      <c r="I438" s="27">
        <f>Місто!I438-'[1]Місто'!I436</f>
        <v>0</v>
      </c>
      <c r="J438" s="27">
        <f>Місто!J438-'[1]Місто'!J436</f>
        <v>0</v>
      </c>
      <c r="K438" s="27">
        <f>Місто!K438-'[1]Місто'!K436</f>
        <v>0</v>
      </c>
      <c r="L438" s="27">
        <f>Місто!L438-'[1]Місто'!L436</f>
        <v>0</v>
      </c>
      <c r="M438" s="27">
        <f>Місто!M438-'[1]Місто'!M436</f>
        <v>0</v>
      </c>
      <c r="N438" s="27">
        <f>Місто!N438-'[1]Місто'!N436</f>
        <v>0</v>
      </c>
      <c r="O438" s="27">
        <f>Місто!O438-'[1]Місто'!O436</f>
        <v>0</v>
      </c>
      <c r="P438" s="26">
        <f>Місто!P438-'[1]Місто'!P436</f>
        <v>66100</v>
      </c>
      <c r="Q438" s="165"/>
      <c r="W438" s="165">
        <f t="shared" si="6"/>
        <v>0</v>
      </c>
    </row>
    <row r="439" spans="1:23" s="166" customFormat="1" ht="12.75" hidden="1">
      <c r="A439" s="164"/>
      <c r="B439" s="9"/>
      <c r="C439" s="9"/>
      <c r="D439" s="4" t="s">
        <v>42</v>
      </c>
      <c r="E439" s="27">
        <f>Місто!E439-'[1]Місто'!E437</f>
        <v>61170</v>
      </c>
      <c r="F439" s="27">
        <f>Місто!F439-'[1]Місто'!F437</f>
        <v>61170</v>
      </c>
      <c r="G439" s="27">
        <f>Місто!G439-'[1]Місто'!G437</f>
        <v>0</v>
      </c>
      <c r="H439" s="27">
        <f>Місто!H439-'[1]Місто'!H437</f>
        <v>0</v>
      </c>
      <c r="I439" s="27">
        <f>Місто!I439-'[1]Місто'!I437</f>
        <v>0</v>
      </c>
      <c r="J439" s="27">
        <f>Місто!J439-'[1]Місто'!J437</f>
        <v>0</v>
      </c>
      <c r="K439" s="27">
        <f>Місто!K439-'[1]Місто'!K437</f>
        <v>0</v>
      </c>
      <c r="L439" s="27">
        <f>Місто!L439-'[1]Місто'!L437</f>
        <v>0</v>
      </c>
      <c r="M439" s="27">
        <f>Місто!M439-'[1]Місто'!M437</f>
        <v>0</v>
      </c>
      <c r="N439" s="27">
        <f>Місто!N439-'[1]Місто'!N437</f>
        <v>0</v>
      </c>
      <c r="O439" s="27">
        <f>Місто!O439-'[1]Місто'!O437</f>
        <v>0</v>
      </c>
      <c r="P439" s="26">
        <f>Місто!P439-'[1]Місто'!P437</f>
        <v>61170</v>
      </c>
      <c r="Q439" s="165"/>
      <c r="W439" s="165">
        <f t="shared" si="6"/>
        <v>0</v>
      </c>
    </row>
    <row r="440" spans="1:23" s="166" customFormat="1" ht="24" hidden="1">
      <c r="A440" s="164"/>
      <c r="B440" s="9"/>
      <c r="C440" s="9"/>
      <c r="D440" s="40" t="s">
        <v>105</v>
      </c>
      <c r="E440" s="27">
        <f>Місто!E440-'[1]Місто'!E438</f>
        <v>0</v>
      </c>
      <c r="F440" s="27">
        <f>Місто!F440-'[1]Місто'!F438</f>
        <v>0</v>
      </c>
      <c r="G440" s="27">
        <f>Місто!G440-'[1]Місто'!G438</f>
        <v>0</v>
      </c>
      <c r="H440" s="27">
        <f>Місто!H440-'[1]Місто'!H438</f>
        <v>0</v>
      </c>
      <c r="I440" s="27">
        <f>Місто!I440-'[1]Місто'!I438</f>
        <v>0</v>
      </c>
      <c r="J440" s="27">
        <f>Місто!J440-'[1]Місто'!J438</f>
        <v>0</v>
      </c>
      <c r="K440" s="27">
        <f>Місто!K440-'[1]Місто'!K438</f>
        <v>0</v>
      </c>
      <c r="L440" s="27">
        <f>Місто!L440-'[1]Місто'!L438</f>
        <v>0</v>
      </c>
      <c r="M440" s="27">
        <f>Місто!M440-'[1]Місто'!M438</f>
        <v>0</v>
      </c>
      <c r="N440" s="27">
        <f>Місто!N440-'[1]Місто'!N438</f>
        <v>0</v>
      </c>
      <c r="O440" s="27">
        <f>Місто!O440-'[1]Місто'!O438</f>
        <v>0</v>
      </c>
      <c r="P440" s="26">
        <f>Місто!P440-'[1]Місто'!P438</f>
        <v>0</v>
      </c>
      <c r="Q440" s="165"/>
      <c r="W440" s="165">
        <f t="shared" si="6"/>
        <v>0</v>
      </c>
    </row>
    <row r="441" spans="1:45" s="19" customFormat="1" ht="25.5">
      <c r="A441" s="21"/>
      <c r="B441" s="21" t="s">
        <v>163</v>
      </c>
      <c r="C441" s="21"/>
      <c r="D441" s="20" t="s">
        <v>139</v>
      </c>
      <c r="E441" s="32">
        <f>Місто!E441-'[1]Місто'!E439</f>
        <v>5450580</v>
      </c>
      <c r="F441" s="32">
        <f>Місто!F441-'[1]Місто'!F439</f>
        <v>5450580</v>
      </c>
      <c r="G441" s="32">
        <f>Місто!G441-'[1]Місто'!G439</f>
        <v>461254</v>
      </c>
      <c r="H441" s="32">
        <f>Місто!H441-'[1]Місто'!H439</f>
        <v>0</v>
      </c>
      <c r="I441" s="32">
        <f>Місто!I441-'[1]Місто'!I439</f>
        <v>0</v>
      </c>
      <c r="J441" s="32">
        <f>Місто!J441-'[1]Місто'!J439</f>
        <v>16381746</v>
      </c>
      <c r="K441" s="32">
        <f>Місто!K441-'[1]Місто'!K439</f>
        <v>2140</v>
      </c>
      <c r="L441" s="32">
        <f>Місто!L441-'[1]Місто'!L439</f>
        <v>0</v>
      </c>
      <c r="M441" s="32">
        <f>Місто!M441-'[1]Місто'!M439</f>
        <v>0</v>
      </c>
      <c r="N441" s="32">
        <f>Місто!N441-'[1]Місто'!N439</f>
        <v>16379606</v>
      </c>
      <c r="O441" s="32">
        <f>Місто!O441-'[1]Місто'!O439</f>
        <v>16379606</v>
      </c>
      <c r="P441" s="32">
        <f>Місто!P441-'[1]Місто'!P439</f>
        <v>21832326</v>
      </c>
      <c r="Q441" s="53"/>
      <c r="R441" s="22"/>
      <c r="S441" s="22"/>
      <c r="T441" s="22"/>
      <c r="U441" s="22"/>
      <c r="V441" s="22"/>
      <c r="W441" s="53">
        <f t="shared" si="6"/>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362</v>
      </c>
      <c r="C442" s="35"/>
      <c r="D442" s="12" t="s">
        <v>363</v>
      </c>
      <c r="E442" s="28">
        <f>Місто!E442-'[1]Місто'!E440</f>
        <v>141289</v>
      </c>
      <c r="F442" s="28">
        <f>Місто!F442-'[1]Місто'!F440</f>
        <v>141289</v>
      </c>
      <c r="G442" s="28">
        <f>Місто!G442-'[1]Місто'!G440</f>
        <v>461254</v>
      </c>
      <c r="H442" s="28">
        <f>Місто!H442-'[1]Місто'!H440</f>
        <v>0</v>
      </c>
      <c r="I442" s="28">
        <f>Місто!I442-'[1]Місто'!I440</f>
        <v>0</v>
      </c>
      <c r="J442" s="28">
        <f>Місто!J442-'[1]Місто'!J440</f>
        <v>320384</v>
      </c>
      <c r="K442" s="28">
        <f>Місто!K442-'[1]Місто'!K440</f>
        <v>0</v>
      </c>
      <c r="L442" s="28">
        <f>Місто!L442-'[1]Місто'!L440</f>
        <v>0</v>
      </c>
      <c r="M442" s="28">
        <f>Місто!M442-'[1]Місто'!M440</f>
        <v>0</v>
      </c>
      <c r="N442" s="28">
        <f>Місто!N442-'[1]Місто'!N440</f>
        <v>320384</v>
      </c>
      <c r="O442" s="28">
        <f>Місто!O442-'[1]Місто'!O440</f>
        <v>320384</v>
      </c>
      <c r="P442" s="28">
        <f>Місто!P442-'[1]Місто'!P440</f>
        <v>461673</v>
      </c>
      <c r="Q442" s="53"/>
      <c r="R442" s="13"/>
      <c r="S442" s="13"/>
      <c r="T442" s="13"/>
      <c r="U442" s="13"/>
      <c r="V442" s="13"/>
      <c r="W442" s="53">
        <f t="shared" si="6"/>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249</v>
      </c>
      <c r="C443" s="16" t="s">
        <v>441</v>
      </c>
      <c r="D443" s="2" t="s">
        <v>250</v>
      </c>
      <c r="E443" s="28">
        <f>Місто!E443-'[1]Місто'!E441</f>
        <v>141289</v>
      </c>
      <c r="F443" s="28">
        <f>Місто!F443-'[1]Місто'!F441</f>
        <v>141289</v>
      </c>
      <c r="G443" s="28">
        <f>Місто!G443-'[1]Місто'!G441</f>
        <v>461254</v>
      </c>
      <c r="H443" s="28">
        <f>Місто!H443-'[1]Місто'!H441</f>
        <v>0</v>
      </c>
      <c r="I443" s="28">
        <f>Місто!I443-'[1]Місто'!I441</f>
        <v>0</v>
      </c>
      <c r="J443" s="28">
        <f>Місто!J443-'[1]Місто'!J441</f>
        <v>320384</v>
      </c>
      <c r="K443" s="28">
        <f>Місто!K443-'[1]Місто'!K441</f>
        <v>0</v>
      </c>
      <c r="L443" s="28">
        <f>Місто!L443-'[1]Місто'!L441</f>
        <v>0</v>
      </c>
      <c r="M443" s="28">
        <f>Місто!M443-'[1]Місто'!M441</f>
        <v>0</v>
      </c>
      <c r="N443" s="28">
        <f>Місто!N443-'[1]Місто'!N441</f>
        <v>320384</v>
      </c>
      <c r="O443" s="28">
        <f>Місто!O443-'[1]Місто'!O441</f>
        <v>320384</v>
      </c>
      <c r="P443" s="28">
        <f>Місто!P443-'[1]Місто'!P441</f>
        <v>461673</v>
      </c>
      <c r="Q443" s="53"/>
      <c r="R443" s="11"/>
      <c r="S443" s="11"/>
      <c r="T443" s="11"/>
      <c r="U443" s="11"/>
      <c r="V443" s="11"/>
      <c r="W443" s="53">
        <f t="shared" si="6"/>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374</v>
      </c>
      <c r="C444" s="9"/>
      <c r="D444" s="4" t="s">
        <v>375</v>
      </c>
      <c r="E444" s="27">
        <f>Місто!E444-'[1]Місто'!E442</f>
        <v>5209404</v>
      </c>
      <c r="F444" s="27">
        <f>Місто!F444-'[1]Місто'!F442</f>
        <v>5209404</v>
      </c>
      <c r="G444" s="27">
        <f>Місто!G444-'[1]Місто'!G442</f>
        <v>0</v>
      </c>
      <c r="H444" s="27">
        <f>Місто!H444-'[1]Місто'!H442</f>
        <v>0</v>
      </c>
      <c r="I444" s="27">
        <f>Місто!I444-'[1]Місто'!I442</f>
        <v>0</v>
      </c>
      <c r="J444" s="27">
        <f>Місто!J444-'[1]Місто'!J442</f>
        <v>908700</v>
      </c>
      <c r="K444" s="27">
        <f>Місто!K444-'[1]Місто'!K442</f>
        <v>0</v>
      </c>
      <c r="L444" s="27">
        <f>Місто!L444-'[1]Місто'!L442</f>
        <v>0</v>
      </c>
      <c r="M444" s="27">
        <f>Місто!M444-'[1]Місто'!M442</f>
        <v>0</v>
      </c>
      <c r="N444" s="27">
        <f>Місто!N444-'[1]Місто'!N442</f>
        <v>908700</v>
      </c>
      <c r="O444" s="27">
        <f>Місто!O444-'[1]Місто'!O442</f>
        <v>908700</v>
      </c>
      <c r="P444" s="28">
        <f>Місто!P444-'[1]Місто'!P442</f>
        <v>6118104</v>
      </c>
      <c r="Q444" s="53"/>
      <c r="W444" s="53">
        <f t="shared" si="6"/>
        <v>0</v>
      </c>
    </row>
    <row r="445" spans="1:23" s="3" customFormat="1" ht="12.75">
      <c r="A445" s="9"/>
      <c r="B445" s="9" t="s">
        <v>102</v>
      </c>
      <c r="C445" s="9" t="s">
        <v>474</v>
      </c>
      <c r="D445" s="4" t="s">
        <v>106</v>
      </c>
      <c r="E445" s="27">
        <f>Місто!E446-'[1]Місто'!E443</f>
        <v>1666820</v>
      </c>
      <c r="F445" s="27">
        <f>Місто!F446-'[1]Місто'!F443</f>
        <v>1666820</v>
      </c>
      <c r="G445" s="27">
        <f>Місто!G446-'[1]Місто'!G443</f>
        <v>0</v>
      </c>
      <c r="H445" s="27">
        <f>Місто!H446-'[1]Місто'!H443</f>
        <v>0</v>
      </c>
      <c r="I445" s="27">
        <f>Місто!I446-'[1]Місто'!I443</f>
        <v>0</v>
      </c>
      <c r="J445" s="27">
        <f>Місто!J446-'[1]Місто'!J443</f>
        <v>908700</v>
      </c>
      <c r="K445" s="27">
        <f>Місто!K446-'[1]Місто'!K443</f>
        <v>0</v>
      </c>
      <c r="L445" s="27">
        <f>Місто!L446-'[1]Місто'!L443</f>
        <v>0</v>
      </c>
      <c r="M445" s="27">
        <f>Місто!M446-'[1]Місто'!M443</f>
        <v>0</v>
      </c>
      <c r="N445" s="27">
        <f>Місто!N446-'[1]Місто'!N443</f>
        <v>908700</v>
      </c>
      <c r="O445" s="27">
        <f>Місто!O446-'[1]Місто'!O443</f>
        <v>908700</v>
      </c>
      <c r="P445" s="28">
        <f>Місто!P446-'[1]Місто'!P443</f>
        <v>2575520</v>
      </c>
      <c r="Q445" s="53"/>
      <c r="W445" s="53">
        <f t="shared" si="6"/>
        <v>0</v>
      </c>
    </row>
    <row r="446" spans="1:23" s="3" customFormat="1" ht="12.75" hidden="1">
      <c r="A446" s="39"/>
      <c r="B446" s="39" t="s">
        <v>366</v>
      </c>
      <c r="C446" s="39"/>
      <c r="D446" s="58" t="s">
        <v>283</v>
      </c>
      <c r="E446" s="27">
        <f>Місто!E447-'[1]Місто'!E444</f>
        <v>0</v>
      </c>
      <c r="F446" s="27">
        <f>Місто!F447-'[1]Місто'!F444</f>
        <v>0</v>
      </c>
      <c r="G446" s="27">
        <f>Місто!G447-'[1]Місто'!G444</f>
        <v>0</v>
      </c>
      <c r="H446" s="27">
        <f>Місто!H447-'[1]Місто'!H444</f>
        <v>0</v>
      </c>
      <c r="I446" s="27">
        <f>Місто!I447-'[1]Місто'!I444</f>
        <v>0</v>
      </c>
      <c r="J446" s="27">
        <f>Місто!J447-'[1]Місто'!J444</f>
        <v>15150522</v>
      </c>
      <c r="K446" s="27">
        <f>Місто!K447-'[1]Місто'!K444</f>
        <v>0</v>
      </c>
      <c r="L446" s="27">
        <f>Місто!L447-'[1]Місто'!L444</f>
        <v>0</v>
      </c>
      <c r="M446" s="27">
        <f>Місто!M447-'[1]Місто'!M444</f>
        <v>0</v>
      </c>
      <c r="N446" s="27">
        <f>Місто!N447-'[1]Місто'!N444</f>
        <v>15150522</v>
      </c>
      <c r="O446" s="27">
        <f>Місто!O447-'[1]Місто'!O444</f>
        <v>15150522</v>
      </c>
      <c r="P446" s="28">
        <f>Місто!P447-'[1]Місто'!P444</f>
        <v>15150522</v>
      </c>
      <c r="Q446" s="53"/>
      <c r="W446" s="53">
        <f t="shared" si="6"/>
        <v>0</v>
      </c>
    </row>
    <row r="447" spans="1:23" s="3" customFormat="1" ht="12.75" hidden="1">
      <c r="A447" s="39"/>
      <c r="B447" s="39" t="s">
        <v>338</v>
      </c>
      <c r="C447" s="74" t="s">
        <v>443</v>
      </c>
      <c r="D447" s="36" t="s">
        <v>339</v>
      </c>
      <c r="E447" s="27">
        <f>Місто!E448-'[1]Місто'!E445</f>
        <v>0</v>
      </c>
      <c r="F447" s="27">
        <f>Місто!F448-'[1]Місто'!F445</f>
        <v>0</v>
      </c>
      <c r="G447" s="27">
        <f>Місто!G448-'[1]Місто'!G445</f>
        <v>0</v>
      </c>
      <c r="H447" s="27">
        <f>Місто!H448-'[1]Місто'!H445</f>
        <v>0</v>
      </c>
      <c r="I447" s="27">
        <f>Місто!I448-'[1]Місто'!I445</f>
        <v>0</v>
      </c>
      <c r="J447" s="27">
        <f>Місто!J448-'[1]Місто'!J445</f>
        <v>15150522</v>
      </c>
      <c r="K447" s="27">
        <f>Місто!K448-'[1]Місто'!K445</f>
        <v>0</v>
      </c>
      <c r="L447" s="27">
        <f>Місто!L448-'[1]Місто'!L445</f>
        <v>0</v>
      </c>
      <c r="M447" s="27">
        <f>Місто!M448-'[1]Місто'!M445</f>
        <v>0</v>
      </c>
      <c r="N447" s="27">
        <f>Місто!N448-'[1]Місто'!N445</f>
        <v>15150522</v>
      </c>
      <c r="O447" s="27">
        <f>Місто!O448-'[1]Місто'!O445</f>
        <v>15150522</v>
      </c>
      <c r="P447" s="28">
        <f>Місто!P448-'[1]Місто'!P445</f>
        <v>15150522</v>
      </c>
      <c r="Q447" s="53"/>
      <c r="W447" s="53">
        <f t="shared" si="6"/>
        <v>0</v>
      </c>
    </row>
    <row r="448" spans="1:23" s="3" customFormat="1" ht="38.25" hidden="1">
      <c r="A448" s="39"/>
      <c r="B448" s="39"/>
      <c r="C448" s="39"/>
      <c r="D448" s="60" t="s">
        <v>351</v>
      </c>
      <c r="E448" s="27">
        <f>Місто!E449-'[1]Місто'!E446</f>
        <v>0</v>
      </c>
      <c r="F448" s="27">
        <f>Місто!F449-'[1]Місто'!F446</f>
        <v>0</v>
      </c>
      <c r="G448" s="27">
        <f>Місто!G449-'[1]Місто'!G446</f>
        <v>0</v>
      </c>
      <c r="H448" s="27">
        <f>Місто!H449-'[1]Місто'!H446</f>
        <v>0</v>
      </c>
      <c r="I448" s="27">
        <f>Місто!I449-'[1]Місто'!I446</f>
        <v>0</v>
      </c>
      <c r="J448" s="27">
        <f>Місто!J449-'[1]Місто'!J446</f>
        <v>0</v>
      </c>
      <c r="K448" s="27">
        <f>Місто!K449-'[1]Місто'!K446</f>
        <v>0</v>
      </c>
      <c r="L448" s="27">
        <f>Місто!L449-'[1]Місто'!L446</f>
        <v>0</v>
      </c>
      <c r="M448" s="27">
        <f>Місто!M449-'[1]Місто'!M446</f>
        <v>0</v>
      </c>
      <c r="N448" s="27">
        <f>Місто!N449-'[1]Місто'!N446</f>
        <v>0</v>
      </c>
      <c r="O448" s="27">
        <f>Місто!O449-'[1]Місто'!O446</f>
        <v>0</v>
      </c>
      <c r="P448" s="28">
        <f>Місто!P449-'[1]Місто'!P446</f>
        <v>0</v>
      </c>
      <c r="Q448" s="53"/>
      <c r="W448" s="53">
        <f t="shared" si="6"/>
        <v>0</v>
      </c>
    </row>
    <row r="449" spans="1:23" s="3" customFormat="1" ht="38.25" hidden="1">
      <c r="A449" s="39"/>
      <c r="B449" s="39" t="s">
        <v>285</v>
      </c>
      <c r="C449" s="39"/>
      <c r="D449" s="73" t="s">
        <v>241</v>
      </c>
      <c r="E449" s="27">
        <f>Місто!E450-'[1]Місто'!E447</f>
        <v>0</v>
      </c>
      <c r="F449" s="27">
        <f>Місто!F450-'[1]Місто'!F447</f>
        <v>0</v>
      </c>
      <c r="G449" s="27">
        <f>Місто!G450-'[1]Місто'!G447</f>
        <v>0</v>
      </c>
      <c r="H449" s="27">
        <f>Місто!H450-'[1]Місто'!H447</f>
        <v>0</v>
      </c>
      <c r="I449" s="27">
        <f>Місто!I450-'[1]Місто'!I447</f>
        <v>0</v>
      </c>
      <c r="J449" s="27">
        <f>Місто!J450-'[1]Місто'!J447</f>
        <v>0</v>
      </c>
      <c r="K449" s="27">
        <f>Місто!K450-'[1]Місто'!K447</f>
        <v>0</v>
      </c>
      <c r="L449" s="27">
        <f>Місто!L450-'[1]Місто'!L447</f>
        <v>0</v>
      </c>
      <c r="M449" s="27">
        <f>Місто!M450-'[1]Місто'!M447</f>
        <v>0</v>
      </c>
      <c r="N449" s="27">
        <f>Місто!N450-'[1]Місто'!N447</f>
        <v>0</v>
      </c>
      <c r="O449" s="27">
        <f>Місто!O450-'[1]Місто'!O447</f>
        <v>0</v>
      </c>
      <c r="P449" s="28">
        <f>Місто!P450-'[1]Місто'!P447</f>
        <v>0</v>
      </c>
      <c r="Q449" s="53"/>
      <c r="W449" s="53">
        <f t="shared" si="6"/>
        <v>0</v>
      </c>
    </row>
    <row r="450" spans="1:23" s="3" customFormat="1" ht="12.75" hidden="1">
      <c r="A450" s="9"/>
      <c r="B450" s="9" t="s">
        <v>369</v>
      </c>
      <c r="C450" s="9"/>
      <c r="D450" s="4" t="s">
        <v>373</v>
      </c>
      <c r="E450" s="27">
        <f>Місто!E451-'[1]Місто'!E448</f>
        <v>0</v>
      </c>
      <c r="F450" s="27">
        <f>Місто!F451-'[1]Місто'!F448</f>
        <v>0</v>
      </c>
      <c r="G450" s="27">
        <f>Місто!G451-'[1]Місто'!G448</f>
        <v>0</v>
      </c>
      <c r="H450" s="27">
        <f>Місто!H451-'[1]Місто'!H448</f>
        <v>0</v>
      </c>
      <c r="I450" s="27">
        <f>Місто!I451-'[1]Місто'!I448</f>
        <v>0</v>
      </c>
      <c r="J450" s="27">
        <f>Місто!J451-'[1]Місто'!J448</f>
        <v>2140</v>
      </c>
      <c r="K450" s="27">
        <f>Місто!K451-'[1]Місто'!K448</f>
        <v>2140</v>
      </c>
      <c r="L450" s="27">
        <f>Місто!L451-'[1]Місто'!L448</f>
        <v>0</v>
      </c>
      <c r="M450" s="27">
        <f>Місто!M451-'[1]Місто'!M448</f>
        <v>0</v>
      </c>
      <c r="N450" s="27">
        <f>Місто!N451-'[1]Місто'!N448</f>
        <v>0</v>
      </c>
      <c r="O450" s="27">
        <f>Місто!O451-'[1]Місто'!O448</f>
        <v>0</v>
      </c>
      <c r="P450" s="28">
        <f>Місто!P451-'[1]Місто'!P448</f>
        <v>2140</v>
      </c>
      <c r="Q450" s="53"/>
      <c r="W450" s="53">
        <f t="shared" si="6"/>
        <v>0</v>
      </c>
    </row>
    <row r="451" spans="1:23" s="3" customFormat="1" ht="63.75" hidden="1">
      <c r="A451" s="9"/>
      <c r="B451" s="9" t="s">
        <v>287</v>
      </c>
      <c r="C451" s="9" t="s">
        <v>444</v>
      </c>
      <c r="D451" s="73" t="s">
        <v>109</v>
      </c>
      <c r="E451" s="27">
        <f>Місто!E452-'[1]Місто'!E449</f>
        <v>0</v>
      </c>
      <c r="F451" s="27">
        <f>Місто!F452-'[1]Місто'!F449</f>
        <v>0</v>
      </c>
      <c r="G451" s="27">
        <f>Місто!G452-'[1]Місто'!G449</f>
        <v>0</v>
      </c>
      <c r="H451" s="27">
        <f>Місто!H452-'[1]Місто'!H449</f>
        <v>0</v>
      </c>
      <c r="I451" s="27">
        <f>Місто!I452-'[1]Місто'!I449</f>
        <v>0</v>
      </c>
      <c r="J451" s="27">
        <f>Місто!J452-'[1]Місто'!J449</f>
        <v>2140</v>
      </c>
      <c r="K451" s="27">
        <f>Місто!K452-'[1]Місто'!K449</f>
        <v>2140</v>
      </c>
      <c r="L451" s="27">
        <f>Місто!L452-'[1]Місто'!L449</f>
        <v>0</v>
      </c>
      <c r="M451" s="27">
        <f>Місто!M452-'[1]Місто'!M449</f>
        <v>0</v>
      </c>
      <c r="N451" s="27">
        <f>Місто!N452-'[1]Місто'!N449</f>
        <v>0</v>
      </c>
      <c r="O451" s="27">
        <f>Місто!O452-'[1]Місто'!O449</f>
        <v>0</v>
      </c>
      <c r="P451" s="28">
        <f>Місто!P452-'[1]Місто'!P449</f>
        <v>2140</v>
      </c>
      <c r="Q451" s="53"/>
      <c r="W451" s="53">
        <f t="shared" si="6"/>
        <v>0</v>
      </c>
    </row>
    <row r="452" spans="1:23" s="3" customFormat="1" ht="15" customHeight="1">
      <c r="A452" s="9"/>
      <c r="B452" s="9" t="s">
        <v>371</v>
      </c>
      <c r="C452" s="9"/>
      <c r="D452" s="60" t="s">
        <v>372</v>
      </c>
      <c r="E452" s="27">
        <f>Місто!E453-'[1]Місто'!E450</f>
        <v>99887</v>
      </c>
      <c r="F452" s="27">
        <f>Місто!F453-'[1]Місто'!F450</f>
        <v>99887</v>
      </c>
      <c r="G452" s="27">
        <f>Місто!G453-'[1]Місто'!G450</f>
        <v>0</v>
      </c>
      <c r="H452" s="27">
        <f>Місто!H453-'[1]Місто'!H450</f>
        <v>0</v>
      </c>
      <c r="I452" s="27">
        <f>Місто!I453-'[1]Місто'!I450</f>
        <v>0</v>
      </c>
      <c r="J452" s="27">
        <f>Місто!J453-'[1]Місто'!J450</f>
        <v>0</v>
      </c>
      <c r="K452" s="27">
        <f>Місто!K453-'[1]Місто'!K450</f>
        <v>0</v>
      </c>
      <c r="L452" s="27">
        <f>Місто!L453-'[1]Місто'!L450</f>
        <v>0</v>
      </c>
      <c r="M452" s="27">
        <f>Місто!M453-'[1]Місто'!M450</f>
        <v>0</v>
      </c>
      <c r="N452" s="27">
        <f>Місто!N453-'[1]Місто'!N450</f>
        <v>0</v>
      </c>
      <c r="O452" s="27">
        <f>Місто!O453-'[1]Місто'!O450</f>
        <v>0</v>
      </c>
      <c r="P452" s="28">
        <f>Місто!P453-'[1]Місто'!P450</f>
        <v>99887</v>
      </c>
      <c r="Q452" s="53"/>
      <c r="W452" s="53">
        <f t="shared" si="6"/>
        <v>0</v>
      </c>
    </row>
    <row r="453" spans="1:23" s="3" customFormat="1" ht="38.25" hidden="1">
      <c r="A453" s="9"/>
      <c r="B453" s="74" t="s">
        <v>305</v>
      </c>
      <c r="C453" s="74" t="s">
        <v>494</v>
      </c>
      <c r="D453" s="73" t="s">
        <v>13</v>
      </c>
      <c r="E453" s="27">
        <f>Місто!E454-'[1]Місто'!E451</f>
        <v>0</v>
      </c>
      <c r="F453" s="27">
        <f>Місто!F454-'[1]Місто'!F451</f>
        <v>0</v>
      </c>
      <c r="G453" s="27">
        <f>Місто!G454-'[1]Місто'!G451</f>
        <v>0</v>
      </c>
      <c r="H453" s="27">
        <f>Місто!H454-'[1]Місто'!H451</f>
        <v>0</v>
      </c>
      <c r="I453" s="27">
        <f>Місто!I454-'[1]Місто'!I451</f>
        <v>0</v>
      </c>
      <c r="J453" s="27">
        <f>Місто!J454-'[1]Місто'!J451</f>
        <v>0</v>
      </c>
      <c r="K453" s="27">
        <f>Місто!K454-'[1]Місто'!K451</f>
        <v>0</v>
      </c>
      <c r="L453" s="27">
        <f>Місто!L454-'[1]Місто'!L451</f>
        <v>0</v>
      </c>
      <c r="M453" s="27">
        <f>Місто!M454-'[1]Місто'!M451</f>
        <v>0</v>
      </c>
      <c r="N453" s="27">
        <f>Місто!N454-'[1]Місто'!N451</f>
        <v>0</v>
      </c>
      <c r="O453" s="27">
        <f>Місто!O454-'[1]Місто'!O451</f>
        <v>0</v>
      </c>
      <c r="P453" s="28">
        <f>Місто!P454-'[1]Місто'!P451</f>
        <v>0</v>
      </c>
      <c r="Q453" s="53"/>
      <c r="W453" s="53"/>
    </row>
    <row r="454" spans="1:23" s="3" customFormat="1" ht="63.75" hidden="1">
      <c r="A454" s="9"/>
      <c r="B454" s="39"/>
      <c r="C454" s="39"/>
      <c r="D454" s="68" t="s">
        <v>493</v>
      </c>
      <c r="E454" s="27">
        <f>Місто!E455-'[1]Місто'!E452</f>
        <v>0</v>
      </c>
      <c r="F454" s="27">
        <f>Місто!F455-'[1]Місто'!F452</f>
        <v>0</v>
      </c>
      <c r="G454" s="27">
        <f>Місто!G455-'[1]Місто'!G452</f>
        <v>0</v>
      </c>
      <c r="H454" s="27">
        <f>Місто!H455-'[1]Місто'!H452</f>
        <v>0</v>
      </c>
      <c r="I454" s="27">
        <f>Місто!I455-'[1]Місто'!I452</f>
        <v>0</v>
      </c>
      <c r="J454" s="27">
        <f>Місто!J455-'[1]Місто'!J452</f>
        <v>0</v>
      </c>
      <c r="K454" s="27">
        <f>Місто!K455-'[1]Місто'!K452</f>
        <v>0</v>
      </c>
      <c r="L454" s="27">
        <f>Місто!L455-'[1]Місто'!L452</f>
        <v>0</v>
      </c>
      <c r="M454" s="27">
        <f>Місто!M455-'[1]Місто'!M452</f>
        <v>0</v>
      </c>
      <c r="N454" s="27">
        <f>Місто!N455-'[1]Місто'!N452</f>
        <v>0</v>
      </c>
      <c r="O454" s="27">
        <f>Місто!O455-'[1]Місто'!O452</f>
        <v>0</v>
      </c>
      <c r="P454" s="28">
        <f>Місто!P455-'[1]Місто'!P452</f>
        <v>0</v>
      </c>
      <c r="Q454" s="53"/>
      <c r="W454" s="53"/>
    </row>
    <row r="455" spans="1:23" s="3" customFormat="1" ht="12.75">
      <c r="A455" s="9"/>
      <c r="B455" s="9" t="s">
        <v>288</v>
      </c>
      <c r="C455" s="9" t="s">
        <v>444</v>
      </c>
      <c r="D455" s="4" t="s">
        <v>316</v>
      </c>
      <c r="E455" s="27">
        <f>Місто!E456-'[1]Місто'!E453</f>
        <v>99887</v>
      </c>
      <c r="F455" s="27">
        <f>Місто!F456-'[1]Місто'!F453</f>
        <v>99887</v>
      </c>
      <c r="G455" s="27">
        <f>Місто!G456-'[1]Місто'!G453</f>
        <v>0</v>
      </c>
      <c r="H455" s="27">
        <f>Місто!H456-'[1]Місто'!H453</f>
        <v>0</v>
      </c>
      <c r="I455" s="27">
        <f>Місто!I456-'[1]Місто'!I453</f>
        <v>0</v>
      </c>
      <c r="J455" s="27">
        <f>Місто!J456-'[1]Місто'!J453</f>
        <v>0</v>
      </c>
      <c r="K455" s="27">
        <f>Місто!K456-'[1]Місто'!K453</f>
        <v>0</v>
      </c>
      <c r="L455" s="27">
        <f>Місто!L456-'[1]Місто'!L453</f>
        <v>0</v>
      </c>
      <c r="M455" s="27">
        <f>Місто!M456-'[1]Місто'!M453</f>
        <v>0</v>
      </c>
      <c r="N455" s="27">
        <f>Місто!N456-'[1]Місто'!N453</f>
        <v>0</v>
      </c>
      <c r="O455" s="27">
        <f>Місто!O456-'[1]Місто'!O453</f>
        <v>0</v>
      </c>
      <c r="P455" s="28">
        <f>Місто!P456-'[1]Місто'!P453</f>
        <v>99887</v>
      </c>
      <c r="Q455" s="53"/>
      <c r="W455" s="53">
        <f t="shared" si="6"/>
        <v>0</v>
      </c>
    </row>
    <row r="456" spans="1:23" s="166" customFormat="1" ht="38.25" hidden="1">
      <c r="A456" s="164"/>
      <c r="B456" s="9"/>
      <c r="C456" s="9"/>
      <c r="D456" s="4" t="s">
        <v>187</v>
      </c>
      <c r="E456" s="27">
        <f>Місто!E457-'[1]Місто'!E454</f>
        <v>0</v>
      </c>
      <c r="F456" s="27">
        <f>Місто!F457-'[1]Місто'!F454</f>
        <v>0</v>
      </c>
      <c r="G456" s="27">
        <f>Місто!G457-'[1]Місто'!G454</f>
        <v>0</v>
      </c>
      <c r="H456" s="27">
        <f>Місто!H457-'[1]Місто'!H454</f>
        <v>0</v>
      </c>
      <c r="I456" s="27">
        <f>Місто!I457-'[1]Місто'!I454</f>
        <v>0</v>
      </c>
      <c r="J456" s="27">
        <f>Місто!J457-'[1]Місто'!J454</f>
        <v>0</v>
      </c>
      <c r="K456" s="27">
        <f>Місто!K457-'[1]Місто'!K454</f>
        <v>0</v>
      </c>
      <c r="L456" s="27">
        <f>Місто!L457-'[1]Місто'!L454</f>
        <v>0</v>
      </c>
      <c r="M456" s="27">
        <f>Місто!M457-'[1]Місто'!M454</f>
        <v>0</v>
      </c>
      <c r="N456" s="27">
        <f>Місто!N457-'[1]Місто'!N454</f>
        <v>0</v>
      </c>
      <c r="O456" s="27">
        <f>Місто!O457-'[1]Місто'!O454</f>
        <v>0</v>
      </c>
      <c r="P456" s="28">
        <f>Місто!P457-'[1]Місто'!P454</f>
        <v>0</v>
      </c>
      <c r="Q456" s="165"/>
      <c r="W456" s="165">
        <f t="shared" si="6"/>
        <v>0</v>
      </c>
    </row>
    <row r="457" spans="1:23" s="166" customFormat="1" ht="25.5" hidden="1">
      <c r="A457" s="164"/>
      <c r="B457" s="9"/>
      <c r="C457" s="9"/>
      <c r="D457" s="4" t="s">
        <v>207</v>
      </c>
      <c r="E457" s="27">
        <f>Місто!E458-'[1]Місто'!E455</f>
        <v>0</v>
      </c>
      <c r="F457" s="27">
        <f>Місто!F458-'[1]Місто'!F455</f>
        <v>0</v>
      </c>
      <c r="G457" s="27">
        <f>Місто!G458-'[1]Місто'!G455</f>
        <v>0</v>
      </c>
      <c r="H457" s="27">
        <f>Місто!H458-'[1]Місто'!H455</f>
        <v>0</v>
      </c>
      <c r="I457" s="27">
        <f>Місто!I458-'[1]Місто'!I455</f>
        <v>0</v>
      </c>
      <c r="J457" s="27">
        <f>Місто!J458-'[1]Місто'!J455</f>
        <v>0</v>
      </c>
      <c r="K457" s="27">
        <f>Місто!K458-'[1]Місто'!K455</f>
        <v>0</v>
      </c>
      <c r="L457" s="27">
        <f>Місто!L458-'[1]Місто'!L455</f>
        <v>0</v>
      </c>
      <c r="M457" s="27">
        <f>Місто!M458-'[1]Місто'!M455</f>
        <v>0</v>
      </c>
      <c r="N457" s="27">
        <f>Місто!N458-'[1]Місто'!N455</f>
        <v>0</v>
      </c>
      <c r="O457" s="27">
        <f>Місто!O458-'[1]Місто'!O455</f>
        <v>0</v>
      </c>
      <c r="P457" s="28">
        <f>Місто!P458-'[1]Місто'!P455</f>
        <v>0</v>
      </c>
      <c r="Q457" s="165"/>
      <c r="W457" s="165">
        <f t="shared" si="6"/>
        <v>0</v>
      </c>
    </row>
    <row r="458" spans="1:23" s="166" customFormat="1" ht="25.5" hidden="1">
      <c r="A458" s="164"/>
      <c r="B458" s="9"/>
      <c r="C458" s="9"/>
      <c r="D458" s="6" t="s">
        <v>208</v>
      </c>
      <c r="E458" s="27">
        <f>Місто!E459-'[1]Місто'!E456</f>
        <v>0</v>
      </c>
      <c r="F458" s="27">
        <f>Місто!F459-'[1]Місто'!F456</f>
        <v>0</v>
      </c>
      <c r="G458" s="27">
        <f>Місто!G459-'[1]Місто'!G456</f>
        <v>0</v>
      </c>
      <c r="H458" s="27">
        <f>Місто!H459-'[1]Місто'!H456</f>
        <v>0</v>
      </c>
      <c r="I458" s="27">
        <f>Місто!I459-'[1]Місто'!I456</f>
        <v>0</v>
      </c>
      <c r="J458" s="27">
        <f>Місто!J459-'[1]Місто'!J456</f>
        <v>0</v>
      </c>
      <c r="K458" s="27">
        <f>Місто!K459-'[1]Місто'!K456</f>
        <v>0</v>
      </c>
      <c r="L458" s="27">
        <f>Місто!L459-'[1]Місто'!L456</f>
        <v>0</v>
      </c>
      <c r="M458" s="27">
        <f>Місто!M459-'[1]Місто'!M456</f>
        <v>0</v>
      </c>
      <c r="N458" s="27">
        <f>Місто!N459-'[1]Місто'!N456</f>
        <v>0</v>
      </c>
      <c r="O458" s="27">
        <f>Місто!O459-'[1]Місто'!O456</f>
        <v>0</v>
      </c>
      <c r="P458" s="28">
        <f>Місто!P459-'[1]Місто'!P456</f>
        <v>0</v>
      </c>
      <c r="Q458" s="165"/>
      <c r="W458" s="165">
        <f t="shared" si="6"/>
        <v>0</v>
      </c>
    </row>
    <row r="459" spans="1:23" s="166" customFormat="1" ht="25.5" hidden="1">
      <c r="A459" s="164"/>
      <c r="B459" s="9"/>
      <c r="C459" s="9"/>
      <c r="D459" s="4" t="s">
        <v>111</v>
      </c>
      <c r="E459" s="27">
        <f>Місто!E460-'[1]Місто'!E457</f>
        <v>0</v>
      </c>
      <c r="F459" s="27">
        <f>Місто!F460-'[1]Місто'!F457</f>
        <v>0</v>
      </c>
      <c r="G459" s="27">
        <f>Місто!G460-'[1]Місто'!G457</f>
        <v>0</v>
      </c>
      <c r="H459" s="27">
        <f>Місто!H460-'[1]Місто'!H457</f>
        <v>0</v>
      </c>
      <c r="I459" s="27">
        <f>Місто!I460-'[1]Місто'!I457</f>
        <v>0</v>
      </c>
      <c r="J459" s="27">
        <f>Місто!J460-'[1]Місто'!J457</f>
        <v>0</v>
      </c>
      <c r="K459" s="27">
        <f>Місто!K460-'[1]Місто'!K457</f>
        <v>0</v>
      </c>
      <c r="L459" s="27">
        <f>Місто!L460-'[1]Місто'!L457</f>
        <v>0</v>
      </c>
      <c r="M459" s="27">
        <f>Місто!M460-'[1]Місто'!M457</f>
        <v>0</v>
      </c>
      <c r="N459" s="27">
        <f>Місто!N460-'[1]Місто'!N457</f>
        <v>0</v>
      </c>
      <c r="O459" s="27">
        <f>Місто!O460-'[1]Місто'!O457</f>
        <v>0</v>
      </c>
      <c r="P459" s="28">
        <f>Місто!P460-'[1]Місто'!P457</f>
        <v>0</v>
      </c>
      <c r="Q459" s="165"/>
      <c r="W459" s="165">
        <f t="shared" si="6"/>
        <v>0</v>
      </c>
    </row>
    <row r="460" spans="1:23" s="166" customFormat="1" ht="51" hidden="1">
      <c r="A460" s="164"/>
      <c r="B460" s="9"/>
      <c r="C460" s="9"/>
      <c r="D460" s="4" t="s">
        <v>222</v>
      </c>
      <c r="E460" s="27">
        <f>Місто!E461-'[1]Місто'!E458</f>
        <v>49883</v>
      </c>
      <c r="F460" s="27">
        <f>Місто!F461-'[1]Місто'!F458</f>
        <v>49883</v>
      </c>
      <c r="G460" s="27">
        <f>Місто!G461-'[1]Місто'!G458</f>
        <v>0</v>
      </c>
      <c r="H460" s="27">
        <f>Місто!H461-'[1]Місто'!H458</f>
        <v>0</v>
      </c>
      <c r="I460" s="27">
        <f>Місто!I461-'[1]Місто'!I458</f>
        <v>0</v>
      </c>
      <c r="J460" s="27">
        <f>Місто!J461-'[1]Місто'!J458</f>
        <v>0</v>
      </c>
      <c r="K460" s="27">
        <f>Місто!K461-'[1]Місто'!K458</f>
        <v>0</v>
      </c>
      <c r="L460" s="27">
        <f>Місто!L461-'[1]Місто'!L458</f>
        <v>0</v>
      </c>
      <c r="M460" s="27">
        <f>Місто!M461-'[1]Місто'!M458</f>
        <v>0</v>
      </c>
      <c r="N460" s="27">
        <f>Місто!N461-'[1]Місто'!N458</f>
        <v>0</v>
      </c>
      <c r="O460" s="27">
        <f>Місто!O461-'[1]Місто'!O458</f>
        <v>0</v>
      </c>
      <c r="P460" s="28">
        <f>Місто!P461-'[1]Місто'!P458</f>
        <v>49883</v>
      </c>
      <c r="Q460" s="165"/>
      <c r="W460" s="165">
        <f t="shared" si="6"/>
        <v>0</v>
      </c>
    </row>
    <row r="461" spans="1:23" s="166" customFormat="1" ht="51" hidden="1">
      <c r="A461" s="164"/>
      <c r="B461" s="9"/>
      <c r="C461" s="9"/>
      <c r="D461" s="4" t="s">
        <v>190</v>
      </c>
      <c r="E461" s="27">
        <f>Місто!E462-'[1]Місто'!E459</f>
        <v>0</v>
      </c>
      <c r="F461" s="27">
        <f>Місто!F462-'[1]Місто'!F459</f>
        <v>0</v>
      </c>
      <c r="G461" s="27">
        <f>Місто!G462-'[1]Місто'!G459</f>
        <v>0</v>
      </c>
      <c r="H461" s="27">
        <f>Місто!H462-'[1]Місто'!H459</f>
        <v>0</v>
      </c>
      <c r="I461" s="27">
        <f>Місто!I462-'[1]Місто'!I459</f>
        <v>0</v>
      </c>
      <c r="J461" s="27">
        <f>Місто!J462-'[1]Місто'!J459</f>
        <v>0</v>
      </c>
      <c r="K461" s="27">
        <f>Місто!K462-'[1]Місто'!K459</f>
        <v>0</v>
      </c>
      <c r="L461" s="27">
        <f>Місто!L462-'[1]Місто'!L459</f>
        <v>0</v>
      </c>
      <c r="M461" s="27">
        <f>Місто!M462-'[1]Місто'!M459</f>
        <v>0</v>
      </c>
      <c r="N461" s="27">
        <f>Місто!N462-'[1]Місто'!N459</f>
        <v>0</v>
      </c>
      <c r="O461" s="27">
        <f>Місто!O462-'[1]Місто'!O459</f>
        <v>0</v>
      </c>
      <c r="P461" s="28">
        <f>Місто!P462-'[1]Місто'!P459</f>
        <v>0</v>
      </c>
      <c r="Q461" s="165"/>
      <c r="W461" s="165">
        <f t="shared" si="6"/>
        <v>0</v>
      </c>
    </row>
    <row r="462" spans="1:23" s="166" customFormat="1" ht="12.75" hidden="1">
      <c r="A462" s="164"/>
      <c r="B462" s="9"/>
      <c r="C462" s="9"/>
      <c r="D462" s="4" t="s">
        <v>43</v>
      </c>
      <c r="E462" s="27">
        <f>Місто!E463-'[1]Місто'!E460</f>
        <v>50004</v>
      </c>
      <c r="F462" s="27">
        <f>Місто!F463-'[1]Місто'!F460</f>
        <v>50004</v>
      </c>
      <c r="G462" s="27">
        <f>Місто!G463-'[1]Місто'!G460</f>
        <v>0</v>
      </c>
      <c r="H462" s="27">
        <f>Місто!H463-'[1]Місто'!H460</f>
        <v>0</v>
      </c>
      <c r="I462" s="27">
        <f>Місто!I463-'[1]Місто'!I460</f>
        <v>0</v>
      </c>
      <c r="J462" s="27">
        <f>Місто!J463-'[1]Місто'!J460</f>
        <v>0</v>
      </c>
      <c r="K462" s="27">
        <f>Місто!K463-'[1]Місто'!K460</f>
        <v>0</v>
      </c>
      <c r="L462" s="27">
        <f>Місто!L463-'[1]Місто'!L460</f>
        <v>0</v>
      </c>
      <c r="M462" s="27">
        <f>Місто!M463-'[1]Місто'!M460</f>
        <v>0</v>
      </c>
      <c r="N462" s="27">
        <f>Місто!N463-'[1]Місто'!N460</f>
        <v>0</v>
      </c>
      <c r="O462" s="27">
        <f>Місто!O463-'[1]Місто'!O460</f>
        <v>0</v>
      </c>
      <c r="P462" s="28">
        <f>Місто!P463-'[1]Місто'!P460</f>
        <v>50004</v>
      </c>
      <c r="Q462" s="165"/>
      <c r="W462" s="165">
        <f t="shared" si="6"/>
        <v>0</v>
      </c>
    </row>
    <row r="463" spans="1:23" s="166" customFormat="1" ht="24" hidden="1">
      <c r="A463" s="164"/>
      <c r="B463" s="9"/>
      <c r="C463" s="9"/>
      <c r="D463" s="40" t="s">
        <v>105</v>
      </c>
      <c r="E463" s="27">
        <f>Місто!E464-'[1]Місто'!E461</f>
        <v>0</v>
      </c>
      <c r="F463" s="27">
        <f>Місто!F464-'[1]Місто'!F461</f>
        <v>0</v>
      </c>
      <c r="G463" s="27">
        <f>Місто!G464-'[1]Місто'!G461</f>
        <v>0</v>
      </c>
      <c r="H463" s="27">
        <f>Місто!H464-'[1]Місто'!H461</f>
        <v>0</v>
      </c>
      <c r="I463" s="27">
        <f>Місто!I464-'[1]Місто'!I461</f>
        <v>0</v>
      </c>
      <c r="J463" s="27">
        <f>Місто!J464-'[1]Місто'!J461</f>
        <v>0</v>
      </c>
      <c r="K463" s="27">
        <f>Місто!K464-'[1]Місто'!K461</f>
        <v>0</v>
      </c>
      <c r="L463" s="27">
        <f>Місто!L464-'[1]Місто'!L461</f>
        <v>0</v>
      </c>
      <c r="M463" s="27">
        <f>Місто!M464-'[1]Місто'!M461</f>
        <v>0</v>
      </c>
      <c r="N463" s="27">
        <f>Місто!N464-'[1]Місто'!N461</f>
        <v>0</v>
      </c>
      <c r="O463" s="27">
        <f>Місто!O464-'[1]Місто'!O461</f>
        <v>0</v>
      </c>
      <c r="P463" s="28">
        <f>Місто!P464-'[1]Місто'!P461</f>
        <v>0</v>
      </c>
      <c r="Q463" s="165"/>
      <c r="W463" s="165">
        <f t="shared" si="6"/>
        <v>0</v>
      </c>
    </row>
    <row r="464" spans="1:23" s="54" customFormat="1" ht="38.25">
      <c r="A464" s="98"/>
      <c r="B464" s="98" t="s">
        <v>164</v>
      </c>
      <c r="C464" s="98"/>
      <c r="D464" s="20" t="s">
        <v>140</v>
      </c>
      <c r="E464" s="52">
        <f>Місто!E465-'[1]Місто'!E462</f>
        <v>11802004</v>
      </c>
      <c r="F464" s="52">
        <f>Місто!F465-'[1]Місто'!F462</f>
        <v>11802004</v>
      </c>
      <c r="G464" s="52">
        <f>Місто!G465-'[1]Місто'!G462</f>
        <v>381043</v>
      </c>
      <c r="H464" s="52">
        <f>Місто!H465-'[1]Місто'!H462</f>
        <v>0</v>
      </c>
      <c r="I464" s="52">
        <f>Місто!I465-'[1]Місто'!I462</f>
        <v>0</v>
      </c>
      <c r="J464" s="52">
        <f>Місто!J465-'[1]Місто'!J462</f>
        <v>4148957</v>
      </c>
      <c r="K464" s="52">
        <f>Місто!K465-'[1]Місто'!K462</f>
        <v>0</v>
      </c>
      <c r="L464" s="52">
        <f>Місто!L465-'[1]Місто'!L462</f>
        <v>0</v>
      </c>
      <c r="M464" s="52">
        <f>Місто!M465-'[1]Місто'!M462</f>
        <v>0</v>
      </c>
      <c r="N464" s="52">
        <f>Місто!N465-'[1]Місто'!N462</f>
        <v>4148957</v>
      </c>
      <c r="O464" s="52">
        <f>Місто!O465-'[1]Місто'!O462</f>
        <v>4148957</v>
      </c>
      <c r="P464" s="52">
        <f>Місто!P465-'[1]Місто'!P462</f>
        <v>15950961</v>
      </c>
      <c r="Q464" s="53"/>
      <c r="W464" s="53">
        <f t="shared" si="6"/>
        <v>0</v>
      </c>
    </row>
    <row r="465" spans="1:23" s="57" customFormat="1" ht="12.75">
      <c r="A465" s="42"/>
      <c r="B465" s="42" t="s">
        <v>362</v>
      </c>
      <c r="C465" s="42"/>
      <c r="D465" s="43" t="s">
        <v>363</v>
      </c>
      <c r="E465" s="44">
        <f>Місто!E466-'[1]Місто'!E463</f>
        <v>209740</v>
      </c>
      <c r="F465" s="44">
        <f>Місто!F466-'[1]Місто'!F463</f>
        <v>209740</v>
      </c>
      <c r="G465" s="44">
        <f>Місто!G466-'[1]Місто'!G463</f>
        <v>381043</v>
      </c>
      <c r="H465" s="44">
        <f>Місто!H466-'[1]Місто'!H463</f>
        <v>0</v>
      </c>
      <c r="I465" s="44">
        <f>Місто!I466-'[1]Місто'!I463</f>
        <v>0</v>
      </c>
      <c r="J465" s="44">
        <f>Місто!J466-'[1]Місто'!J463</f>
        <v>597007</v>
      </c>
      <c r="K465" s="44">
        <f>Місто!K466-'[1]Місто'!K463</f>
        <v>0</v>
      </c>
      <c r="L465" s="44">
        <f>Місто!L466-'[1]Місто'!L463</f>
        <v>0</v>
      </c>
      <c r="M465" s="44">
        <f>Місто!M466-'[1]Місто'!M463</f>
        <v>0</v>
      </c>
      <c r="N465" s="44">
        <f>Місто!N466-'[1]Місто'!N463</f>
        <v>597007</v>
      </c>
      <c r="O465" s="44">
        <f>Місто!O466-'[1]Місто'!O463</f>
        <v>597007</v>
      </c>
      <c r="P465" s="44">
        <f>Місто!P466-'[1]Місто'!P463</f>
        <v>806747</v>
      </c>
      <c r="Q465" s="53"/>
      <c r="W465" s="53">
        <f t="shared" si="6"/>
        <v>0</v>
      </c>
    </row>
    <row r="466" spans="1:23" s="57" customFormat="1" ht="12.75">
      <c r="A466" s="67"/>
      <c r="B466" s="67" t="s">
        <v>249</v>
      </c>
      <c r="C466" s="86" t="s">
        <v>441</v>
      </c>
      <c r="D466" s="43" t="s">
        <v>250</v>
      </c>
      <c r="E466" s="44">
        <f>Місто!E467-'[1]Місто'!E464</f>
        <v>209740</v>
      </c>
      <c r="F466" s="44">
        <f>Місто!F467-'[1]Місто'!F464</f>
        <v>209740</v>
      </c>
      <c r="G466" s="44">
        <f>Місто!G467-'[1]Місто'!G464</f>
        <v>381043</v>
      </c>
      <c r="H466" s="44">
        <f>Місто!H467-'[1]Місто'!H464</f>
        <v>0</v>
      </c>
      <c r="I466" s="44">
        <f>Місто!I467-'[1]Місто'!I464</f>
        <v>0</v>
      </c>
      <c r="J466" s="44">
        <f>Місто!J467-'[1]Місто'!J464</f>
        <v>597007</v>
      </c>
      <c r="K466" s="44">
        <f>Місто!K467-'[1]Місто'!K464</f>
        <v>0</v>
      </c>
      <c r="L466" s="44">
        <f>Місто!L467-'[1]Місто'!L464</f>
        <v>0</v>
      </c>
      <c r="M466" s="44">
        <f>Місто!M467-'[1]Місто'!M464</f>
        <v>0</v>
      </c>
      <c r="N466" s="44">
        <f>Місто!N467-'[1]Місто'!N464</f>
        <v>597007</v>
      </c>
      <c r="O466" s="44">
        <f>Місто!O467-'[1]Місто'!O464</f>
        <v>597007</v>
      </c>
      <c r="P466" s="44">
        <f>Місто!P467-'[1]Місто'!P464</f>
        <v>806747</v>
      </c>
      <c r="Q466" s="53"/>
      <c r="W466" s="53">
        <f t="shared" si="6"/>
        <v>0</v>
      </c>
    </row>
    <row r="467" spans="1:23" s="3" customFormat="1" ht="12.75">
      <c r="A467" s="9"/>
      <c r="B467" s="9" t="s">
        <v>374</v>
      </c>
      <c r="C467" s="9"/>
      <c r="D467" s="4" t="s">
        <v>375</v>
      </c>
      <c r="E467" s="27">
        <f>Місто!E468-'[1]Місто'!E465</f>
        <v>11478927</v>
      </c>
      <c r="F467" s="27">
        <f>Місто!F468-'[1]Місто'!F465</f>
        <v>11478927</v>
      </c>
      <c r="G467" s="27">
        <f>Місто!G468-'[1]Місто'!G465</f>
        <v>0</v>
      </c>
      <c r="H467" s="27">
        <f>Місто!H468-'[1]Місто'!H465</f>
        <v>0</v>
      </c>
      <c r="I467" s="27">
        <f>Місто!I468-'[1]Місто'!I465</f>
        <v>0</v>
      </c>
      <c r="J467" s="44">
        <f>Місто!J468-'[1]Місто'!J465</f>
        <v>0</v>
      </c>
      <c r="K467" s="27">
        <f>Місто!K468-'[1]Місто'!K465</f>
        <v>0</v>
      </c>
      <c r="L467" s="27">
        <f>Місто!L468-'[1]Місто'!L465</f>
        <v>0</v>
      </c>
      <c r="M467" s="27">
        <f>Місто!M468-'[1]Місто'!M465</f>
        <v>0</v>
      </c>
      <c r="N467" s="27">
        <f>Місто!N468-'[1]Місто'!N465</f>
        <v>0</v>
      </c>
      <c r="O467" s="27">
        <f>Місто!O468-'[1]Місто'!O465</f>
        <v>0</v>
      </c>
      <c r="P467" s="44">
        <f>Місто!P468-'[1]Місто'!P465</f>
        <v>11478927</v>
      </c>
      <c r="Q467" s="53"/>
      <c r="W467" s="53">
        <f t="shared" si="6"/>
        <v>0</v>
      </c>
    </row>
    <row r="468" spans="1:23" s="3" customFormat="1" ht="12.75">
      <c r="A468" s="9"/>
      <c r="B468" s="9" t="s">
        <v>102</v>
      </c>
      <c r="C468" s="9" t="s">
        <v>474</v>
      </c>
      <c r="D468" s="4" t="s">
        <v>106</v>
      </c>
      <c r="E468" s="27">
        <f>Місто!E470-'[1]Місто'!E466</f>
        <v>7476489</v>
      </c>
      <c r="F468" s="27">
        <f>Місто!F470-'[1]Місто'!F466</f>
        <v>7476489</v>
      </c>
      <c r="G468" s="27">
        <f>Місто!G470-'[1]Місто'!G466</f>
        <v>0</v>
      </c>
      <c r="H468" s="27">
        <f>Місто!H470-'[1]Місто'!H466</f>
        <v>0</v>
      </c>
      <c r="I468" s="27">
        <f>Місто!I470-'[1]Місто'!I466</f>
        <v>0</v>
      </c>
      <c r="J468" s="44">
        <f>Місто!J470-'[1]Місто'!J466</f>
        <v>0</v>
      </c>
      <c r="K468" s="27">
        <f>Місто!K470-'[1]Місто'!K466</f>
        <v>0</v>
      </c>
      <c r="L468" s="27">
        <f>Місто!L470-'[1]Місто'!L466</f>
        <v>0</v>
      </c>
      <c r="M468" s="27">
        <f>Місто!M470-'[1]Місто'!M466</f>
        <v>0</v>
      </c>
      <c r="N468" s="27">
        <f>Місто!N470-'[1]Місто'!N466</f>
        <v>0</v>
      </c>
      <c r="O468" s="27">
        <f>Місто!O470-'[1]Місто'!O466</f>
        <v>0</v>
      </c>
      <c r="P468" s="44">
        <f>Місто!P470-'[1]Місто'!P466</f>
        <v>7476489</v>
      </c>
      <c r="Q468" s="53"/>
      <c r="W468" s="53">
        <f t="shared" si="6"/>
        <v>0</v>
      </c>
    </row>
    <row r="469" spans="1:23" s="3" customFormat="1" ht="12.75" hidden="1">
      <c r="A469" s="39"/>
      <c r="B469" s="39" t="s">
        <v>366</v>
      </c>
      <c r="C469" s="39"/>
      <c r="D469" s="60" t="s">
        <v>283</v>
      </c>
      <c r="E469" s="38">
        <f>Місто!E473-'[1]Місто'!E467</f>
        <v>0</v>
      </c>
      <c r="F469" s="38">
        <f>Місто!F473-'[1]Місто'!F467</f>
        <v>0</v>
      </c>
      <c r="G469" s="38">
        <f>Місто!G473-'[1]Місто'!G467</f>
        <v>0</v>
      </c>
      <c r="H469" s="38">
        <f>Місто!H473-'[1]Місто'!H467</f>
        <v>0</v>
      </c>
      <c r="I469" s="38">
        <f>Місто!I473-'[1]Місто'!I467</f>
        <v>0</v>
      </c>
      <c r="J469" s="38">
        <f>Місто!J473-'[1]Місто'!J467</f>
        <v>3551950</v>
      </c>
      <c r="K469" s="38">
        <f>Місто!K473-'[1]Місто'!K467</f>
        <v>0</v>
      </c>
      <c r="L469" s="38">
        <f>Місто!L473-'[1]Місто'!L467</f>
        <v>0</v>
      </c>
      <c r="M469" s="38">
        <f>Місто!M473-'[1]Місто'!M467</f>
        <v>0</v>
      </c>
      <c r="N469" s="38">
        <f>Місто!N473-'[1]Місто'!N467</f>
        <v>3551950</v>
      </c>
      <c r="O469" s="38">
        <f>Місто!O473-'[1]Місто'!O467</f>
        <v>3551950</v>
      </c>
      <c r="P469" s="55">
        <f>Місто!P473-'[1]Місто'!P467</f>
        <v>3551950</v>
      </c>
      <c r="Q469" s="53"/>
      <c r="W469" s="53">
        <f t="shared" si="6"/>
        <v>0</v>
      </c>
    </row>
    <row r="470" spans="1:23" s="3" customFormat="1" ht="12.75" hidden="1">
      <c r="A470" s="39"/>
      <c r="B470" s="39" t="s">
        <v>338</v>
      </c>
      <c r="C470" s="74" t="s">
        <v>443</v>
      </c>
      <c r="D470" s="58" t="s">
        <v>339</v>
      </c>
      <c r="E470" s="38">
        <f>Місто!E474-'[1]Місто'!E468</f>
        <v>0</v>
      </c>
      <c r="F470" s="38">
        <f>Місто!F474-'[1]Місто'!F468</f>
        <v>0</v>
      </c>
      <c r="G470" s="38">
        <f>Місто!G474-'[1]Місто'!G468</f>
        <v>0</v>
      </c>
      <c r="H470" s="38">
        <f>Місто!H474-'[1]Місто'!H468</f>
        <v>0</v>
      </c>
      <c r="I470" s="38">
        <f>Місто!I474-'[1]Місто'!I468</f>
        <v>0</v>
      </c>
      <c r="J470" s="38">
        <f>Місто!J474-'[1]Місто'!J468</f>
        <v>3551950</v>
      </c>
      <c r="K470" s="38">
        <f>Місто!K474-'[1]Місто'!K468</f>
        <v>0</v>
      </c>
      <c r="L470" s="38">
        <f>Місто!L474-'[1]Місто'!L468</f>
        <v>0</v>
      </c>
      <c r="M470" s="38">
        <f>Місто!M474-'[1]Місто'!M468</f>
        <v>0</v>
      </c>
      <c r="N470" s="38">
        <f>Місто!N474-'[1]Місто'!N468</f>
        <v>3551950</v>
      </c>
      <c r="O470" s="76">
        <f>Місто!O474-'[1]Місто'!O468</f>
        <v>3551950</v>
      </c>
      <c r="P470" s="55">
        <f>Місто!P474-'[1]Місто'!P468</f>
        <v>3551950</v>
      </c>
      <c r="Q470" s="53"/>
      <c r="W470" s="53">
        <f t="shared" si="6"/>
        <v>0</v>
      </c>
    </row>
    <row r="471" spans="1:23" s="3" customFormat="1" ht="38.25" hidden="1">
      <c r="A471" s="39"/>
      <c r="B471" s="39"/>
      <c r="C471" s="39"/>
      <c r="D471" s="60" t="s">
        <v>351</v>
      </c>
      <c r="E471" s="38">
        <f>Місто!E475-'[1]Місто'!E469</f>
        <v>0</v>
      </c>
      <c r="F471" s="38">
        <f>Місто!F475-'[1]Місто'!F469</f>
        <v>0</v>
      </c>
      <c r="G471" s="38">
        <f>Місто!G475-'[1]Місто'!G469</f>
        <v>0</v>
      </c>
      <c r="H471" s="38">
        <f>Місто!H475-'[1]Місто'!H469</f>
        <v>0</v>
      </c>
      <c r="I471" s="38">
        <f>Місто!I475-'[1]Місто'!I469</f>
        <v>0</v>
      </c>
      <c r="J471" s="38">
        <f>Місто!J475-'[1]Місто'!J469</f>
        <v>0</v>
      </c>
      <c r="K471" s="38">
        <f>Місто!K475-'[1]Місто'!K469</f>
        <v>0</v>
      </c>
      <c r="L471" s="38">
        <f>Місто!L475-'[1]Місто'!L469</f>
        <v>0</v>
      </c>
      <c r="M471" s="38">
        <f>Місто!M475-'[1]Місто'!M469</f>
        <v>0</v>
      </c>
      <c r="N471" s="38">
        <f>Місто!N475-'[1]Місто'!N469</f>
        <v>0</v>
      </c>
      <c r="O471" s="76">
        <f>Місто!O475-'[1]Місто'!O469</f>
        <v>0</v>
      </c>
      <c r="P471" s="55">
        <f>Місто!P475-'[1]Місто'!P469</f>
        <v>0</v>
      </c>
      <c r="Q471" s="53"/>
      <c r="W471" s="53">
        <f t="shared" si="6"/>
        <v>0</v>
      </c>
    </row>
    <row r="472" spans="1:23" s="3" customFormat="1" ht="38.25" hidden="1">
      <c r="A472" s="39"/>
      <c r="B472" s="39" t="s">
        <v>285</v>
      </c>
      <c r="C472" s="39"/>
      <c r="D472" s="73" t="s">
        <v>241</v>
      </c>
      <c r="E472" s="38">
        <f>Місто!E476-'[1]Місто'!E470</f>
        <v>0</v>
      </c>
      <c r="F472" s="38">
        <f>Місто!F476-'[1]Місто'!F470</f>
        <v>0</v>
      </c>
      <c r="G472" s="38">
        <f>Місто!G476-'[1]Місто'!G470</f>
        <v>0</v>
      </c>
      <c r="H472" s="38">
        <f>Місто!H476-'[1]Місто'!H470</f>
        <v>0</v>
      </c>
      <c r="I472" s="38">
        <f>Місто!I476-'[1]Місто'!I470</f>
        <v>0</v>
      </c>
      <c r="J472" s="38">
        <f>Місто!J476-'[1]Місто'!J470</f>
        <v>0</v>
      </c>
      <c r="K472" s="38">
        <f>Місто!K476-'[1]Місто'!K470</f>
        <v>0</v>
      </c>
      <c r="L472" s="38">
        <f>Місто!L476-'[1]Місто'!L470</f>
        <v>0</v>
      </c>
      <c r="M472" s="38">
        <f>Місто!M476-'[1]Місто'!M470</f>
        <v>0</v>
      </c>
      <c r="N472" s="38">
        <f>Місто!N476-'[1]Місто'!N470</f>
        <v>0</v>
      </c>
      <c r="O472" s="76">
        <f>Місто!O476-'[1]Місто'!O470</f>
        <v>0</v>
      </c>
      <c r="P472" s="55">
        <f>Місто!P476-'[1]Місто'!P470</f>
        <v>0</v>
      </c>
      <c r="Q472" s="53"/>
      <c r="W472" s="53">
        <f t="shared" si="6"/>
        <v>0</v>
      </c>
    </row>
    <row r="473" spans="1:23" s="3" customFormat="1" ht="12.75" hidden="1">
      <c r="A473" s="9"/>
      <c r="B473" s="9" t="s">
        <v>369</v>
      </c>
      <c r="C473" s="9"/>
      <c r="D473" s="4" t="s">
        <v>373</v>
      </c>
      <c r="E473" s="27">
        <f>Місто!E477-'[1]Місто'!E471</f>
        <v>0</v>
      </c>
      <c r="F473" s="27">
        <f>Місто!F477-'[1]Місто'!F471</f>
        <v>0</v>
      </c>
      <c r="G473" s="27">
        <f>Місто!G477-'[1]Місто'!G471</f>
        <v>0</v>
      </c>
      <c r="H473" s="27">
        <f>Місто!H477-'[1]Місто'!H471</f>
        <v>0</v>
      </c>
      <c r="I473" s="27">
        <f>Місто!I477-'[1]Місто'!I471</f>
        <v>0</v>
      </c>
      <c r="J473" s="27">
        <f>Місто!J477-'[1]Місто'!J471</f>
        <v>0</v>
      </c>
      <c r="K473" s="27">
        <f>Місто!K477-'[1]Місто'!K471</f>
        <v>0</v>
      </c>
      <c r="L473" s="27">
        <f>Місто!L477-'[1]Місто'!L471</f>
        <v>0</v>
      </c>
      <c r="M473" s="27">
        <f>Місто!M477-'[1]Місто'!M471</f>
        <v>0</v>
      </c>
      <c r="N473" s="27">
        <f>Місто!N477-'[1]Місто'!N471</f>
        <v>0</v>
      </c>
      <c r="O473" s="27">
        <f>Місто!O477-'[1]Місто'!O471</f>
        <v>0</v>
      </c>
      <c r="P473" s="44">
        <f>Місто!P477-'[1]Місто'!P471</f>
        <v>0</v>
      </c>
      <c r="Q473" s="53"/>
      <c r="W473" s="53">
        <f t="shared" si="6"/>
        <v>0</v>
      </c>
    </row>
    <row r="474" spans="1:23" s="3" customFormat="1" ht="63.75" hidden="1">
      <c r="A474" s="9"/>
      <c r="B474" s="9" t="s">
        <v>287</v>
      </c>
      <c r="C474" s="9"/>
      <c r="D474" s="73" t="s">
        <v>109</v>
      </c>
      <c r="E474" s="27">
        <f>Місто!E478-'[1]Місто'!E472</f>
        <v>0</v>
      </c>
      <c r="F474" s="27">
        <f>Місто!F478-'[1]Місто'!F472</f>
        <v>0</v>
      </c>
      <c r="G474" s="27">
        <f>Місто!G478-'[1]Місто'!G472</f>
        <v>0</v>
      </c>
      <c r="H474" s="27">
        <f>Місто!H478-'[1]Місто'!H472</f>
        <v>0</v>
      </c>
      <c r="I474" s="27">
        <f>Місто!I478-'[1]Місто'!I472</f>
        <v>0</v>
      </c>
      <c r="J474" s="27">
        <f>Місто!J478-'[1]Місто'!J472</f>
        <v>0</v>
      </c>
      <c r="K474" s="27">
        <f>Місто!K478-'[1]Місто'!K472</f>
        <v>0</v>
      </c>
      <c r="L474" s="27">
        <f>Місто!L478-'[1]Місто'!L472</f>
        <v>0</v>
      </c>
      <c r="M474" s="27">
        <f>Місто!M478-'[1]Місто'!M472</f>
        <v>0</v>
      </c>
      <c r="N474" s="27">
        <f>Місто!N478-'[1]Місто'!N472</f>
        <v>0</v>
      </c>
      <c r="O474" s="27">
        <f>Місто!O478-'[1]Місто'!O472</f>
        <v>0</v>
      </c>
      <c r="P474" s="44">
        <f>Місто!P478-'[1]Місто'!P472</f>
        <v>0</v>
      </c>
      <c r="Q474" s="53"/>
      <c r="W474" s="53">
        <f t="shared" si="6"/>
        <v>0</v>
      </c>
    </row>
    <row r="475" spans="1:23" s="3" customFormat="1" ht="18" customHeight="1">
      <c r="A475" s="9"/>
      <c r="B475" s="9" t="s">
        <v>371</v>
      </c>
      <c r="C475" s="9"/>
      <c r="D475" s="60" t="s">
        <v>372</v>
      </c>
      <c r="E475" s="27">
        <f>Місто!E479-'[1]Місто'!E473</f>
        <v>113337</v>
      </c>
      <c r="F475" s="27">
        <f>Місто!F479-'[1]Місто'!F473</f>
        <v>113337</v>
      </c>
      <c r="G475" s="27">
        <f>Місто!G479-'[1]Місто'!G473</f>
        <v>0</v>
      </c>
      <c r="H475" s="27">
        <f>Місто!H479-'[1]Місто'!H473</f>
        <v>0</v>
      </c>
      <c r="I475" s="27">
        <f>Місто!I479-'[1]Місто'!I473</f>
        <v>0</v>
      </c>
      <c r="J475" s="27">
        <f>Місто!J479-'[1]Місто'!J473</f>
        <v>0</v>
      </c>
      <c r="K475" s="27">
        <f>Місто!K479-'[1]Місто'!K473</f>
        <v>0</v>
      </c>
      <c r="L475" s="27">
        <f>Місто!L479-'[1]Місто'!L473</f>
        <v>0</v>
      </c>
      <c r="M475" s="27">
        <f>Місто!M479-'[1]Місто'!M473</f>
        <v>0</v>
      </c>
      <c r="N475" s="27">
        <f>Місто!N479-'[1]Місто'!N473</f>
        <v>0</v>
      </c>
      <c r="O475" s="27">
        <f>Місто!O479-'[1]Місто'!O473</f>
        <v>0</v>
      </c>
      <c r="P475" s="44">
        <f>Місто!P479-'[1]Місто'!P473</f>
        <v>113337</v>
      </c>
      <c r="Q475" s="53"/>
      <c r="W475" s="53">
        <f t="shared" si="6"/>
        <v>0</v>
      </c>
    </row>
    <row r="476" spans="1:23" s="3" customFormat="1" ht="38.25" hidden="1">
      <c r="A476" s="9"/>
      <c r="B476" s="74" t="s">
        <v>305</v>
      </c>
      <c r="C476" s="74" t="s">
        <v>494</v>
      </c>
      <c r="D476" s="73" t="s">
        <v>12</v>
      </c>
      <c r="E476" s="27">
        <f>Місто!E480-'[1]Місто'!E474</f>
        <v>0</v>
      </c>
      <c r="F476" s="27">
        <f>Місто!F480-'[1]Місто'!F474</f>
        <v>0</v>
      </c>
      <c r="G476" s="27">
        <f>Місто!G480-'[1]Місто'!G474</f>
        <v>0</v>
      </c>
      <c r="H476" s="27">
        <f>Місто!H480-'[1]Місто'!H474</f>
        <v>0</v>
      </c>
      <c r="I476" s="27">
        <f>Місто!I480-'[1]Місто'!I474</f>
        <v>0</v>
      </c>
      <c r="J476" s="27">
        <f>Місто!J480-'[1]Місто'!J474</f>
        <v>0</v>
      </c>
      <c r="K476" s="27">
        <f>Місто!K480-'[1]Місто'!K474</f>
        <v>0</v>
      </c>
      <c r="L476" s="27">
        <f>Місто!L480-'[1]Місто'!L474</f>
        <v>0</v>
      </c>
      <c r="M476" s="27">
        <f>Місто!M480-'[1]Місто'!M474</f>
        <v>0</v>
      </c>
      <c r="N476" s="27">
        <f>Місто!N480-'[1]Місто'!N474</f>
        <v>0</v>
      </c>
      <c r="O476" s="27">
        <f>Місто!O480-'[1]Місто'!O474</f>
        <v>0</v>
      </c>
      <c r="P476" s="44">
        <f>Місто!P480-'[1]Місто'!P474</f>
        <v>0</v>
      </c>
      <c r="Q476" s="53"/>
      <c r="W476" s="53"/>
    </row>
    <row r="477" spans="1:23" s="3" customFormat="1" ht="63.75" hidden="1">
      <c r="A477" s="9"/>
      <c r="B477" s="39"/>
      <c r="C477" s="39"/>
      <c r="D477" s="68" t="s">
        <v>493</v>
      </c>
      <c r="E477" s="27">
        <f>Місто!E481-'[1]Місто'!E475</f>
        <v>0</v>
      </c>
      <c r="F477" s="27">
        <f>Місто!F481-'[1]Місто'!F475</f>
        <v>0</v>
      </c>
      <c r="G477" s="27">
        <f>Місто!G481-'[1]Місто'!G475</f>
        <v>0</v>
      </c>
      <c r="H477" s="27">
        <f>Місто!H481-'[1]Місто'!H475</f>
        <v>0</v>
      </c>
      <c r="I477" s="27">
        <f>Місто!I481-'[1]Місто'!I475</f>
        <v>0</v>
      </c>
      <c r="J477" s="27">
        <f>Місто!J481-'[1]Місто'!J475</f>
        <v>0</v>
      </c>
      <c r="K477" s="27">
        <f>Місто!K481-'[1]Місто'!K475</f>
        <v>0</v>
      </c>
      <c r="L477" s="27">
        <f>Місто!L481-'[1]Місто'!L475</f>
        <v>0</v>
      </c>
      <c r="M477" s="27">
        <f>Місто!M481-'[1]Місто'!M475</f>
        <v>0</v>
      </c>
      <c r="N477" s="27">
        <f>Місто!N481-'[1]Місто'!N475</f>
        <v>0</v>
      </c>
      <c r="O477" s="27">
        <f>Місто!O481-'[1]Місто'!O475</f>
        <v>0</v>
      </c>
      <c r="P477" s="44">
        <f>Місто!P481-'[1]Місто'!P475</f>
        <v>0</v>
      </c>
      <c r="Q477" s="53"/>
      <c r="W477" s="53"/>
    </row>
    <row r="478" spans="1:23" s="3" customFormat="1" ht="12.75">
      <c r="A478" s="9"/>
      <c r="B478" s="9" t="s">
        <v>288</v>
      </c>
      <c r="C478" s="9" t="s">
        <v>444</v>
      </c>
      <c r="D478" s="4" t="s">
        <v>316</v>
      </c>
      <c r="E478" s="27">
        <f>Місто!E482-'[1]Місто'!E476</f>
        <v>113337</v>
      </c>
      <c r="F478" s="27">
        <f>Місто!F482-'[1]Місто'!F476</f>
        <v>113337</v>
      </c>
      <c r="G478" s="27">
        <f>Місто!G482-'[1]Місто'!G476</f>
        <v>0</v>
      </c>
      <c r="H478" s="27">
        <f>Місто!H482-'[1]Місто'!H476</f>
        <v>0</v>
      </c>
      <c r="I478" s="27">
        <f>Місто!I482-'[1]Місто'!I476</f>
        <v>0</v>
      </c>
      <c r="J478" s="27">
        <f>Місто!J482-'[1]Місто'!J476</f>
        <v>0</v>
      </c>
      <c r="K478" s="27">
        <f>Місто!K482-'[1]Місто'!K476</f>
        <v>0</v>
      </c>
      <c r="L478" s="27">
        <f>Місто!L482-'[1]Місто'!L476</f>
        <v>0</v>
      </c>
      <c r="M478" s="27">
        <f>Місто!M482-'[1]Місто'!M476</f>
        <v>0</v>
      </c>
      <c r="N478" s="27">
        <f>Місто!N482-'[1]Місто'!N476</f>
        <v>0</v>
      </c>
      <c r="O478" s="27">
        <f>Місто!O482-'[1]Місто'!O476</f>
        <v>0</v>
      </c>
      <c r="P478" s="44">
        <f>Місто!P482-'[1]Місто'!P476</f>
        <v>113337</v>
      </c>
      <c r="Q478" s="53"/>
      <c r="W478" s="53">
        <f t="shared" si="6"/>
        <v>0</v>
      </c>
    </row>
    <row r="479" spans="1:23" s="166" customFormat="1" ht="38.25" hidden="1">
      <c r="A479" s="164"/>
      <c r="B479" s="9"/>
      <c r="C479" s="9"/>
      <c r="D479" s="4" t="s">
        <v>187</v>
      </c>
      <c r="E479" s="27">
        <f>Місто!E483-'[1]Місто'!E477</f>
        <v>0</v>
      </c>
      <c r="F479" s="27">
        <f>Місто!F483-'[1]Місто'!F477</f>
        <v>0</v>
      </c>
      <c r="G479" s="27">
        <f>Місто!G483-'[1]Місто'!G477</f>
        <v>0</v>
      </c>
      <c r="H479" s="27">
        <f>Місто!H483-'[1]Місто'!H477</f>
        <v>0</v>
      </c>
      <c r="I479" s="27">
        <f>Місто!I483-'[1]Місто'!I477</f>
        <v>0</v>
      </c>
      <c r="J479" s="27">
        <f>Місто!J483-'[1]Місто'!J477</f>
        <v>0</v>
      </c>
      <c r="K479" s="27">
        <f>Місто!K483-'[1]Місто'!K477</f>
        <v>0</v>
      </c>
      <c r="L479" s="27">
        <f>Місто!L483-'[1]Місто'!L477</f>
        <v>0</v>
      </c>
      <c r="M479" s="27">
        <f>Місто!M483-'[1]Місто'!M477</f>
        <v>0</v>
      </c>
      <c r="N479" s="27">
        <f>Місто!N483-'[1]Місто'!N477</f>
        <v>0</v>
      </c>
      <c r="O479" s="27">
        <f>Місто!O483-'[1]Місто'!O477</f>
        <v>0</v>
      </c>
      <c r="P479" s="26">
        <f>Місто!P483-'[1]Місто'!P477</f>
        <v>0</v>
      </c>
      <c r="Q479" s="165"/>
      <c r="W479" s="165">
        <f t="shared" si="6"/>
        <v>0</v>
      </c>
    </row>
    <row r="480" spans="1:23" s="166" customFormat="1" ht="25.5" hidden="1">
      <c r="A480" s="164"/>
      <c r="B480" s="9"/>
      <c r="C480" s="9"/>
      <c r="D480" s="6" t="s">
        <v>208</v>
      </c>
      <c r="E480" s="27">
        <f>Місто!E484-'[1]Місто'!E478</f>
        <v>0</v>
      </c>
      <c r="F480" s="27">
        <f>Місто!F484-'[1]Місто'!F478</f>
        <v>0</v>
      </c>
      <c r="G480" s="27">
        <f>Місто!G484-'[1]Місто'!G478</f>
        <v>0</v>
      </c>
      <c r="H480" s="27">
        <f>Місто!H484-'[1]Місто'!H478</f>
        <v>0</v>
      </c>
      <c r="I480" s="27">
        <f>Місто!I484-'[1]Місто'!I478</f>
        <v>0</v>
      </c>
      <c r="J480" s="27">
        <f>Місто!J484-'[1]Місто'!J478</f>
        <v>0</v>
      </c>
      <c r="K480" s="27">
        <f>Місто!K484-'[1]Місто'!K478</f>
        <v>0</v>
      </c>
      <c r="L480" s="27">
        <f>Місто!L484-'[1]Місто'!L478</f>
        <v>0</v>
      </c>
      <c r="M480" s="27">
        <f>Місто!M484-'[1]Місто'!M478</f>
        <v>0</v>
      </c>
      <c r="N480" s="27">
        <f>Місто!N484-'[1]Місто'!N478</f>
        <v>0</v>
      </c>
      <c r="O480" s="27">
        <f>Місто!O484-'[1]Місто'!O478</f>
        <v>0</v>
      </c>
      <c r="P480" s="26">
        <f>Місто!P484-'[1]Місто'!P478</f>
        <v>0</v>
      </c>
      <c r="Q480" s="165"/>
      <c r="W480" s="165">
        <f t="shared" si="6"/>
        <v>0</v>
      </c>
    </row>
    <row r="481" spans="1:23" s="166" customFormat="1" ht="25.5" hidden="1">
      <c r="A481" s="164"/>
      <c r="B481" s="9"/>
      <c r="C481" s="9"/>
      <c r="D481" s="4" t="s">
        <v>207</v>
      </c>
      <c r="E481" s="27">
        <f>Місто!E485-'[1]Місто'!E479</f>
        <v>0</v>
      </c>
      <c r="F481" s="27">
        <f>Місто!F485-'[1]Місто'!F479</f>
        <v>0</v>
      </c>
      <c r="G481" s="27">
        <f>Місто!G485-'[1]Місто'!G479</f>
        <v>0</v>
      </c>
      <c r="H481" s="27">
        <f>Місто!H485-'[1]Місто'!H479</f>
        <v>0</v>
      </c>
      <c r="I481" s="27">
        <f>Місто!I485-'[1]Місто'!I479</f>
        <v>0</v>
      </c>
      <c r="J481" s="27">
        <f>Місто!J485-'[1]Місто'!J479</f>
        <v>0</v>
      </c>
      <c r="K481" s="27">
        <f>Місто!K485-'[1]Місто'!K479</f>
        <v>0</v>
      </c>
      <c r="L481" s="27">
        <f>Місто!L485-'[1]Місто'!L479</f>
        <v>0</v>
      </c>
      <c r="M481" s="27">
        <f>Місто!M485-'[1]Місто'!M479</f>
        <v>0</v>
      </c>
      <c r="N481" s="27">
        <f>Місто!N485-'[1]Місто'!N479</f>
        <v>0</v>
      </c>
      <c r="O481" s="27">
        <f>Місто!O485-'[1]Місто'!O479</f>
        <v>0</v>
      </c>
      <c r="P481" s="26">
        <f>Місто!P485-'[1]Місто'!P479</f>
        <v>0</v>
      </c>
      <c r="Q481" s="165"/>
      <c r="W481" s="165">
        <f t="shared" si="6"/>
        <v>0</v>
      </c>
    </row>
    <row r="482" spans="1:23" s="166" customFormat="1" ht="25.5" hidden="1">
      <c r="A482" s="164"/>
      <c r="B482" s="9"/>
      <c r="C482" s="9"/>
      <c r="D482" s="4" t="s">
        <v>111</v>
      </c>
      <c r="E482" s="27">
        <f>Місто!E486-'[1]Місто'!E480</f>
        <v>0</v>
      </c>
      <c r="F482" s="27">
        <f>Місто!F486-'[1]Місто'!F480</f>
        <v>0</v>
      </c>
      <c r="G482" s="27">
        <f>Місто!G486-'[1]Місто'!G480</f>
        <v>0</v>
      </c>
      <c r="H482" s="27">
        <f>Місто!H486-'[1]Місто'!H480</f>
        <v>0</v>
      </c>
      <c r="I482" s="27">
        <f>Місто!I486-'[1]Місто'!I480</f>
        <v>0</v>
      </c>
      <c r="J482" s="27">
        <f>Місто!J486-'[1]Місто'!J480</f>
        <v>0</v>
      </c>
      <c r="K482" s="27">
        <f>Місто!K486-'[1]Місто'!K480</f>
        <v>0</v>
      </c>
      <c r="L482" s="27">
        <f>Місто!L486-'[1]Місто'!L480</f>
        <v>0</v>
      </c>
      <c r="M482" s="27">
        <f>Місто!M486-'[1]Місто'!M480</f>
        <v>0</v>
      </c>
      <c r="N482" s="27">
        <f>Місто!N486-'[1]Місто'!N480</f>
        <v>0</v>
      </c>
      <c r="O482" s="27">
        <f>Місто!O486-'[1]Місто'!O480</f>
        <v>0</v>
      </c>
      <c r="P482" s="26">
        <f>Місто!P486-'[1]Місто'!P480</f>
        <v>0</v>
      </c>
      <c r="Q482" s="165"/>
      <c r="W482" s="165">
        <f t="shared" si="6"/>
        <v>0</v>
      </c>
    </row>
    <row r="483" spans="1:23" s="166" customFormat="1" ht="51" hidden="1">
      <c r="A483" s="164"/>
      <c r="B483" s="9"/>
      <c r="C483" s="9"/>
      <c r="D483" s="4" t="s">
        <v>222</v>
      </c>
      <c r="E483" s="27">
        <f>Місто!E487-'[1]Місто'!E481</f>
        <v>82559</v>
      </c>
      <c r="F483" s="27">
        <f>Місто!F487-'[1]Місто'!F481</f>
        <v>82559</v>
      </c>
      <c r="G483" s="27">
        <f>Місто!G487-'[1]Місто'!G481</f>
        <v>0</v>
      </c>
      <c r="H483" s="27">
        <f>Місто!H487-'[1]Місто'!H481</f>
        <v>0</v>
      </c>
      <c r="I483" s="27">
        <f>Місто!I487-'[1]Місто'!I481</f>
        <v>0</v>
      </c>
      <c r="J483" s="27">
        <f>Місто!J487-'[1]Місто'!J481</f>
        <v>0</v>
      </c>
      <c r="K483" s="27">
        <f>Місто!K487-'[1]Місто'!K481</f>
        <v>0</v>
      </c>
      <c r="L483" s="27">
        <f>Місто!L487-'[1]Місто'!L481</f>
        <v>0</v>
      </c>
      <c r="M483" s="27">
        <f>Місто!M487-'[1]Місто'!M481</f>
        <v>0</v>
      </c>
      <c r="N483" s="27">
        <f>Місто!N487-'[1]Місто'!N481</f>
        <v>0</v>
      </c>
      <c r="O483" s="27">
        <f>Місто!O487-'[1]Місто'!O481</f>
        <v>0</v>
      </c>
      <c r="P483" s="26">
        <f>Місто!P487-'[1]Місто'!P481</f>
        <v>82559</v>
      </c>
      <c r="Q483" s="165"/>
      <c r="W483" s="165">
        <f t="shared" si="6"/>
        <v>0</v>
      </c>
    </row>
    <row r="484" spans="1:23" s="166" customFormat="1" ht="12.75" hidden="1">
      <c r="A484" s="164"/>
      <c r="B484" s="9"/>
      <c r="C484" s="9"/>
      <c r="D484" s="4" t="s">
        <v>43</v>
      </c>
      <c r="E484" s="27">
        <f>Місто!E488-'[1]Місто'!E482</f>
        <v>30778</v>
      </c>
      <c r="F484" s="27">
        <f>Місто!F488-'[1]Місто'!F482</f>
        <v>30778</v>
      </c>
      <c r="G484" s="27">
        <f>Місто!G488-'[1]Місто'!G482</f>
        <v>0</v>
      </c>
      <c r="H484" s="27">
        <f>Місто!H488-'[1]Місто'!H482</f>
        <v>0</v>
      </c>
      <c r="I484" s="27">
        <f>Місто!I488-'[1]Місто'!I482</f>
        <v>0</v>
      </c>
      <c r="J484" s="27">
        <f>Місто!J488-'[1]Місто'!J482</f>
        <v>0</v>
      </c>
      <c r="K484" s="27">
        <f>Місто!K488-'[1]Місто'!K482</f>
        <v>0</v>
      </c>
      <c r="L484" s="27">
        <f>Місто!L488-'[1]Місто'!L482</f>
        <v>0</v>
      </c>
      <c r="M484" s="27">
        <f>Місто!M488-'[1]Місто'!M482</f>
        <v>0</v>
      </c>
      <c r="N484" s="27">
        <f>Місто!N488-'[1]Місто'!N482</f>
        <v>0</v>
      </c>
      <c r="O484" s="27">
        <f>Місто!O488-'[1]Місто'!O482</f>
        <v>0</v>
      </c>
      <c r="P484" s="26">
        <f>Місто!P488-'[1]Місто'!P482</f>
        <v>0</v>
      </c>
      <c r="Q484" s="165"/>
      <c r="W484" s="165">
        <f t="shared" si="6"/>
        <v>0</v>
      </c>
    </row>
    <row r="485" spans="1:23" s="166" customFormat="1" ht="24" hidden="1">
      <c r="A485" s="164"/>
      <c r="B485" s="9"/>
      <c r="C485" s="9"/>
      <c r="D485" s="40" t="s">
        <v>105</v>
      </c>
      <c r="E485" s="27">
        <f>Місто!E489-'[1]Місто'!E483</f>
        <v>0</v>
      </c>
      <c r="F485" s="27">
        <f>Місто!F489-'[1]Місто'!F483</f>
        <v>0</v>
      </c>
      <c r="G485" s="27">
        <f>Місто!G489-'[1]Місто'!G483</f>
        <v>0</v>
      </c>
      <c r="H485" s="27">
        <f>Місто!H489-'[1]Місто'!H483</f>
        <v>0</v>
      </c>
      <c r="I485" s="27">
        <f>Місто!I489-'[1]Місто'!I483</f>
        <v>0</v>
      </c>
      <c r="J485" s="27">
        <f>Місто!J489-'[1]Місто'!J483</f>
        <v>0</v>
      </c>
      <c r="K485" s="27">
        <f>Місто!K489-'[1]Місто'!K483</f>
        <v>0</v>
      </c>
      <c r="L485" s="27">
        <f>Місто!L489-'[1]Місто'!L483</f>
        <v>0</v>
      </c>
      <c r="M485" s="27">
        <f>Місто!M489-'[1]Місто'!M483</f>
        <v>0</v>
      </c>
      <c r="N485" s="27">
        <f>Місто!N489-'[1]Місто'!N483</f>
        <v>0</v>
      </c>
      <c r="O485" s="27">
        <f>Місто!O489-'[1]Місто'!O483</f>
        <v>0</v>
      </c>
      <c r="P485" s="26">
        <f>Місто!P489-'[1]Місто'!P483</f>
        <v>0</v>
      </c>
      <c r="Q485" s="165"/>
      <c r="W485" s="165">
        <f t="shared" si="6"/>
        <v>0</v>
      </c>
    </row>
    <row r="486" spans="1:23" s="19" customFormat="1" ht="25.5">
      <c r="A486" s="18"/>
      <c r="B486" s="18" t="s">
        <v>165</v>
      </c>
      <c r="C486" s="18"/>
      <c r="D486" s="20" t="s">
        <v>141</v>
      </c>
      <c r="E486" s="31">
        <f>Місто!E490-'[1]Місто'!E484</f>
        <v>5834287</v>
      </c>
      <c r="F486" s="31">
        <f>Місто!F490-'[1]Місто'!F484</f>
        <v>5834287</v>
      </c>
      <c r="G486" s="31">
        <f>Місто!G490-'[1]Місто'!G484</f>
        <v>296880</v>
      </c>
      <c r="H486" s="31">
        <f>Місто!H490-'[1]Місто'!H484</f>
        <v>179392</v>
      </c>
      <c r="I486" s="31">
        <f>Місто!I490-'[1]Місто'!I484</f>
        <v>0</v>
      </c>
      <c r="J486" s="31">
        <f>Місто!J490-'[1]Місто'!J484</f>
        <v>3477738</v>
      </c>
      <c r="K486" s="31">
        <f>Місто!K490-'[1]Місто'!K484</f>
        <v>0</v>
      </c>
      <c r="L486" s="31">
        <f>Місто!L490-'[1]Місто'!L484</f>
        <v>0</v>
      </c>
      <c r="M486" s="31">
        <f>Місто!M490-'[1]Місто'!M484</f>
        <v>0</v>
      </c>
      <c r="N486" s="31">
        <f>Місто!N490-'[1]Місто'!N484</f>
        <v>3477738</v>
      </c>
      <c r="O486" s="31">
        <f>Місто!O490-'[1]Місто'!O484</f>
        <v>3477738</v>
      </c>
      <c r="P486" s="31">
        <f>Місто!P490-'[1]Місто'!P484</f>
        <v>9312025</v>
      </c>
      <c r="Q486" s="53"/>
      <c r="W486" s="53">
        <f t="shared" si="6"/>
        <v>0</v>
      </c>
    </row>
    <row r="487" spans="1:23" s="3" customFormat="1" ht="12.75">
      <c r="A487" s="9"/>
      <c r="B487" s="9" t="s">
        <v>362</v>
      </c>
      <c r="C487" s="9"/>
      <c r="D487" s="4" t="s">
        <v>363</v>
      </c>
      <c r="E487" s="27">
        <f>Місто!E491-'[1]Місто'!E485</f>
        <v>31550</v>
      </c>
      <c r="F487" s="27">
        <f>Місто!F491-'[1]Місто'!F485</f>
        <v>31550</v>
      </c>
      <c r="G487" s="27">
        <f>Місто!G491-'[1]Місто'!G485</f>
        <v>296880</v>
      </c>
      <c r="H487" s="27">
        <f>Місто!H491-'[1]Місто'!H485</f>
        <v>0</v>
      </c>
      <c r="I487" s="27">
        <f>Місто!I491-'[1]Місто'!I485</f>
        <v>0</v>
      </c>
      <c r="J487" s="27">
        <f>Місто!J491-'[1]Місто'!J485</f>
        <v>0</v>
      </c>
      <c r="K487" s="27">
        <f>Місто!K491-'[1]Місто'!K485</f>
        <v>0</v>
      </c>
      <c r="L487" s="27">
        <f>Місто!L491-'[1]Місто'!L485</f>
        <v>0</v>
      </c>
      <c r="M487" s="27">
        <f>Місто!M491-'[1]Місто'!M485</f>
        <v>0</v>
      </c>
      <c r="N487" s="27">
        <f>Місто!N491-'[1]Місто'!N485</f>
        <v>0</v>
      </c>
      <c r="O487" s="27">
        <f>Місто!O491-'[1]Місто'!O485</f>
        <v>0</v>
      </c>
      <c r="P487" s="27">
        <f>Місто!P491-'[1]Місто'!P485</f>
        <v>31550</v>
      </c>
      <c r="Q487" s="53"/>
      <c r="W487" s="53">
        <f aca="true" t="shared" si="7" ref="W487:W558">N487-O487</f>
        <v>0</v>
      </c>
    </row>
    <row r="488" spans="1:23" s="1" customFormat="1" ht="12.75">
      <c r="A488" s="8"/>
      <c r="B488" s="8" t="s">
        <v>249</v>
      </c>
      <c r="C488" s="8" t="s">
        <v>441</v>
      </c>
      <c r="D488" s="10" t="s">
        <v>250</v>
      </c>
      <c r="E488" s="27">
        <f>Місто!E492-'[1]Місто'!E486</f>
        <v>31550</v>
      </c>
      <c r="F488" s="27">
        <f>Місто!F492-'[1]Місто'!F486</f>
        <v>31550</v>
      </c>
      <c r="G488" s="27">
        <f>Місто!G492-'[1]Місто'!G486</f>
        <v>296880</v>
      </c>
      <c r="H488" s="27">
        <f>Місто!H492-'[1]Місто'!H486</f>
        <v>0</v>
      </c>
      <c r="I488" s="27">
        <f>Місто!I492-'[1]Місто'!I486</f>
        <v>0</v>
      </c>
      <c r="J488" s="27">
        <f>Місто!J492-'[1]Місто'!J486</f>
        <v>0</v>
      </c>
      <c r="K488" s="27">
        <f>Місто!K492-'[1]Місто'!K486</f>
        <v>0</v>
      </c>
      <c r="L488" s="27">
        <f>Місто!L492-'[1]Місто'!L486</f>
        <v>0</v>
      </c>
      <c r="M488" s="27">
        <f>Місто!M492-'[1]Місто'!M486</f>
        <v>0</v>
      </c>
      <c r="N488" s="27">
        <f>Місто!N492-'[1]Місто'!N486</f>
        <v>0</v>
      </c>
      <c r="O488" s="29">
        <f>Місто!O492-'[1]Місто'!O486</f>
        <v>0</v>
      </c>
      <c r="P488" s="27">
        <f>Місто!P492-'[1]Місто'!P486</f>
        <v>31550</v>
      </c>
      <c r="Q488" s="53"/>
      <c r="W488" s="53">
        <f t="shared" si="7"/>
        <v>0</v>
      </c>
    </row>
    <row r="489" spans="1:23" s="3" customFormat="1" ht="12.75">
      <c r="A489" s="9"/>
      <c r="B489" s="9" t="s">
        <v>374</v>
      </c>
      <c r="C489" s="9"/>
      <c r="D489" s="4" t="s">
        <v>375</v>
      </c>
      <c r="E489" s="27">
        <f>Місто!E493-'[1]Місто'!E487</f>
        <v>5728359</v>
      </c>
      <c r="F489" s="27">
        <f>Місто!F493-'[1]Місто'!F487</f>
        <v>5728359</v>
      </c>
      <c r="G489" s="27">
        <f>Місто!G493-'[1]Місто'!G487</f>
        <v>0</v>
      </c>
      <c r="H489" s="27">
        <f>Місто!H493-'[1]Місто'!H487</f>
        <v>179392</v>
      </c>
      <c r="I489" s="27">
        <f>Місто!I493-'[1]Місто'!I487</f>
        <v>0</v>
      </c>
      <c r="J489" s="27">
        <f>Місто!J493-'[1]Місто'!J487</f>
        <v>116139</v>
      </c>
      <c r="K489" s="27">
        <f>Місто!K493-'[1]Місто'!K487</f>
        <v>0</v>
      </c>
      <c r="L489" s="27">
        <f>Місто!L493-'[1]Місто'!L487</f>
        <v>0</v>
      </c>
      <c r="M489" s="27">
        <f>Місто!M493-'[1]Місто'!M487</f>
        <v>0</v>
      </c>
      <c r="N489" s="27">
        <f>Місто!N493-'[1]Місто'!N487</f>
        <v>116139</v>
      </c>
      <c r="O489" s="27">
        <f>Місто!O493-'[1]Місто'!O487</f>
        <v>116139</v>
      </c>
      <c r="P489" s="27">
        <f>Місто!P493-'[1]Місто'!P487</f>
        <v>5844498</v>
      </c>
      <c r="Q489" s="53"/>
      <c r="W489" s="53">
        <f t="shared" si="7"/>
        <v>0</v>
      </c>
    </row>
    <row r="490" spans="1:23" s="3" customFormat="1" ht="12.75">
      <c r="A490" s="9"/>
      <c r="B490" s="9" t="s">
        <v>102</v>
      </c>
      <c r="C490" s="9" t="s">
        <v>474</v>
      </c>
      <c r="D490" s="4" t="s">
        <v>106</v>
      </c>
      <c r="E490" s="27">
        <f>Місто!E495-'[1]Місто'!E488</f>
        <v>3369475</v>
      </c>
      <c r="F490" s="27">
        <f>Місто!F495-'[1]Місто'!F488</f>
        <v>3369475</v>
      </c>
      <c r="G490" s="27">
        <f>Місто!G495-'[1]Місто'!G488</f>
        <v>0</v>
      </c>
      <c r="H490" s="27">
        <f>Місто!H495-'[1]Місто'!H488</f>
        <v>179392</v>
      </c>
      <c r="I490" s="27">
        <f>Місто!I495-'[1]Місто'!I488</f>
        <v>0</v>
      </c>
      <c r="J490" s="27">
        <f>Місто!J495-'[1]Місто'!J488</f>
        <v>116139</v>
      </c>
      <c r="K490" s="27">
        <f>Місто!K495-'[1]Місто'!K488</f>
        <v>0</v>
      </c>
      <c r="L490" s="27">
        <f>Місто!L495-'[1]Місто'!L488</f>
        <v>0</v>
      </c>
      <c r="M490" s="27">
        <f>Місто!M495-'[1]Місто'!M488</f>
        <v>0</v>
      </c>
      <c r="N490" s="27">
        <f>Місто!N495-'[1]Місто'!N488</f>
        <v>116139</v>
      </c>
      <c r="O490" s="27">
        <f>Місто!O495-'[1]Місто'!O488</f>
        <v>116139</v>
      </c>
      <c r="P490" s="27">
        <f>Місто!P495-'[1]Місто'!P488</f>
        <v>3485614</v>
      </c>
      <c r="Q490" s="53"/>
      <c r="W490" s="53">
        <f t="shared" si="7"/>
        <v>0</v>
      </c>
    </row>
    <row r="491" spans="1:23" s="3" customFormat="1" ht="12.75" hidden="1">
      <c r="A491" s="39"/>
      <c r="B491" s="39" t="s">
        <v>366</v>
      </c>
      <c r="C491" s="39"/>
      <c r="D491" s="60" t="s">
        <v>283</v>
      </c>
      <c r="E491" s="38">
        <f>Місто!E496-'[1]Місто'!E489</f>
        <v>0</v>
      </c>
      <c r="F491" s="38">
        <f>Місто!F496-'[1]Місто'!F489</f>
        <v>0</v>
      </c>
      <c r="G491" s="38">
        <f>Місто!G496-'[1]Місто'!G489</f>
        <v>0</v>
      </c>
      <c r="H491" s="38">
        <f>Місто!H496-'[1]Місто'!H489</f>
        <v>0</v>
      </c>
      <c r="I491" s="38">
        <f>Місто!I496-'[1]Місто'!I489</f>
        <v>0</v>
      </c>
      <c r="J491" s="38">
        <f>Місто!J496-'[1]Місто'!J489</f>
        <v>3361599</v>
      </c>
      <c r="K491" s="38">
        <f>Місто!K496-'[1]Місто'!K489</f>
        <v>0</v>
      </c>
      <c r="L491" s="38">
        <f>Місто!L496-'[1]Місто'!L489</f>
        <v>0</v>
      </c>
      <c r="M491" s="38">
        <f>Місто!M496-'[1]Місто'!M489</f>
        <v>0</v>
      </c>
      <c r="N491" s="38">
        <f>Місто!N496-'[1]Місто'!N489</f>
        <v>3361599</v>
      </c>
      <c r="O491" s="38">
        <f>Місто!O496-'[1]Місто'!O489</f>
        <v>3361599</v>
      </c>
      <c r="P491" s="55">
        <f>Місто!P496-'[1]Місто'!P489</f>
        <v>3361599</v>
      </c>
      <c r="Q491" s="53"/>
      <c r="W491" s="53">
        <f t="shared" si="7"/>
        <v>0</v>
      </c>
    </row>
    <row r="492" spans="1:23" s="3" customFormat="1" ht="12.75" hidden="1">
      <c r="A492" s="39"/>
      <c r="B492" s="39" t="s">
        <v>338</v>
      </c>
      <c r="C492" s="74" t="s">
        <v>443</v>
      </c>
      <c r="D492" s="58" t="s">
        <v>339</v>
      </c>
      <c r="E492" s="38">
        <f>Місто!E497-'[1]Місто'!E490</f>
        <v>0</v>
      </c>
      <c r="F492" s="38">
        <f>Місто!F497-'[1]Місто'!F490</f>
        <v>0</v>
      </c>
      <c r="G492" s="38">
        <f>Місто!G497-'[1]Місто'!G490</f>
        <v>0</v>
      </c>
      <c r="H492" s="38">
        <f>Місто!H497-'[1]Місто'!H490</f>
        <v>0</v>
      </c>
      <c r="I492" s="38">
        <f>Місто!I497-'[1]Місто'!I490</f>
        <v>0</v>
      </c>
      <c r="J492" s="38">
        <f>Місто!J497-'[1]Місто'!J490</f>
        <v>3361599</v>
      </c>
      <c r="K492" s="38">
        <f>Місто!K497-'[1]Місто'!K490</f>
        <v>0</v>
      </c>
      <c r="L492" s="38">
        <f>Місто!L497-'[1]Місто'!L490</f>
        <v>0</v>
      </c>
      <c r="M492" s="38">
        <f>Місто!M497-'[1]Місто'!M490</f>
        <v>0</v>
      </c>
      <c r="N492" s="38">
        <f>Місто!N497-'[1]Місто'!N490</f>
        <v>3361599</v>
      </c>
      <c r="O492" s="76">
        <f>Місто!O497-'[1]Місто'!O490</f>
        <v>3361599</v>
      </c>
      <c r="P492" s="55">
        <f>Місто!P497-'[1]Місто'!P490</f>
        <v>3361599</v>
      </c>
      <c r="Q492" s="53"/>
      <c r="W492" s="53">
        <f t="shared" si="7"/>
        <v>0</v>
      </c>
    </row>
    <row r="493" spans="1:23" s="3" customFormat="1" ht="25.5" hidden="1">
      <c r="A493" s="74"/>
      <c r="B493" s="74" t="s">
        <v>376</v>
      </c>
      <c r="C493" s="74"/>
      <c r="D493" s="131" t="s">
        <v>377</v>
      </c>
      <c r="E493" s="38">
        <f>Місто!E498-'[1]Місто'!E491</f>
        <v>0</v>
      </c>
      <c r="F493" s="38">
        <f>Місто!F498-'[1]Місто'!F491</f>
        <v>0</v>
      </c>
      <c r="G493" s="38">
        <f>Місто!G498-'[1]Місто'!G491</f>
        <v>0</v>
      </c>
      <c r="H493" s="38">
        <f>Місто!H498-'[1]Місто'!H491</f>
        <v>0</v>
      </c>
      <c r="I493" s="38">
        <f>Місто!I498-'[1]Місто'!I491</f>
        <v>0</v>
      </c>
      <c r="J493" s="38">
        <f>Місто!J498-'[1]Місто'!J491</f>
        <v>0</v>
      </c>
      <c r="K493" s="38">
        <f>Місто!K498-'[1]Місто'!K491</f>
        <v>0</v>
      </c>
      <c r="L493" s="38">
        <f>Місто!L498-'[1]Місто'!L491</f>
        <v>0</v>
      </c>
      <c r="M493" s="38">
        <f>Місто!M498-'[1]Місто'!M491</f>
        <v>0</v>
      </c>
      <c r="N493" s="38">
        <f>Місто!N498-'[1]Місто'!N491</f>
        <v>0</v>
      </c>
      <c r="O493" s="76">
        <f>Місто!O498-'[1]Місто'!O491</f>
        <v>0</v>
      </c>
      <c r="P493" s="55">
        <f>Місто!P498-'[1]Місто'!P491</f>
        <v>0</v>
      </c>
      <c r="Q493" s="53"/>
      <c r="W493" s="53">
        <f t="shared" si="7"/>
        <v>0</v>
      </c>
    </row>
    <row r="494" spans="1:23" s="3" customFormat="1" ht="25.5" hidden="1">
      <c r="A494" s="74"/>
      <c r="B494" s="74" t="s">
        <v>303</v>
      </c>
      <c r="C494" s="74"/>
      <c r="D494" s="132" t="s">
        <v>304</v>
      </c>
      <c r="E494" s="38">
        <f>Місто!E499-'[1]Місто'!E492</f>
        <v>0</v>
      </c>
      <c r="F494" s="38">
        <f>Місто!F499-'[1]Місто'!F492</f>
        <v>0</v>
      </c>
      <c r="G494" s="38">
        <f>Місто!G499-'[1]Місто'!G492</f>
        <v>0</v>
      </c>
      <c r="H494" s="38">
        <f>Місто!H499-'[1]Місто'!H492</f>
        <v>0</v>
      </c>
      <c r="I494" s="38">
        <f>Місто!I499-'[1]Місто'!I492</f>
        <v>0</v>
      </c>
      <c r="J494" s="38">
        <f>Місто!J499-'[1]Місто'!J492</f>
        <v>0</v>
      </c>
      <c r="K494" s="38">
        <f>Місто!K499-'[1]Місто'!K492</f>
        <v>0</v>
      </c>
      <c r="L494" s="38">
        <f>Місто!L499-'[1]Місто'!L492</f>
        <v>0</v>
      </c>
      <c r="M494" s="38">
        <f>Місто!M499-'[1]Місто'!M492</f>
        <v>0</v>
      </c>
      <c r="N494" s="38">
        <f>Місто!N499-'[1]Місто'!N492</f>
        <v>0</v>
      </c>
      <c r="O494" s="76">
        <f>Місто!O499-'[1]Місто'!O492</f>
        <v>0</v>
      </c>
      <c r="P494" s="55">
        <f>Місто!P499-'[1]Місто'!P492</f>
        <v>0</v>
      </c>
      <c r="Q494" s="53"/>
      <c r="W494" s="53">
        <f t="shared" si="7"/>
        <v>0</v>
      </c>
    </row>
    <row r="495" spans="1:23" s="3" customFormat="1" ht="12.75" hidden="1">
      <c r="A495" s="9"/>
      <c r="B495" s="9" t="s">
        <v>369</v>
      </c>
      <c r="C495" s="9"/>
      <c r="D495" s="4" t="s">
        <v>373</v>
      </c>
      <c r="E495" s="27">
        <f>Місто!E500-'[1]Місто'!E493</f>
        <v>0</v>
      </c>
      <c r="F495" s="27">
        <f>Місто!F500-'[1]Місто'!F493</f>
        <v>0</v>
      </c>
      <c r="G495" s="27">
        <f>Місто!G500-'[1]Місто'!G493</f>
        <v>0</v>
      </c>
      <c r="H495" s="27">
        <f>Місто!H500-'[1]Місто'!H493</f>
        <v>0</v>
      </c>
      <c r="I495" s="27">
        <f>Місто!I500-'[1]Місто'!I493</f>
        <v>0</v>
      </c>
      <c r="J495" s="38">
        <f>Місто!J500-'[1]Місто'!J493</f>
        <v>0</v>
      </c>
      <c r="K495" s="27">
        <f>Місто!K500-'[1]Місто'!K493</f>
        <v>0</v>
      </c>
      <c r="L495" s="27">
        <f>Місто!L500-'[1]Місто'!L493</f>
        <v>0</v>
      </c>
      <c r="M495" s="27">
        <f>Місто!M500-'[1]Місто'!M493</f>
        <v>0</v>
      </c>
      <c r="N495" s="27">
        <f>Місто!N500-'[1]Місто'!N493</f>
        <v>0</v>
      </c>
      <c r="O495" s="27">
        <f>Місто!O500-'[1]Місто'!O493</f>
        <v>0</v>
      </c>
      <c r="P495" s="55">
        <f>Місто!P500-'[1]Місто'!P493</f>
        <v>0</v>
      </c>
      <c r="Q495" s="53"/>
      <c r="W495" s="53">
        <f t="shared" si="7"/>
        <v>0</v>
      </c>
    </row>
    <row r="496" spans="1:23" s="3" customFormat="1" ht="25.5" hidden="1">
      <c r="A496" s="9"/>
      <c r="B496" s="9" t="s">
        <v>287</v>
      </c>
      <c r="C496" s="9"/>
      <c r="D496" s="4" t="s">
        <v>333</v>
      </c>
      <c r="E496" s="27">
        <f>Місто!E501-'[1]Місто'!E494</f>
        <v>0</v>
      </c>
      <c r="F496" s="27">
        <f>Місто!F501-'[1]Місто'!F494</f>
        <v>0</v>
      </c>
      <c r="G496" s="27">
        <f>Місто!G501-'[1]Місто'!G494</f>
        <v>0</v>
      </c>
      <c r="H496" s="27">
        <f>Місто!H501-'[1]Місто'!H494</f>
        <v>0</v>
      </c>
      <c r="I496" s="27">
        <f>Місто!I501-'[1]Місто'!I494</f>
        <v>0</v>
      </c>
      <c r="J496" s="38">
        <f>Місто!J501-'[1]Місто'!J494</f>
        <v>0</v>
      </c>
      <c r="K496" s="27">
        <f>Місто!K501-'[1]Місто'!K494</f>
        <v>0</v>
      </c>
      <c r="L496" s="27">
        <f>Місто!L501-'[1]Місто'!L494</f>
        <v>0</v>
      </c>
      <c r="M496" s="27">
        <f>Місто!M501-'[1]Місто'!M494</f>
        <v>0</v>
      </c>
      <c r="N496" s="27">
        <f>Місто!N501-'[1]Місто'!N494</f>
        <v>0</v>
      </c>
      <c r="O496" s="27">
        <f>Місто!O501-'[1]Місто'!O494</f>
        <v>0</v>
      </c>
      <c r="P496" s="55">
        <f>Місто!P501-'[1]Місто'!P494</f>
        <v>0</v>
      </c>
      <c r="Q496" s="53"/>
      <c r="W496" s="53">
        <f t="shared" si="7"/>
        <v>0</v>
      </c>
    </row>
    <row r="497" spans="1:23" s="3" customFormat="1" ht="38.25" hidden="1">
      <c r="A497" s="39"/>
      <c r="B497" s="39"/>
      <c r="C497" s="39"/>
      <c r="D497" s="60" t="s">
        <v>351</v>
      </c>
      <c r="E497" s="27">
        <f>Місто!E502-'[1]Місто'!E495</f>
        <v>0</v>
      </c>
      <c r="F497" s="27">
        <f>Місто!F502-'[1]Місто'!F495</f>
        <v>0</v>
      </c>
      <c r="G497" s="27">
        <f>Місто!G502-'[1]Місто'!G495</f>
        <v>0</v>
      </c>
      <c r="H497" s="27">
        <f>Місто!H502-'[1]Місто'!H495</f>
        <v>0</v>
      </c>
      <c r="I497" s="27">
        <f>Місто!I502-'[1]Місто'!I495</f>
        <v>0</v>
      </c>
      <c r="J497" s="38">
        <f>Місто!J502-'[1]Місто'!J495</f>
        <v>0</v>
      </c>
      <c r="K497" s="27">
        <f>Місто!K502-'[1]Місто'!K495</f>
        <v>0</v>
      </c>
      <c r="L497" s="27">
        <f>Місто!L502-'[1]Місто'!L495</f>
        <v>0</v>
      </c>
      <c r="M497" s="27">
        <f>Місто!M502-'[1]Місто'!M495</f>
        <v>0</v>
      </c>
      <c r="N497" s="27">
        <f>Місто!N502-'[1]Місто'!N495</f>
        <v>0</v>
      </c>
      <c r="O497" s="27">
        <f>Місто!O502-'[1]Місто'!O495</f>
        <v>0</v>
      </c>
      <c r="P497" s="55">
        <f>Місто!P502-'[1]Місто'!P495</f>
        <v>0</v>
      </c>
      <c r="Q497" s="53"/>
      <c r="W497" s="53">
        <f t="shared" si="7"/>
        <v>0</v>
      </c>
    </row>
    <row r="498" spans="1:23" s="3" customFormat="1" ht="38.25" hidden="1">
      <c r="A498" s="39"/>
      <c r="B498" s="39" t="s">
        <v>285</v>
      </c>
      <c r="C498" s="39"/>
      <c r="D498" s="73" t="s">
        <v>241</v>
      </c>
      <c r="E498" s="27">
        <f>Місто!E503-'[1]Місто'!E496</f>
        <v>0</v>
      </c>
      <c r="F498" s="27">
        <f>Місто!F503-'[1]Місто'!F496</f>
        <v>0</v>
      </c>
      <c r="G498" s="27">
        <f>Місто!G503-'[1]Місто'!G496</f>
        <v>0</v>
      </c>
      <c r="H498" s="27">
        <f>Місто!H503-'[1]Місто'!H496</f>
        <v>0</v>
      </c>
      <c r="I498" s="27">
        <f>Місто!I503-'[1]Місто'!I496</f>
        <v>0</v>
      </c>
      <c r="J498" s="38">
        <f>Місто!J503-'[1]Місто'!J496</f>
        <v>0</v>
      </c>
      <c r="K498" s="27">
        <f>Місто!K503-'[1]Місто'!K496</f>
        <v>0</v>
      </c>
      <c r="L498" s="27">
        <f>Місто!L503-'[1]Місто'!L496</f>
        <v>0</v>
      </c>
      <c r="M498" s="27">
        <f>Місто!M503-'[1]Місто'!M496</f>
        <v>0</v>
      </c>
      <c r="N498" s="27">
        <f>Місто!N503-'[1]Місто'!N496</f>
        <v>0</v>
      </c>
      <c r="O498" s="27">
        <f>Місто!O503-'[1]Місто'!O496</f>
        <v>0</v>
      </c>
      <c r="P498" s="55">
        <f>Місто!P503-'[1]Місто'!P496</f>
        <v>0</v>
      </c>
      <c r="Q498" s="53"/>
      <c r="W498" s="53">
        <f t="shared" si="7"/>
        <v>0</v>
      </c>
    </row>
    <row r="499" spans="1:23" s="3" customFormat="1" ht="15" customHeight="1">
      <c r="A499" s="9"/>
      <c r="B499" s="9" t="s">
        <v>371</v>
      </c>
      <c r="C499" s="9"/>
      <c r="D499" s="60" t="s">
        <v>372</v>
      </c>
      <c r="E499" s="27">
        <f>Місто!E504-'[1]Місто'!E497</f>
        <v>74378</v>
      </c>
      <c r="F499" s="27">
        <f>Місто!F504-'[1]Місто'!F497</f>
        <v>74378</v>
      </c>
      <c r="G499" s="27">
        <f>Місто!G504-'[1]Місто'!G497</f>
        <v>0</v>
      </c>
      <c r="H499" s="27">
        <f>Місто!H504-'[1]Місто'!H497</f>
        <v>0</v>
      </c>
      <c r="I499" s="27">
        <f>Місто!I504-'[1]Місто'!I497</f>
        <v>0</v>
      </c>
      <c r="J499" s="27">
        <f>Місто!J504-'[1]Місто'!J497</f>
        <v>0</v>
      </c>
      <c r="K499" s="27">
        <f>Місто!K504-'[1]Місто'!K497</f>
        <v>0</v>
      </c>
      <c r="L499" s="27">
        <f>Місто!L504-'[1]Місто'!L497</f>
        <v>0</v>
      </c>
      <c r="M499" s="27">
        <f>Місто!M504-'[1]Місто'!M497</f>
        <v>0</v>
      </c>
      <c r="N499" s="27">
        <f>Місто!N504-'[1]Місто'!N497</f>
        <v>0</v>
      </c>
      <c r="O499" s="27">
        <f>Місто!O504-'[1]Місто'!O497</f>
        <v>0</v>
      </c>
      <c r="P499" s="27">
        <f>Місто!P504-'[1]Місто'!P497</f>
        <v>74378</v>
      </c>
      <c r="Q499" s="53"/>
      <c r="W499" s="53">
        <f t="shared" si="7"/>
        <v>0</v>
      </c>
    </row>
    <row r="500" spans="1:23" s="3" customFormat="1" ht="38.25" hidden="1">
      <c r="A500" s="9"/>
      <c r="B500" s="74" t="s">
        <v>305</v>
      </c>
      <c r="C500" s="74" t="s">
        <v>494</v>
      </c>
      <c r="D500" s="73" t="s">
        <v>12</v>
      </c>
      <c r="E500" s="27">
        <f>Місто!E505-'[1]Місто'!E498</f>
        <v>0</v>
      </c>
      <c r="F500" s="27">
        <f>Місто!F505-'[1]Місто'!F498</f>
        <v>0</v>
      </c>
      <c r="G500" s="27">
        <f>Місто!G505-'[1]Місто'!G498</f>
        <v>0</v>
      </c>
      <c r="H500" s="27">
        <f>Місто!H505-'[1]Місто'!H498</f>
        <v>0</v>
      </c>
      <c r="I500" s="27">
        <f>Місто!I505-'[1]Місто'!I498</f>
        <v>0</v>
      </c>
      <c r="J500" s="27">
        <f>Місто!J505-'[1]Місто'!J498</f>
        <v>0</v>
      </c>
      <c r="K500" s="27">
        <f>Місто!K505-'[1]Місто'!K498</f>
        <v>0</v>
      </c>
      <c r="L500" s="27">
        <f>Місто!L505-'[1]Місто'!L498</f>
        <v>0</v>
      </c>
      <c r="M500" s="27">
        <f>Місто!M505-'[1]Місто'!M498</f>
        <v>0</v>
      </c>
      <c r="N500" s="27">
        <f>Місто!N505-'[1]Місто'!N498</f>
        <v>0</v>
      </c>
      <c r="O500" s="27">
        <f>Місто!O505-'[1]Місто'!O498</f>
        <v>0</v>
      </c>
      <c r="P500" s="27">
        <f>Місто!P505-'[1]Місто'!P498</f>
        <v>0</v>
      </c>
      <c r="Q500" s="53"/>
      <c r="W500" s="53"/>
    </row>
    <row r="501" spans="1:23" s="3" customFormat="1" ht="63.75" hidden="1">
      <c r="A501" s="9"/>
      <c r="B501" s="39"/>
      <c r="C501" s="39"/>
      <c r="D501" s="68" t="s">
        <v>493</v>
      </c>
      <c r="E501" s="27">
        <f>Місто!E506-'[1]Місто'!E499</f>
        <v>0</v>
      </c>
      <c r="F501" s="27">
        <f>Місто!F506-'[1]Місто'!F499</f>
        <v>0</v>
      </c>
      <c r="G501" s="27">
        <f>Місто!G506-'[1]Місто'!G499</f>
        <v>0</v>
      </c>
      <c r="H501" s="27">
        <f>Місто!H506-'[1]Місто'!H499</f>
        <v>0</v>
      </c>
      <c r="I501" s="27">
        <f>Місто!I506-'[1]Місто'!I499</f>
        <v>0</v>
      </c>
      <c r="J501" s="27">
        <f>Місто!J506-'[1]Місто'!J499</f>
        <v>0</v>
      </c>
      <c r="K501" s="27">
        <f>Місто!K506-'[1]Місто'!K499</f>
        <v>0</v>
      </c>
      <c r="L501" s="27">
        <f>Місто!L506-'[1]Місто'!L499</f>
        <v>0</v>
      </c>
      <c r="M501" s="27">
        <f>Місто!M506-'[1]Місто'!M499</f>
        <v>0</v>
      </c>
      <c r="N501" s="27">
        <f>Місто!N506-'[1]Місто'!N499</f>
        <v>0</v>
      </c>
      <c r="O501" s="27">
        <f>Місто!O506-'[1]Місто'!O499</f>
        <v>0</v>
      </c>
      <c r="P501" s="27">
        <f>Місто!P506-'[1]Місто'!P499</f>
        <v>0</v>
      </c>
      <c r="Q501" s="53"/>
      <c r="W501" s="53"/>
    </row>
    <row r="502" spans="1:23" s="3" customFormat="1" ht="12.75">
      <c r="A502" s="9"/>
      <c r="B502" s="9" t="s">
        <v>288</v>
      </c>
      <c r="C502" s="9" t="s">
        <v>444</v>
      </c>
      <c r="D502" s="4" t="s">
        <v>316</v>
      </c>
      <c r="E502" s="27">
        <f>Місто!E507-'[1]Місто'!E500</f>
        <v>74378</v>
      </c>
      <c r="F502" s="27">
        <f>Місто!F507-'[1]Місто'!F500</f>
        <v>74378</v>
      </c>
      <c r="G502" s="27">
        <f>Місто!G507-'[1]Місто'!G500</f>
        <v>0</v>
      </c>
      <c r="H502" s="27">
        <f>Місто!H507-'[1]Місто'!H500</f>
        <v>0</v>
      </c>
      <c r="I502" s="27">
        <f>Місто!I507-'[1]Місто'!I500</f>
        <v>0</v>
      </c>
      <c r="J502" s="27">
        <f>Місто!J507-'[1]Місто'!J500</f>
        <v>0</v>
      </c>
      <c r="K502" s="27">
        <f>Місто!K507-'[1]Місто'!K500</f>
        <v>0</v>
      </c>
      <c r="L502" s="27">
        <f>Місто!L507-'[1]Місто'!L500</f>
        <v>0</v>
      </c>
      <c r="M502" s="27">
        <f>Місто!M507-'[1]Місто'!M500</f>
        <v>0</v>
      </c>
      <c r="N502" s="27">
        <f>Місто!N507-'[1]Місто'!N500</f>
        <v>0</v>
      </c>
      <c r="O502" s="27">
        <f>Місто!O507-'[1]Місто'!O500</f>
        <v>0</v>
      </c>
      <c r="P502" s="27">
        <f>Місто!P507-'[1]Місто'!P500</f>
        <v>74378</v>
      </c>
      <c r="Q502" s="53"/>
      <c r="W502" s="53">
        <f t="shared" si="7"/>
        <v>0</v>
      </c>
    </row>
    <row r="503" spans="1:23" s="166" customFormat="1" ht="38.25" hidden="1">
      <c r="A503" s="164"/>
      <c r="B503" s="9"/>
      <c r="C503" s="9"/>
      <c r="D503" s="4" t="s">
        <v>187</v>
      </c>
      <c r="E503" s="27">
        <f>Місто!E508-'[1]Місто'!E501</f>
        <v>0</v>
      </c>
      <c r="F503" s="27">
        <f>Місто!F508-'[1]Місто'!F501</f>
        <v>0</v>
      </c>
      <c r="G503" s="27">
        <f>Місто!G508-'[1]Місто'!G501</f>
        <v>0</v>
      </c>
      <c r="H503" s="27">
        <f>Місто!H508-'[1]Місто'!H501</f>
        <v>0</v>
      </c>
      <c r="I503" s="27">
        <f>Місто!I508-'[1]Місто'!I501</f>
        <v>0</v>
      </c>
      <c r="J503" s="27">
        <f>Місто!J508-'[1]Місто'!J501</f>
        <v>0</v>
      </c>
      <c r="K503" s="27">
        <f>Місто!K508-'[1]Місто'!K501</f>
        <v>0</v>
      </c>
      <c r="L503" s="27">
        <f>Місто!L508-'[1]Місто'!L501</f>
        <v>0</v>
      </c>
      <c r="M503" s="27">
        <f>Місто!M508-'[1]Місто'!M501</f>
        <v>0</v>
      </c>
      <c r="N503" s="27">
        <f>Місто!N508-'[1]Місто'!N501</f>
        <v>0</v>
      </c>
      <c r="O503" s="27">
        <f>Місто!O508-'[1]Місто'!O501</f>
        <v>0</v>
      </c>
      <c r="P503" s="27">
        <f>Місто!P508-'[1]Місто'!P501</f>
        <v>0</v>
      </c>
      <c r="Q503" s="165"/>
      <c r="W503" s="165">
        <f t="shared" si="7"/>
        <v>0</v>
      </c>
    </row>
    <row r="504" spans="1:23" s="166" customFormat="1" ht="25.5" hidden="1">
      <c r="A504" s="164"/>
      <c r="B504" s="9"/>
      <c r="C504" s="9"/>
      <c r="D504" s="6" t="s">
        <v>208</v>
      </c>
      <c r="E504" s="27">
        <f>Місто!E509-'[1]Місто'!E502</f>
        <v>0</v>
      </c>
      <c r="F504" s="27">
        <f>Місто!F509-'[1]Місто'!F502</f>
        <v>0</v>
      </c>
      <c r="G504" s="27">
        <f>Місто!G509-'[1]Місто'!G502</f>
        <v>0</v>
      </c>
      <c r="H504" s="27">
        <f>Місто!H509-'[1]Місто'!H502</f>
        <v>0</v>
      </c>
      <c r="I504" s="27">
        <f>Місто!I509-'[1]Місто'!I502</f>
        <v>0</v>
      </c>
      <c r="J504" s="27">
        <f>Місто!J509-'[1]Місто'!J502</f>
        <v>0</v>
      </c>
      <c r="K504" s="27">
        <f>Місто!K509-'[1]Місто'!K502</f>
        <v>0</v>
      </c>
      <c r="L504" s="27">
        <f>Місто!L509-'[1]Місто'!L502</f>
        <v>0</v>
      </c>
      <c r="M504" s="27">
        <f>Місто!M509-'[1]Місто'!M502</f>
        <v>0</v>
      </c>
      <c r="N504" s="27">
        <f>Місто!N509-'[1]Місто'!N502</f>
        <v>0</v>
      </c>
      <c r="O504" s="27">
        <f>Місто!O509-'[1]Місто'!O502</f>
        <v>0</v>
      </c>
      <c r="P504" s="27">
        <f>Місто!P509-'[1]Місто'!P502</f>
        <v>0</v>
      </c>
      <c r="Q504" s="165"/>
      <c r="W504" s="165">
        <f t="shared" si="7"/>
        <v>0</v>
      </c>
    </row>
    <row r="505" spans="1:23" s="166" customFormat="1" ht="25.5" hidden="1">
      <c r="A505" s="164"/>
      <c r="B505" s="9"/>
      <c r="C505" s="9"/>
      <c r="D505" s="4" t="s">
        <v>207</v>
      </c>
      <c r="E505" s="27">
        <f>Місто!E510-'[1]Місто'!E503</f>
        <v>0</v>
      </c>
      <c r="F505" s="27">
        <f>Місто!F510-'[1]Місто'!F503</f>
        <v>0</v>
      </c>
      <c r="G505" s="27">
        <f>Місто!G510-'[1]Місто'!G503</f>
        <v>0</v>
      </c>
      <c r="H505" s="27">
        <f>Місто!H510-'[1]Місто'!H503</f>
        <v>0</v>
      </c>
      <c r="I505" s="27">
        <f>Місто!I510-'[1]Місто'!I503</f>
        <v>0</v>
      </c>
      <c r="J505" s="27">
        <f>Місто!J510-'[1]Місто'!J503</f>
        <v>0</v>
      </c>
      <c r="K505" s="27">
        <f>Місто!K510-'[1]Місто'!K503</f>
        <v>0</v>
      </c>
      <c r="L505" s="27">
        <f>Місто!L510-'[1]Місто'!L503</f>
        <v>0</v>
      </c>
      <c r="M505" s="27">
        <f>Місто!M510-'[1]Місто'!M503</f>
        <v>0</v>
      </c>
      <c r="N505" s="27">
        <f>Місто!N510-'[1]Місто'!N503</f>
        <v>0</v>
      </c>
      <c r="O505" s="27">
        <f>Місто!O510-'[1]Місто'!O503</f>
        <v>0</v>
      </c>
      <c r="P505" s="27">
        <f>Місто!P510-'[1]Місто'!P503</f>
        <v>0</v>
      </c>
      <c r="Q505" s="165"/>
      <c r="W505" s="165">
        <f t="shared" si="7"/>
        <v>0</v>
      </c>
    </row>
    <row r="506" spans="1:23" s="166" customFormat="1" ht="25.5" hidden="1">
      <c r="A506" s="164"/>
      <c r="B506" s="9"/>
      <c r="C506" s="9"/>
      <c r="D506" s="4" t="s">
        <v>111</v>
      </c>
      <c r="E506" s="27">
        <f>Місто!E511-'[1]Місто'!E504</f>
        <v>0</v>
      </c>
      <c r="F506" s="27">
        <f>Місто!F511-'[1]Місто'!F504</f>
        <v>0</v>
      </c>
      <c r="G506" s="27">
        <f>Місто!G511-'[1]Місто'!G504</f>
        <v>0</v>
      </c>
      <c r="H506" s="27">
        <f>Місто!H511-'[1]Місто'!H504</f>
        <v>0</v>
      </c>
      <c r="I506" s="27">
        <f>Місто!I511-'[1]Місто'!I504</f>
        <v>0</v>
      </c>
      <c r="J506" s="27">
        <f>Місто!J511-'[1]Місто'!J504</f>
        <v>0</v>
      </c>
      <c r="K506" s="27">
        <f>Місто!K511-'[1]Місто'!K504</f>
        <v>0</v>
      </c>
      <c r="L506" s="27">
        <f>Місто!L511-'[1]Місто'!L504</f>
        <v>0</v>
      </c>
      <c r="M506" s="27">
        <f>Місто!M511-'[1]Місто'!M504</f>
        <v>0</v>
      </c>
      <c r="N506" s="27">
        <f>Місто!N511-'[1]Місто'!N504</f>
        <v>0</v>
      </c>
      <c r="O506" s="27">
        <f>Місто!O511-'[1]Місто'!O504</f>
        <v>0</v>
      </c>
      <c r="P506" s="27">
        <f>Місто!P511-'[1]Місто'!P504</f>
        <v>0</v>
      </c>
      <c r="Q506" s="165"/>
      <c r="W506" s="165">
        <f t="shared" si="7"/>
        <v>0</v>
      </c>
    </row>
    <row r="507" spans="1:23" s="166" customFormat="1" ht="51" hidden="1">
      <c r="A507" s="164"/>
      <c r="B507" s="9"/>
      <c r="C507" s="9"/>
      <c r="D507" s="4" t="s">
        <v>222</v>
      </c>
      <c r="E507" s="27">
        <f>Місто!E512-'[1]Місто'!E505</f>
        <v>39699</v>
      </c>
      <c r="F507" s="27">
        <f>Місто!F512-'[1]Місто'!F505</f>
        <v>39699</v>
      </c>
      <c r="G507" s="27">
        <f>Місто!G512-'[1]Місто'!G505</f>
        <v>0</v>
      </c>
      <c r="H507" s="27">
        <f>Місто!H512-'[1]Місто'!H505</f>
        <v>0</v>
      </c>
      <c r="I507" s="27">
        <f>Місто!I512-'[1]Місто'!I505</f>
        <v>0</v>
      </c>
      <c r="J507" s="27">
        <f>Місто!J512-'[1]Місто'!J505</f>
        <v>0</v>
      </c>
      <c r="K507" s="27">
        <f>Місто!K512-'[1]Місто'!K505</f>
        <v>0</v>
      </c>
      <c r="L507" s="27">
        <f>Місто!L512-'[1]Місто'!L505</f>
        <v>0</v>
      </c>
      <c r="M507" s="27">
        <f>Місто!M512-'[1]Місто'!M505</f>
        <v>0</v>
      </c>
      <c r="N507" s="27">
        <f>Місто!N512-'[1]Місто'!N505</f>
        <v>0</v>
      </c>
      <c r="O507" s="27">
        <f>Місто!O512-'[1]Місто'!O505</f>
        <v>0</v>
      </c>
      <c r="P507" s="27">
        <f>Місто!P512-'[1]Місто'!P505</f>
        <v>39699</v>
      </c>
      <c r="Q507" s="165"/>
      <c r="W507" s="165">
        <f t="shared" si="7"/>
        <v>0</v>
      </c>
    </row>
    <row r="508" spans="1:23" s="166" customFormat="1" ht="12.75" hidden="1">
      <c r="A508" s="164"/>
      <c r="B508" s="9"/>
      <c r="C508" s="9"/>
      <c r="D508" s="4" t="s">
        <v>43</v>
      </c>
      <c r="E508" s="27">
        <f>Місто!E513-'[1]Місто'!E506</f>
        <v>34679</v>
      </c>
      <c r="F508" s="27">
        <f>Місто!F513-'[1]Місто'!F506</f>
        <v>34679</v>
      </c>
      <c r="G508" s="27">
        <f>Місто!G513-'[1]Місто'!G506</f>
        <v>0</v>
      </c>
      <c r="H508" s="27">
        <f>Місто!H513-'[1]Місто'!H506</f>
        <v>0</v>
      </c>
      <c r="I508" s="27">
        <f>Місто!I513-'[1]Місто'!I506</f>
        <v>0</v>
      </c>
      <c r="J508" s="27">
        <f>Місто!J513-'[1]Місто'!J506</f>
        <v>0</v>
      </c>
      <c r="K508" s="27">
        <f>Місто!K513-'[1]Місто'!K506</f>
        <v>0</v>
      </c>
      <c r="L508" s="27">
        <f>Місто!L513-'[1]Місто'!L506</f>
        <v>0</v>
      </c>
      <c r="M508" s="27">
        <f>Місто!M513-'[1]Місто'!M506</f>
        <v>0</v>
      </c>
      <c r="N508" s="27">
        <f>Місто!N513-'[1]Місто'!N506</f>
        <v>0</v>
      </c>
      <c r="O508" s="27">
        <f>Місто!O513-'[1]Місто'!O506</f>
        <v>0</v>
      </c>
      <c r="P508" s="27">
        <f>Місто!P513-'[1]Місто'!P506</f>
        <v>34679</v>
      </c>
      <c r="Q508" s="165"/>
      <c r="W508" s="165">
        <f t="shared" si="7"/>
        <v>0</v>
      </c>
    </row>
    <row r="509" spans="1:23" s="166" customFormat="1" ht="24" hidden="1">
      <c r="A509" s="164"/>
      <c r="B509" s="9"/>
      <c r="C509" s="9"/>
      <c r="D509" s="40" t="s">
        <v>105</v>
      </c>
      <c r="E509" s="27">
        <f>Місто!E514-'[1]Місто'!E507</f>
        <v>0</v>
      </c>
      <c r="F509" s="27">
        <f>Місто!F514-'[1]Місто'!F507</f>
        <v>0</v>
      </c>
      <c r="G509" s="27">
        <f>Місто!G514-'[1]Місто'!G507</f>
        <v>0</v>
      </c>
      <c r="H509" s="27">
        <f>Місто!H514-'[1]Місто'!H507</f>
        <v>0</v>
      </c>
      <c r="I509" s="27">
        <f>Місто!I514-'[1]Місто'!I507</f>
        <v>0</v>
      </c>
      <c r="J509" s="27">
        <f>Місто!J514-'[1]Місто'!J507</f>
        <v>0</v>
      </c>
      <c r="K509" s="27">
        <f>Місто!K514-'[1]Місто'!K507</f>
        <v>0</v>
      </c>
      <c r="L509" s="27">
        <f>Місто!L514-'[1]Місто'!L507</f>
        <v>0</v>
      </c>
      <c r="M509" s="27">
        <f>Місто!M514-'[1]Місто'!M507</f>
        <v>0</v>
      </c>
      <c r="N509" s="27">
        <f>Місто!N514-'[1]Місто'!N507</f>
        <v>0</v>
      </c>
      <c r="O509" s="27">
        <f>Місто!O514-'[1]Місто'!O507</f>
        <v>0</v>
      </c>
      <c r="P509" s="27">
        <f>Місто!P514-'[1]Місто'!P507</f>
        <v>0</v>
      </c>
      <c r="Q509" s="165"/>
      <c r="W509" s="165">
        <f t="shared" si="7"/>
        <v>0</v>
      </c>
    </row>
    <row r="510" spans="1:23" s="19" customFormat="1" ht="38.25">
      <c r="A510" s="18"/>
      <c r="B510" s="18" t="s">
        <v>166</v>
      </c>
      <c r="C510" s="18"/>
      <c r="D510" s="20" t="s">
        <v>144</v>
      </c>
      <c r="E510" s="30">
        <f>Місто!E515-'[1]Місто'!E508</f>
        <v>12682420</v>
      </c>
      <c r="F510" s="30">
        <f>Місто!F515-'[1]Місто'!F508</f>
        <v>12682420</v>
      </c>
      <c r="G510" s="30">
        <f>Місто!G515-'[1]Місто'!G508</f>
        <v>449569</v>
      </c>
      <c r="H510" s="30">
        <f>Місто!H515-'[1]Місто'!H508</f>
        <v>0</v>
      </c>
      <c r="I510" s="30">
        <f>Місто!I515-'[1]Місто'!I508</f>
        <v>0</v>
      </c>
      <c r="J510" s="30">
        <f>Місто!J515-'[1]Місто'!J508</f>
        <v>8634722</v>
      </c>
      <c r="K510" s="30">
        <f>Місто!K515-'[1]Місто'!K508</f>
        <v>2058</v>
      </c>
      <c r="L510" s="30">
        <f>Місто!L515-'[1]Місто'!L508</f>
        <v>0</v>
      </c>
      <c r="M510" s="30">
        <f>Місто!M515-'[1]Місто'!M508</f>
        <v>0</v>
      </c>
      <c r="N510" s="30">
        <f>Місто!N515-'[1]Місто'!N508</f>
        <v>8632664</v>
      </c>
      <c r="O510" s="30">
        <f>Місто!O515-'[1]Місто'!O508</f>
        <v>8632664</v>
      </c>
      <c r="P510" s="30">
        <f>Місто!P515-'[1]Місто'!P508</f>
        <v>21317142</v>
      </c>
      <c r="Q510" s="53"/>
      <c r="W510" s="53">
        <f t="shared" si="7"/>
        <v>0</v>
      </c>
    </row>
    <row r="511" spans="1:23" s="3" customFormat="1" ht="12.75">
      <c r="A511" s="9"/>
      <c r="B511" s="9" t="s">
        <v>362</v>
      </c>
      <c r="C511" s="9"/>
      <c r="D511" s="12" t="s">
        <v>363</v>
      </c>
      <c r="E511" s="26">
        <f>Місто!E516-'[1]Місто'!E509</f>
        <v>107460</v>
      </c>
      <c r="F511" s="26">
        <f>Місто!F516-'[1]Місто'!F509</f>
        <v>107460</v>
      </c>
      <c r="G511" s="26">
        <f>Місто!G516-'[1]Місто'!G509</f>
        <v>449569</v>
      </c>
      <c r="H511" s="26">
        <f>Місто!H516-'[1]Місто'!H509</f>
        <v>0</v>
      </c>
      <c r="I511" s="26">
        <f>Місто!I516-'[1]Місто'!I509</f>
        <v>0</v>
      </c>
      <c r="J511" s="26">
        <f>Місто!J516-'[1]Місто'!J509</f>
        <v>277488</v>
      </c>
      <c r="K511" s="26">
        <f>Місто!K516-'[1]Місто'!K509</f>
        <v>0</v>
      </c>
      <c r="L511" s="26">
        <f>Місто!L516-'[1]Місто'!L509</f>
        <v>0</v>
      </c>
      <c r="M511" s="26">
        <f>Місто!M516-'[1]Місто'!M509</f>
        <v>0</v>
      </c>
      <c r="N511" s="26">
        <f>Місто!N516-'[1]Місто'!N509</f>
        <v>277488</v>
      </c>
      <c r="O511" s="26">
        <f>Місто!O516-'[1]Місто'!O509</f>
        <v>277488</v>
      </c>
      <c r="P511" s="26">
        <f>Місто!P516-'[1]Місто'!P509</f>
        <v>384948</v>
      </c>
      <c r="Q511" s="53"/>
      <c r="W511" s="53">
        <f t="shared" si="7"/>
        <v>0</v>
      </c>
    </row>
    <row r="512" spans="1:23" s="5" customFormat="1" ht="12.75">
      <c r="A512" s="8"/>
      <c r="B512" s="8" t="s">
        <v>249</v>
      </c>
      <c r="C512" s="8" t="s">
        <v>441</v>
      </c>
      <c r="D512" s="2" t="s">
        <v>250</v>
      </c>
      <c r="E512" s="129">
        <f>Місто!E517-'[1]Місто'!E510</f>
        <v>107460</v>
      </c>
      <c r="F512" s="129">
        <f>Місто!F517-'[1]Місто'!F510</f>
        <v>107460</v>
      </c>
      <c r="G512" s="129">
        <f>Місто!G517-'[1]Місто'!G510</f>
        <v>449569</v>
      </c>
      <c r="H512" s="24">
        <f>Місто!H517-'[1]Місто'!H510</f>
        <v>0</v>
      </c>
      <c r="I512" s="24">
        <f>Місто!I517-'[1]Місто'!I510</f>
        <v>0</v>
      </c>
      <c r="J512" s="26">
        <f>Місто!J517-'[1]Місто'!J510</f>
        <v>277488</v>
      </c>
      <c r="K512" s="24">
        <f>Місто!K517-'[1]Місто'!K510</f>
        <v>0</v>
      </c>
      <c r="L512" s="24">
        <f>Місто!L517-'[1]Місто'!L510</f>
        <v>0</v>
      </c>
      <c r="M512" s="24">
        <f>Місто!M517-'[1]Місто'!M510</f>
        <v>0</v>
      </c>
      <c r="N512" s="24">
        <f>Місто!N517-'[1]Місто'!N510</f>
        <v>277488</v>
      </c>
      <c r="O512" s="24">
        <f>Місто!O517-'[1]Місто'!O510</f>
        <v>277488</v>
      </c>
      <c r="P512" s="26">
        <f>Місто!P517-'[1]Місто'!P510</f>
        <v>384948</v>
      </c>
      <c r="Q512" s="53"/>
      <c r="W512" s="53">
        <f t="shared" si="7"/>
        <v>0</v>
      </c>
    </row>
    <row r="513" spans="1:23" s="5" customFormat="1" ht="25.5" hidden="1">
      <c r="A513" s="39"/>
      <c r="B513" s="39" t="s">
        <v>271</v>
      </c>
      <c r="C513" s="39"/>
      <c r="D513" s="58" t="s">
        <v>317</v>
      </c>
      <c r="E513" s="129">
        <f>Місто!E518-'[1]Місто'!E511</f>
        <v>0</v>
      </c>
      <c r="F513" s="129">
        <f>Місто!F518-'[1]Місто'!F511</f>
        <v>0</v>
      </c>
      <c r="G513" s="129">
        <f>Місто!G518-'[1]Місто'!G511</f>
        <v>0</v>
      </c>
      <c r="H513" s="24">
        <f>Місто!H518-'[1]Місто'!H511</f>
        <v>0</v>
      </c>
      <c r="I513" s="24">
        <f>Місто!I518-'[1]Місто'!I511</f>
        <v>0</v>
      </c>
      <c r="J513" s="26">
        <f>Місто!J518-'[1]Місто'!J511</f>
        <v>0</v>
      </c>
      <c r="K513" s="24">
        <f>Місто!K518-'[1]Місто'!K511</f>
        <v>0</v>
      </c>
      <c r="L513" s="24">
        <f>Місто!L518-'[1]Місто'!L511</f>
        <v>0</v>
      </c>
      <c r="M513" s="24">
        <f>Місто!M518-'[1]Місто'!M511</f>
        <v>0</v>
      </c>
      <c r="N513" s="24">
        <f>Місто!N518-'[1]Місто'!N511</f>
        <v>0</v>
      </c>
      <c r="O513" s="24">
        <f>Місто!O518-'[1]Місто'!O511</f>
        <v>0</v>
      </c>
      <c r="P513" s="26">
        <f>Місто!P518-'[1]Місто'!P511</f>
        <v>0</v>
      </c>
      <c r="Q513" s="53"/>
      <c r="W513" s="53">
        <f t="shared" si="7"/>
        <v>0</v>
      </c>
    </row>
    <row r="514" spans="1:23" s="5" customFormat="1" ht="25.5" hidden="1">
      <c r="A514" s="39"/>
      <c r="B514" s="39" t="s">
        <v>272</v>
      </c>
      <c r="C514" s="39"/>
      <c r="D514" s="36" t="s">
        <v>331</v>
      </c>
      <c r="E514" s="129">
        <f>Місто!E519-'[1]Місто'!E512</f>
        <v>0</v>
      </c>
      <c r="F514" s="129">
        <f>Місто!F519-'[1]Місто'!F512</f>
        <v>0</v>
      </c>
      <c r="G514" s="129">
        <f>Місто!G519-'[1]Місто'!G512</f>
        <v>0</v>
      </c>
      <c r="H514" s="24">
        <f>Місто!H519-'[1]Місто'!H512</f>
        <v>0</v>
      </c>
      <c r="I514" s="24">
        <f>Місто!I519-'[1]Місто'!I512</f>
        <v>0</v>
      </c>
      <c r="J514" s="26">
        <f>Місто!J519-'[1]Місто'!J512</f>
        <v>0</v>
      </c>
      <c r="K514" s="24">
        <f>Місто!K519-'[1]Місто'!K512</f>
        <v>0</v>
      </c>
      <c r="L514" s="24">
        <f>Місто!L519-'[1]Місто'!L512</f>
        <v>0</v>
      </c>
      <c r="M514" s="24">
        <f>Місто!M519-'[1]Місто'!M512</f>
        <v>0</v>
      </c>
      <c r="N514" s="24">
        <f>Місто!N519-'[1]Місто'!N512</f>
        <v>0</v>
      </c>
      <c r="O514" s="24">
        <f>Місто!O519-'[1]Місто'!O512</f>
        <v>0</v>
      </c>
      <c r="P514" s="26">
        <f>Місто!P519-'[1]Місто'!P512</f>
        <v>0</v>
      </c>
      <c r="Q514" s="53"/>
      <c r="W514" s="53">
        <f t="shared" si="7"/>
        <v>0</v>
      </c>
    </row>
    <row r="515" spans="1:23" s="3" customFormat="1" ht="12.75">
      <c r="A515" s="9"/>
      <c r="B515" s="9" t="s">
        <v>374</v>
      </c>
      <c r="C515" s="9"/>
      <c r="D515" s="4" t="s">
        <v>375</v>
      </c>
      <c r="E515" s="27">
        <f>Місто!E520-'[1]Місто'!E513</f>
        <v>12465460</v>
      </c>
      <c r="F515" s="27">
        <f>Місто!F520-'[1]Місто'!F513</f>
        <v>12465460</v>
      </c>
      <c r="G515" s="27">
        <f>Місто!G520-'[1]Місто'!G513</f>
        <v>0</v>
      </c>
      <c r="H515" s="27">
        <f>Місто!H520-'[1]Місто'!H513</f>
        <v>0</v>
      </c>
      <c r="I515" s="27">
        <f>Місто!I520-'[1]Місто'!I513</f>
        <v>0</v>
      </c>
      <c r="J515" s="26">
        <f>Місто!J520-'[1]Місто'!J513</f>
        <v>747677</v>
      </c>
      <c r="K515" s="27">
        <f>Місто!K520-'[1]Місто'!K513</f>
        <v>0</v>
      </c>
      <c r="L515" s="27">
        <f>Місто!L520-'[1]Місто'!L513</f>
        <v>0</v>
      </c>
      <c r="M515" s="27">
        <f>Місто!M520-'[1]Місто'!M513</f>
        <v>0</v>
      </c>
      <c r="N515" s="27">
        <f>Місто!N520-'[1]Місто'!N513</f>
        <v>747677</v>
      </c>
      <c r="O515" s="27">
        <f>Місто!O520-'[1]Місто'!O513</f>
        <v>747677</v>
      </c>
      <c r="P515" s="26">
        <f>Місто!P520-'[1]Місто'!P513</f>
        <v>13213137</v>
      </c>
      <c r="Q515" s="53"/>
      <c r="W515" s="53">
        <f t="shared" si="7"/>
        <v>0</v>
      </c>
    </row>
    <row r="516" spans="1:23" s="3" customFormat="1" ht="12.75">
      <c r="A516" s="9"/>
      <c r="B516" s="9" t="s">
        <v>102</v>
      </c>
      <c r="C516" s="9" t="s">
        <v>474</v>
      </c>
      <c r="D516" s="4" t="s">
        <v>106</v>
      </c>
      <c r="E516" s="27">
        <f>Місто!E522-'[1]Місто'!E514</f>
        <v>8548180</v>
      </c>
      <c r="F516" s="27">
        <f>Місто!F522-'[1]Місто'!F514</f>
        <v>8548180</v>
      </c>
      <c r="G516" s="27">
        <f>Місто!G522-'[1]Місто'!G514</f>
        <v>0</v>
      </c>
      <c r="H516" s="27">
        <f>Місто!H522-'[1]Місто'!H514</f>
        <v>0</v>
      </c>
      <c r="I516" s="27">
        <f>Місто!I522-'[1]Місто'!I514</f>
        <v>0</v>
      </c>
      <c r="J516" s="26">
        <f>Місто!J522-'[1]Місто'!J514</f>
        <v>747677</v>
      </c>
      <c r="K516" s="27">
        <f>Місто!K522-'[1]Місто'!K514</f>
        <v>0</v>
      </c>
      <c r="L516" s="27">
        <f>Місто!L522-'[1]Місто'!L514</f>
        <v>0</v>
      </c>
      <c r="M516" s="27">
        <f>Місто!M522-'[1]Місто'!M514</f>
        <v>0</v>
      </c>
      <c r="N516" s="27">
        <f>Місто!N522-'[1]Місто'!N514</f>
        <v>747677</v>
      </c>
      <c r="O516" s="27">
        <f>Місто!O522-'[1]Місто'!O514</f>
        <v>747677</v>
      </c>
      <c r="P516" s="26">
        <f>Місто!P522-'[1]Місто'!P514</f>
        <v>9295857</v>
      </c>
      <c r="Q516" s="53"/>
      <c r="W516" s="53">
        <f t="shared" si="7"/>
        <v>0</v>
      </c>
    </row>
    <row r="517" spans="1:23" s="3" customFormat="1" ht="12.75" hidden="1">
      <c r="A517" s="39"/>
      <c r="B517" s="39" t="s">
        <v>378</v>
      </c>
      <c r="C517" s="39"/>
      <c r="D517" s="36" t="s">
        <v>292</v>
      </c>
      <c r="E517" s="27">
        <f>Місто!E523-'[1]Місто'!E515</f>
        <v>0</v>
      </c>
      <c r="F517" s="27">
        <f>Місто!F523-'[1]Місто'!F515</f>
        <v>0</v>
      </c>
      <c r="G517" s="27">
        <f>Місто!G523-'[1]Місто'!G515</f>
        <v>0</v>
      </c>
      <c r="H517" s="27">
        <f>Місто!H523-'[1]Місто'!H515</f>
        <v>0</v>
      </c>
      <c r="I517" s="27">
        <f>Місто!I523-'[1]Місто'!I515</f>
        <v>0</v>
      </c>
      <c r="J517" s="26">
        <f>Місто!J523-'[1]Місто'!J515</f>
        <v>0</v>
      </c>
      <c r="K517" s="27">
        <f>Місто!K523-'[1]Місто'!K515</f>
        <v>0</v>
      </c>
      <c r="L517" s="27">
        <f>Місто!L523-'[1]Місто'!L515</f>
        <v>0</v>
      </c>
      <c r="M517" s="27">
        <f>Місто!M523-'[1]Місто'!M515</f>
        <v>0</v>
      </c>
      <c r="N517" s="27">
        <f>Місто!N523-'[1]Місто'!N515</f>
        <v>0</v>
      </c>
      <c r="O517" s="27">
        <f>Місто!O523-'[1]Місто'!O515</f>
        <v>0</v>
      </c>
      <c r="P517" s="26">
        <f>Місто!P523-'[1]Місто'!P515</f>
        <v>0</v>
      </c>
      <c r="Q517" s="53"/>
      <c r="W517" s="53">
        <f t="shared" si="7"/>
        <v>0</v>
      </c>
    </row>
    <row r="518" spans="1:23" s="3" customFormat="1" ht="12.75" hidden="1">
      <c r="A518" s="39"/>
      <c r="B518" s="39" t="s">
        <v>340</v>
      </c>
      <c r="C518" s="39"/>
      <c r="D518" s="60" t="s">
        <v>289</v>
      </c>
      <c r="E518" s="27">
        <f>Місто!E524-'[1]Місто'!E516</f>
        <v>0</v>
      </c>
      <c r="F518" s="27">
        <f>Місто!F524-'[1]Місто'!F516</f>
        <v>0</v>
      </c>
      <c r="G518" s="27">
        <f>Місто!G524-'[1]Місто'!G516</f>
        <v>0</v>
      </c>
      <c r="H518" s="27">
        <f>Місто!H524-'[1]Місто'!H516</f>
        <v>0</v>
      </c>
      <c r="I518" s="27">
        <f>Місто!I524-'[1]Місто'!I516</f>
        <v>0</v>
      </c>
      <c r="J518" s="26">
        <f>Місто!J524-'[1]Місто'!J516</f>
        <v>0</v>
      </c>
      <c r="K518" s="27">
        <f>Місто!K524-'[1]Місто'!K516</f>
        <v>0</v>
      </c>
      <c r="L518" s="27">
        <f>Місто!L524-'[1]Місто'!L516</f>
        <v>0</v>
      </c>
      <c r="M518" s="27">
        <f>Місто!M524-'[1]Місто'!M516</f>
        <v>0</v>
      </c>
      <c r="N518" s="27">
        <f>Місто!N524-'[1]Місто'!N516</f>
        <v>0</v>
      </c>
      <c r="O518" s="27">
        <f>Місто!O524-'[1]Місто'!O516</f>
        <v>0</v>
      </c>
      <c r="P518" s="26">
        <f>Місто!P524-'[1]Місто'!P516</f>
        <v>0</v>
      </c>
      <c r="Q518" s="53"/>
      <c r="W518" s="53">
        <f t="shared" si="7"/>
        <v>0</v>
      </c>
    </row>
    <row r="519" spans="1:23" s="3" customFormat="1" ht="12.75" hidden="1">
      <c r="A519" s="39"/>
      <c r="B519" s="39" t="s">
        <v>366</v>
      </c>
      <c r="C519" s="39"/>
      <c r="D519" s="60" t="s">
        <v>283</v>
      </c>
      <c r="E519" s="27">
        <f>Місто!E525-'[1]Місто'!E517</f>
        <v>0</v>
      </c>
      <c r="F519" s="27">
        <f>Місто!F525-'[1]Місто'!F517</f>
        <v>0</v>
      </c>
      <c r="G519" s="27">
        <f>Місто!G525-'[1]Місто'!G517</f>
        <v>0</v>
      </c>
      <c r="H519" s="27">
        <f>Місто!H525-'[1]Місто'!H517</f>
        <v>0</v>
      </c>
      <c r="I519" s="27">
        <f>Місто!I525-'[1]Місто'!I517</f>
        <v>0</v>
      </c>
      <c r="J519" s="26">
        <f>Місто!J525-'[1]Місто'!J517</f>
        <v>7607499</v>
      </c>
      <c r="K519" s="27">
        <f>Місто!K525-'[1]Місто'!K517</f>
        <v>0</v>
      </c>
      <c r="L519" s="27">
        <f>Місто!L525-'[1]Місто'!L517</f>
        <v>0</v>
      </c>
      <c r="M519" s="27">
        <f>Місто!M525-'[1]Місто'!M517</f>
        <v>0</v>
      </c>
      <c r="N519" s="27">
        <f>Місто!N525-'[1]Місто'!N517</f>
        <v>7607499</v>
      </c>
      <c r="O519" s="27">
        <f>Місто!O525-'[1]Місто'!O517</f>
        <v>7607499</v>
      </c>
      <c r="P519" s="26">
        <f>Місто!P525-'[1]Місто'!P517</f>
        <v>7607499</v>
      </c>
      <c r="Q519" s="53"/>
      <c r="W519" s="53"/>
    </row>
    <row r="520" spans="1:23" s="3" customFormat="1" ht="12.75" hidden="1">
      <c r="A520" s="39"/>
      <c r="B520" s="39" t="s">
        <v>338</v>
      </c>
      <c r="C520" s="74" t="s">
        <v>443</v>
      </c>
      <c r="D520" s="58" t="s">
        <v>339</v>
      </c>
      <c r="E520" s="27">
        <f>Місто!E526-'[1]Місто'!E518</f>
        <v>0</v>
      </c>
      <c r="F520" s="27">
        <f>Місто!F526-'[1]Місто'!F518</f>
        <v>0</v>
      </c>
      <c r="G520" s="27">
        <f>Місто!G526-'[1]Місто'!G518</f>
        <v>0</v>
      </c>
      <c r="H520" s="27">
        <f>Місто!H526-'[1]Місто'!H518</f>
        <v>0</v>
      </c>
      <c r="I520" s="27">
        <f>Місто!I526-'[1]Місто'!I518</f>
        <v>0</v>
      </c>
      <c r="J520" s="26">
        <f>Місто!J526-'[1]Місто'!J518</f>
        <v>7607499</v>
      </c>
      <c r="K520" s="27">
        <f>Місто!K526-'[1]Місто'!K518</f>
        <v>0</v>
      </c>
      <c r="L520" s="27">
        <f>Місто!L526-'[1]Місто'!L518</f>
        <v>0</v>
      </c>
      <c r="M520" s="27">
        <f>Місто!M526-'[1]Місто'!M518</f>
        <v>0</v>
      </c>
      <c r="N520" s="27">
        <f>Місто!N526-'[1]Місто'!N518</f>
        <v>7607499</v>
      </c>
      <c r="O520" s="27">
        <f>Місто!O526-'[1]Місто'!O518</f>
        <v>7607499</v>
      </c>
      <c r="P520" s="26">
        <f>Місто!P526-'[1]Місто'!P518</f>
        <v>7607499</v>
      </c>
      <c r="Q520" s="53"/>
      <c r="W520" s="53"/>
    </row>
    <row r="521" spans="1:23" s="3" customFormat="1" ht="38.25" hidden="1">
      <c r="A521" s="39"/>
      <c r="B521" s="39"/>
      <c r="C521" s="39"/>
      <c r="D521" s="60" t="s">
        <v>351</v>
      </c>
      <c r="E521" s="27">
        <f>Місто!E527-'[1]Місто'!E519</f>
        <v>0</v>
      </c>
      <c r="F521" s="27">
        <f>Місто!F527-'[1]Місто'!F519</f>
        <v>0</v>
      </c>
      <c r="G521" s="27">
        <f>Місто!G527-'[1]Місто'!G519</f>
        <v>0</v>
      </c>
      <c r="H521" s="27">
        <f>Місто!H527-'[1]Місто'!H519</f>
        <v>0</v>
      </c>
      <c r="I521" s="27">
        <f>Місто!I527-'[1]Місто'!I519</f>
        <v>0</v>
      </c>
      <c r="J521" s="27">
        <f>Місто!J527-'[1]Місто'!J519</f>
        <v>0</v>
      </c>
      <c r="K521" s="27">
        <f>Місто!K527-'[1]Місто'!K519</f>
        <v>0</v>
      </c>
      <c r="L521" s="27">
        <f>Місто!L527-'[1]Місто'!L519</f>
        <v>0</v>
      </c>
      <c r="M521" s="27">
        <f>Місто!M527-'[1]Місто'!M519</f>
        <v>0</v>
      </c>
      <c r="N521" s="27">
        <f>Місто!N527-'[1]Місто'!N519</f>
        <v>0</v>
      </c>
      <c r="O521" s="27">
        <f>Місто!O527-'[1]Місто'!O519</f>
        <v>0</v>
      </c>
      <c r="P521" s="26">
        <f>Місто!P527-'[1]Місто'!P519</f>
        <v>0</v>
      </c>
      <c r="Q521" s="53"/>
      <c r="W521" s="53">
        <f t="shared" si="7"/>
        <v>0</v>
      </c>
    </row>
    <row r="522" spans="1:23" s="3" customFormat="1" ht="38.25" hidden="1">
      <c r="A522" s="39"/>
      <c r="B522" s="39" t="s">
        <v>285</v>
      </c>
      <c r="C522" s="39"/>
      <c r="D522" s="73" t="s">
        <v>241</v>
      </c>
      <c r="E522" s="27">
        <f>Місто!E528-'[1]Місто'!E520</f>
        <v>0</v>
      </c>
      <c r="F522" s="27">
        <f>Місто!F528-'[1]Місто'!F520</f>
        <v>0</v>
      </c>
      <c r="G522" s="27">
        <f>Місто!G528-'[1]Місто'!G520</f>
        <v>0</v>
      </c>
      <c r="H522" s="27">
        <f>Місто!H528-'[1]Місто'!H520</f>
        <v>0</v>
      </c>
      <c r="I522" s="27">
        <f>Місто!I528-'[1]Місто'!I520</f>
        <v>0</v>
      </c>
      <c r="J522" s="27">
        <f>Місто!J528-'[1]Місто'!J520</f>
        <v>0</v>
      </c>
      <c r="K522" s="27">
        <f>Місто!K528-'[1]Місто'!K520</f>
        <v>0</v>
      </c>
      <c r="L522" s="27">
        <f>Місто!L528-'[1]Місто'!L520</f>
        <v>0</v>
      </c>
      <c r="M522" s="27">
        <f>Місто!M528-'[1]Місто'!M520</f>
        <v>0</v>
      </c>
      <c r="N522" s="27">
        <f>Місто!N528-'[1]Місто'!N520</f>
        <v>0</v>
      </c>
      <c r="O522" s="27">
        <f>Місто!O528-'[1]Місто'!O520</f>
        <v>0</v>
      </c>
      <c r="P522" s="26">
        <f>Місто!P528-'[1]Місто'!P520</f>
        <v>0</v>
      </c>
      <c r="Q522" s="53"/>
      <c r="W522" s="53">
        <f t="shared" si="7"/>
        <v>0</v>
      </c>
    </row>
    <row r="523" spans="1:23" s="3" customFormat="1" ht="12.75">
      <c r="A523" s="9"/>
      <c r="B523" s="9" t="s">
        <v>369</v>
      </c>
      <c r="C523" s="9"/>
      <c r="D523" s="4" t="s">
        <v>373</v>
      </c>
      <c r="E523" s="27">
        <f>Місто!E529-'[1]Місто'!E521</f>
        <v>0</v>
      </c>
      <c r="F523" s="27">
        <f>Місто!F529-'[1]Місто'!F521</f>
        <v>0</v>
      </c>
      <c r="G523" s="27">
        <f>Місто!G529-'[1]Місто'!G521</f>
        <v>0</v>
      </c>
      <c r="H523" s="27">
        <f>Місто!H529-'[1]Місто'!H521</f>
        <v>0</v>
      </c>
      <c r="I523" s="27">
        <f>Місто!I529-'[1]Місто'!I521</f>
        <v>0</v>
      </c>
      <c r="J523" s="27">
        <f>Місто!J529-'[1]Місто'!J521</f>
        <v>2058</v>
      </c>
      <c r="K523" s="27">
        <f>Місто!K529-'[1]Місто'!K521</f>
        <v>2058</v>
      </c>
      <c r="L523" s="27">
        <f>Місто!L529-'[1]Місто'!L521</f>
        <v>0</v>
      </c>
      <c r="M523" s="27">
        <f>Місто!M529-'[1]Місто'!M521</f>
        <v>0</v>
      </c>
      <c r="N523" s="27">
        <f>Місто!N529-'[1]Місто'!N521</f>
        <v>0</v>
      </c>
      <c r="O523" s="27">
        <f>Місто!O529-'[1]Місто'!O521</f>
        <v>0</v>
      </c>
      <c r="P523" s="26">
        <f>Місто!P529-'[1]Місто'!P521</f>
        <v>2058</v>
      </c>
      <c r="Q523" s="53"/>
      <c r="W523" s="53">
        <f t="shared" si="7"/>
        <v>0</v>
      </c>
    </row>
    <row r="524" spans="1:23" s="3" customFormat="1" ht="63.75">
      <c r="A524" s="9"/>
      <c r="B524" s="9" t="s">
        <v>287</v>
      </c>
      <c r="C524" s="9" t="s">
        <v>444</v>
      </c>
      <c r="D524" s="73" t="s">
        <v>109</v>
      </c>
      <c r="E524" s="27">
        <f>Місто!E530-'[1]Місто'!E522</f>
        <v>0</v>
      </c>
      <c r="F524" s="27">
        <f>Місто!F530-'[1]Місто'!F522</f>
        <v>0</v>
      </c>
      <c r="G524" s="27">
        <f>Місто!G530-'[1]Місто'!G522</f>
        <v>0</v>
      </c>
      <c r="H524" s="27">
        <f>Місто!H530-'[1]Місто'!H522</f>
        <v>0</v>
      </c>
      <c r="I524" s="27">
        <f>Місто!I530-'[1]Місто'!I522</f>
        <v>0</v>
      </c>
      <c r="J524" s="27">
        <f>Місто!J530-'[1]Місто'!J522</f>
        <v>2058</v>
      </c>
      <c r="K524" s="27">
        <f>Місто!K530-'[1]Місто'!K522</f>
        <v>2058</v>
      </c>
      <c r="L524" s="27">
        <f>Місто!L530-'[1]Місто'!L522</f>
        <v>0</v>
      </c>
      <c r="M524" s="27">
        <f>Місто!M530-'[1]Місто'!M522</f>
        <v>0</v>
      </c>
      <c r="N524" s="27">
        <f>Місто!N530-'[1]Місто'!N522</f>
        <v>0</v>
      </c>
      <c r="O524" s="27">
        <f>Місто!O530-'[1]Місто'!O522</f>
        <v>0</v>
      </c>
      <c r="P524" s="26">
        <f>Місто!P530-'[1]Місто'!P522</f>
        <v>2058</v>
      </c>
      <c r="Q524" s="53"/>
      <c r="W524" s="53">
        <f t="shared" si="7"/>
        <v>0</v>
      </c>
    </row>
    <row r="525" spans="1:23" s="3" customFormat="1" ht="17.25" customHeight="1">
      <c r="A525" s="9"/>
      <c r="B525" s="9" t="s">
        <v>371</v>
      </c>
      <c r="C525" s="9"/>
      <c r="D525" s="60" t="s">
        <v>372</v>
      </c>
      <c r="E525" s="27">
        <f>Місто!E531-'[1]Місто'!E523</f>
        <v>109500</v>
      </c>
      <c r="F525" s="27">
        <f>Місто!F531-'[1]Місто'!F523</f>
        <v>109500</v>
      </c>
      <c r="G525" s="27">
        <f>Місто!G531-'[1]Місто'!G523</f>
        <v>0</v>
      </c>
      <c r="H525" s="27">
        <f>Місто!H531-'[1]Місто'!H523</f>
        <v>0</v>
      </c>
      <c r="I525" s="27">
        <f>Місто!I531-'[1]Місто'!I523</f>
        <v>0</v>
      </c>
      <c r="J525" s="27">
        <f>Місто!J531-'[1]Місто'!J523</f>
        <v>0</v>
      </c>
      <c r="K525" s="27">
        <f>Місто!K531-'[1]Місто'!K523</f>
        <v>0</v>
      </c>
      <c r="L525" s="27">
        <f>Місто!L531-'[1]Місто'!L523</f>
        <v>0</v>
      </c>
      <c r="M525" s="27">
        <f>Місто!M531-'[1]Місто'!M523</f>
        <v>0</v>
      </c>
      <c r="N525" s="27">
        <f>Місто!N531-'[1]Місто'!N523</f>
        <v>0</v>
      </c>
      <c r="O525" s="27">
        <f>Місто!O531-'[1]Місто'!O523</f>
        <v>0</v>
      </c>
      <c r="P525" s="26">
        <f>Місто!P531-'[1]Місто'!P523</f>
        <v>109500</v>
      </c>
      <c r="Q525" s="53"/>
      <c r="W525" s="53">
        <f t="shared" si="7"/>
        <v>0</v>
      </c>
    </row>
    <row r="526" spans="1:23" s="3" customFormat="1" ht="38.25" hidden="1">
      <c r="A526" s="9"/>
      <c r="B526" s="74" t="s">
        <v>305</v>
      </c>
      <c r="C526" s="74" t="s">
        <v>494</v>
      </c>
      <c r="D526" s="73" t="s">
        <v>12</v>
      </c>
      <c r="E526" s="27">
        <f>Місто!E532-'[1]Місто'!E524</f>
        <v>0</v>
      </c>
      <c r="F526" s="27">
        <f>Місто!F532-'[1]Місто'!F524</f>
        <v>0</v>
      </c>
      <c r="G526" s="27">
        <f>Місто!G532-'[1]Місто'!G524</f>
        <v>0</v>
      </c>
      <c r="H526" s="27">
        <f>Місто!H532-'[1]Місто'!H524</f>
        <v>0</v>
      </c>
      <c r="I526" s="27">
        <f>Місто!I532-'[1]Місто'!I524</f>
        <v>0</v>
      </c>
      <c r="J526" s="27">
        <f>Місто!J532-'[1]Місто'!J524</f>
        <v>0</v>
      </c>
      <c r="K526" s="27">
        <f>Місто!K532-'[1]Місто'!K524</f>
        <v>0</v>
      </c>
      <c r="L526" s="27">
        <f>Місто!L532-'[1]Місто'!L524</f>
        <v>0</v>
      </c>
      <c r="M526" s="27">
        <f>Місто!M532-'[1]Місто'!M524</f>
        <v>0</v>
      </c>
      <c r="N526" s="27">
        <f>Місто!N532-'[1]Місто'!N524</f>
        <v>0</v>
      </c>
      <c r="O526" s="27">
        <f>Місто!O532-'[1]Місто'!O524</f>
        <v>0</v>
      </c>
      <c r="P526" s="26">
        <f>Місто!P532-'[1]Місто'!P524</f>
        <v>0</v>
      </c>
      <c r="Q526" s="53"/>
      <c r="W526" s="53"/>
    </row>
    <row r="527" spans="1:23" s="3" customFormat="1" ht="63.75" hidden="1">
      <c r="A527" s="9"/>
      <c r="B527" s="39"/>
      <c r="C527" s="39"/>
      <c r="D527" s="68" t="s">
        <v>493</v>
      </c>
      <c r="E527" s="27">
        <f>Місто!E533-'[1]Місто'!E525</f>
        <v>0</v>
      </c>
      <c r="F527" s="27">
        <f>Місто!F533-'[1]Місто'!F525</f>
        <v>0</v>
      </c>
      <c r="G527" s="27">
        <f>Місто!G533-'[1]Місто'!G525</f>
        <v>0</v>
      </c>
      <c r="H527" s="27">
        <f>Місто!H533-'[1]Місто'!H525</f>
        <v>0</v>
      </c>
      <c r="I527" s="27">
        <f>Місто!I533-'[1]Місто'!I525</f>
        <v>0</v>
      </c>
      <c r="J527" s="27">
        <f>Місто!J533-'[1]Місто'!J525</f>
        <v>0</v>
      </c>
      <c r="K527" s="27">
        <f>Місто!K533-'[1]Місто'!K525</f>
        <v>0</v>
      </c>
      <c r="L527" s="27">
        <f>Місто!L533-'[1]Місто'!L525</f>
        <v>0</v>
      </c>
      <c r="M527" s="27">
        <f>Місто!M533-'[1]Місто'!M525</f>
        <v>0</v>
      </c>
      <c r="N527" s="27">
        <f>Місто!N533-'[1]Місто'!N525</f>
        <v>0</v>
      </c>
      <c r="O527" s="27">
        <f>Місто!O533-'[1]Місто'!O525</f>
        <v>0</v>
      </c>
      <c r="P527" s="26">
        <f>Місто!P533-'[1]Місто'!P525</f>
        <v>0</v>
      </c>
      <c r="Q527" s="53"/>
      <c r="W527" s="53"/>
    </row>
    <row r="528" spans="1:23" s="3" customFormat="1" ht="12.75">
      <c r="A528" s="9"/>
      <c r="B528" s="9" t="s">
        <v>288</v>
      </c>
      <c r="C528" s="9" t="s">
        <v>444</v>
      </c>
      <c r="D528" s="4" t="s">
        <v>316</v>
      </c>
      <c r="E528" s="27">
        <f>Місто!E534-'[1]Місто'!E526</f>
        <v>109500</v>
      </c>
      <c r="F528" s="27">
        <f>Місто!F534-'[1]Місто'!F526</f>
        <v>109500</v>
      </c>
      <c r="G528" s="27">
        <f>Місто!G534-'[1]Місто'!G526</f>
        <v>0</v>
      </c>
      <c r="H528" s="27">
        <f>Місто!H534-'[1]Місто'!H526</f>
        <v>0</v>
      </c>
      <c r="I528" s="27">
        <f>Місто!I534-'[1]Місто'!I526</f>
        <v>0</v>
      </c>
      <c r="J528" s="27">
        <f>Місто!J534-'[1]Місто'!J526</f>
        <v>0</v>
      </c>
      <c r="K528" s="27">
        <f>Місто!K534-'[1]Місто'!K526</f>
        <v>0</v>
      </c>
      <c r="L528" s="27">
        <f>Місто!L534-'[1]Місто'!L526</f>
        <v>0</v>
      </c>
      <c r="M528" s="27">
        <f>Місто!M534-'[1]Місто'!M526</f>
        <v>0</v>
      </c>
      <c r="N528" s="27">
        <f>Місто!N534-'[1]Місто'!N526</f>
        <v>0</v>
      </c>
      <c r="O528" s="27">
        <f>Місто!O534-'[1]Місто'!O526</f>
        <v>0</v>
      </c>
      <c r="P528" s="26">
        <f>Місто!P534-'[1]Місто'!P526</f>
        <v>109500</v>
      </c>
      <c r="Q528" s="53"/>
      <c r="W528" s="53">
        <f t="shared" si="7"/>
        <v>0</v>
      </c>
    </row>
    <row r="529" spans="1:23" s="166" customFormat="1" ht="38.25" hidden="1">
      <c r="A529" s="164"/>
      <c r="B529" s="9"/>
      <c r="C529" s="9"/>
      <c r="D529" s="4" t="s">
        <v>187</v>
      </c>
      <c r="E529" s="27">
        <f>Місто!E535-'[1]Місто'!E527</f>
        <v>0</v>
      </c>
      <c r="F529" s="27">
        <f>Місто!F535-'[1]Місто'!F527</f>
        <v>0</v>
      </c>
      <c r="G529" s="27">
        <f>Місто!G535-'[1]Місто'!G527</f>
        <v>0</v>
      </c>
      <c r="H529" s="27">
        <f>Місто!H535-'[1]Місто'!H527</f>
        <v>0</v>
      </c>
      <c r="I529" s="27">
        <f>Місто!I535-'[1]Місто'!I527</f>
        <v>0</v>
      </c>
      <c r="J529" s="27">
        <f>Місто!J535-'[1]Місто'!J527</f>
        <v>0</v>
      </c>
      <c r="K529" s="27">
        <f>Місто!K535-'[1]Місто'!K527</f>
        <v>0</v>
      </c>
      <c r="L529" s="27">
        <f>Місто!L535-'[1]Місто'!L527</f>
        <v>0</v>
      </c>
      <c r="M529" s="27">
        <f>Місто!M535-'[1]Місто'!M527</f>
        <v>0</v>
      </c>
      <c r="N529" s="27">
        <f>Місто!N535-'[1]Місто'!N527</f>
        <v>0</v>
      </c>
      <c r="O529" s="27">
        <f>Місто!O535-'[1]Місто'!O527</f>
        <v>0</v>
      </c>
      <c r="P529" s="26">
        <f>Місто!P535-'[1]Місто'!P527</f>
        <v>0</v>
      </c>
      <c r="Q529" s="165"/>
      <c r="W529" s="165">
        <f t="shared" si="7"/>
        <v>0</v>
      </c>
    </row>
    <row r="530" spans="1:23" s="166" customFormat="1" ht="38.25" hidden="1">
      <c r="A530" s="164"/>
      <c r="B530" s="9"/>
      <c r="C530" s="9"/>
      <c r="D530" s="4" t="s">
        <v>216</v>
      </c>
      <c r="E530" s="27">
        <f>Місто!E536-'[1]Місто'!E528</f>
        <v>0</v>
      </c>
      <c r="F530" s="27">
        <f>Місто!F536-'[1]Місто'!F528</f>
        <v>0</v>
      </c>
      <c r="G530" s="27">
        <f>Місто!G536-'[1]Місто'!G528</f>
        <v>0</v>
      </c>
      <c r="H530" s="27">
        <f>Місто!H536-'[1]Місто'!H528</f>
        <v>0</v>
      </c>
      <c r="I530" s="27">
        <f>Місто!I536-'[1]Місто'!I528</f>
        <v>0</v>
      </c>
      <c r="J530" s="27">
        <f>Місто!J536-'[1]Місто'!J528</f>
        <v>0</v>
      </c>
      <c r="K530" s="27">
        <f>Місто!K536-'[1]Місто'!K528</f>
        <v>0</v>
      </c>
      <c r="L530" s="27">
        <f>Місто!L536-'[1]Місто'!L528</f>
        <v>0</v>
      </c>
      <c r="M530" s="27">
        <f>Місто!M536-'[1]Місто'!M528</f>
        <v>0</v>
      </c>
      <c r="N530" s="27">
        <f>Місто!N536-'[1]Місто'!N528</f>
        <v>0</v>
      </c>
      <c r="O530" s="27">
        <f>Місто!O536-'[1]Місто'!O528</f>
        <v>0</v>
      </c>
      <c r="P530" s="26">
        <f>Місто!P536-'[1]Місто'!P528</f>
        <v>0</v>
      </c>
      <c r="Q530" s="165"/>
      <c r="W530" s="165">
        <f t="shared" si="7"/>
        <v>0</v>
      </c>
    </row>
    <row r="531" spans="1:23" s="166" customFormat="1" ht="25.5" hidden="1">
      <c r="A531" s="164"/>
      <c r="B531" s="9"/>
      <c r="C531" s="9"/>
      <c r="D531" s="4" t="s">
        <v>207</v>
      </c>
      <c r="E531" s="27">
        <f>Місто!E537-'[1]Місто'!E529</f>
        <v>0</v>
      </c>
      <c r="F531" s="27">
        <f>Місто!F537-'[1]Місто'!F529</f>
        <v>0</v>
      </c>
      <c r="G531" s="27">
        <f>Місто!G537-'[1]Місто'!G529</f>
        <v>0</v>
      </c>
      <c r="H531" s="27">
        <f>Місто!H537-'[1]Місто'!H529</f>
        <v>0</v>
      </c>
      <c r="I531" s="27">
        <f>Місто!I537-'[1]Місто'!I529</f>
        <v>0</v>
      </c>
      <c r="J531" s="27">
        <f>Місто!J537-'[1]Місто'!J529</f>
        <v>0</v>
      </c>
      <c r="K531" s="27">
        <f>Місто!K537-'[1]Місто'!K529</f>
        <v>0</v>
      </c>
      <c r="L531" s="27">
        <f>Місто!L537-'[1]Місто'!L529</f>
        <v>0</v>
      </c>
      <c r="M531" s="27">
        <f>Місто!M537-'[1]Місто'!M529</f>
        <v>0</v>
      </c>
      <c r="N531" s="27">
        <f>Місто!N537-'[1]Місто'!N529</f>
        <v>0</v>
      </c>
      <c r="O531" s="27">
        <f>Місто!O537-'[1]Місто'!O529</f>
        <v>0</v>
      </c>
      <c r="P531" s="26">
        <f>Місто!P537-'[1]Місто'!P529</f>
        <v>0</v>
      </c>
      <c r="Q531" s="165"/>
      <c r="W531" s="165">
        <f t="shared" si="7"/>
        <v>0</v>
      </c>
    </row>
    <row r="532" spans="1:23" s="166" customFormat="1" ht="25.5" hidden="1">
      <c r="A532" s="164"/>
      <c r="B532" s="9"/>
      <c r="C532" s="9"/>
      <c r="D532" s="6" t="s">
        <v>208</v>
      </c>
      <c r="E532" s="27">
        <f>Місто!E538-'[1]Місто'!E530</f>
        <v>0</v>
      </c>
      <c r="F532" s="27">
        <f>Місто!F538-'[1]Місто'!F530</f>
        <v>0</v>
      </c>
      <c r="G532" s="27">
        <f>Місто!G538-'[1]Місто'!G530</f>
        <v>0</v>
      </c>
      <c r="H532" s="27">
        <f>Місто!H538-'[1]Місто'!H530</f>
        <v>0</v>
      </c>
      <c r="I532" s="27">
        <f>Місто!I538-'[1]Місто'!I530</f>
        <v>0</v>
      </c>
      <c r="J532" s="27">
        <f>Місто!J538-'[1]Місто'!J530</f>
        <v>0</v>
      </c>
      <c r="K532" s="27">
        <f>Місто!K538-'[1]Місто'!K530</f>
        <v>0</v>
      </c>
      <c r="L532" s="27">
        <f>Місто!L538-'[1]Місто'!L530</f>
        <v>0</v>
      </c>
      <c r="M532" s="27">
        <f>Місто!M538-'[1]Місто'!M530</f>
        <v>0</v>
      </c>
      <c r="N532" s="27">
        <f>Місто!N538-'[1]Місто'!N530</f>
        <v>0</v>
      </c>
      <c r="O532" s="27">
        <f>Місто!O538-'[1]Місто'!O530</f>
        <v>0</v>
      </c>
      <c r="P532" s="26">
        <f>Місто!P538-'[1]Місто'!P530</f>
        <v>0</v>
      </c>
      <c r="Q532" s="165"/>
      <c r="W532" s="165">
        <f t="shared" si="7"/>
        <v>0</v>
      </c>
    </row>
    <row r="533" spans="1:23" s="166" customFormat="1" ht="25.5" hidden="1">
      <c r="A533" s="164"/>
      <c r="B533" s="9"/>
      <c r="C533" s="9"/>
      <c r="D533" s="4" t="s">
        <v>111</v>
      </c>
      <c r="E533" s="27">
        <f>Місто!E539-'[1]Місто'!E531</f>
        <v>0</v>
      </c>
      <c r="F533" s="27">
        <f>Місто!F539-'[1]Місто'!F531</f>
        <v>0</v>
      </c>
      <c r="G533" s="27">
        <f>Місто!G539-'[1]Місто'!G531</f>
        <v>0</v>
      </c>
      <c r="H533" s="27">
        <f>Місто!H539-'[1]Місто'!H531</f>
        <v>0</v>
      </c>
      <c r="I533" s="27">
        <f>Місто!I539-'[1]Місто'!I531</f>
        <v>0</v>
      </c>
      <c r="J533" s="27">
        <f>Місто!J539-'[1]Місто'!J531</f>
        <v>0</v>
      </c>
      <c r="K533" s="27">
        <f>Місто!K539-'[1]Місто'!K531</f>
        <v>0</v>
      </c>
      <c r="L533" s="27">
        <f>Місто!L539-'[1]Місто'!L531</f>
        <v>0</v>
      </c>
      <c r="M533" s="27">
        <f>Місто!M539-'[1]Місто'!M531</f>
        <v>0</v>
      </c>
      <c r="N533" s="27">
        <f>Місто!N539-'[1]Місто'!N531</f>
        <v>0</v>
      </c>
      <c r="O533" s="27">
        <f>Місто!O539-'[1]Місто'!O531</f>
        <v>0</v>
      </c>
      <c r="P533" s="26">
        <f>Місто!P539-'[1]Місто'!P531</f>
        <v>0</v>
      </c>
      <c r="Q533" s="165"/>
      <c r="W533" s="165">
        <f t="shared" si="7"/>
        <v>0</v>
      </c>
    </row>
    <row r="534" spans="1:23" s="166" customFormat="1" ht="51" hidden="1">
      <c r="A534" s="164"/>
      <c r="B534" s="9"/>
      <c r="C534" s="9"/>
      <c r="D534" s="4" t="s">
        <v>222</v>
      </c>
      <c r="E534" s="27">
        <f>Місто!E540-'[1]Місто'!E532</f>
        <v>53600</v>
      </c>
      <c r="F534" s="27">
        <f>Місто!F540-'[1]Місто'!F532</f>
        <v>53600</v>
      </c>
      <c r="G534" s="27">
        <f>Місто!G540-'[1]Місто'!G532</f>
        <v>0</v>
      </c>
      <c r="H534" s="27">
        <f>Місто!H540-'[1]Місто'!H532</f>
        <v>0</v>
      </c>
      <c r="I534" s="27">
        <f>Місто!I540-'[1]Місто'!I532</f>
        <v>0</v>
      </c>
      <c r="J534" s="27">
        <f>Місто!J540-'[1]Місто'!J532</f>
        <v>0</v>
      </c>
      <c r="K534" s="27">
        <f>Місто!K540-'[1]Місто'!K532</f>
        <v>0</v>
      </c>
      <c r="L534" s="27">
        <f>Місто!L540-'[1]Місто'!L532</f>
        <v>0</v>
      </c>
      <c r="M534" s="27">
        <f>Місто!M540-'[1]Місто'!M532</f>
        <v>0</v>
      </c>
      <c r="N534" s="27">
        <f>Місто!N540-'[1]Місто'!N532</f>
        <v>0</v>
      </c>
      <c r="O534" s="27">
        <f>Місто!O540-'[1]Місто'!O532</f>
        <v>0</v>
      </c>
      <c r="P534" s="26">
        <f>Місто!P540-'[1]Місто'!P532</f>
        <v>53600</v>
      </c>
      <c r="Q534" s="165"/>
      <c r="W534" s="165">
        <f t="shared" si="7"/>
        <v>0</v>
      </c>
    </row>
    <row r="535" spans="1:23" s="166" customFormat="1" ht="12.75" hidden="1">
      <c r="A535" s="164"/>
      <c r="B535" s="9"/>
      <c r="C535" s="9"/>
      <c r="D535" s="4" t="s">
        <v>43</v>
      </c>
      <c r="E535" s="27">
        <f>Місто!E541-'[1]Місто'!E533</f>
        <v>55900</v>
      </c>
      <c r="F535" s="27">
        <f>Місто!F541-'[1]Місто'!F533</f>
        <v>55900</v>
      </c>
      <c r="G535" s="27">
        <f>Місто!G541-'[1]Місто'!G533</f>
        <v>0</v>
      </c>
      <c r="H535" s="27">
        <f>Місто!H541-'[1]Місто'!H533</f>
        <v>0</v>
      </c>
      <c r="I535" s="27">
        <f>Місто!I541-'[1]Місто'!I533</f>
        <v>0</v>
      </c>
      <c r="J535" s="27">
        <f>Місто!J541-'[1]Місто'!J533</f>
        <v>0</v>
      </c>
      <c r="K535" s="27">
        <f>Місто!K541-'[1]Місто'!K533</f>
        <v>0</v>
      </c>
      <c r="L535" s="27">
        <f>Місто!L541-'[1]Місто'!L533</f>
        <v>0</v>
      </c>
      <c r="M535" s="27">
        <f>Місто!M541-'[1]Місто'!M533</f>
        <v>0</v>
      </c>
      <c r="N535" s="27">
        <f>Місто!N541-'[1]Місто'!N533</f>
        <v>0</v>
      </c>
      <c r="O535" s="27">
        <f>Місто!O541-'[1]Місто'!O533</f>
        <v>0</v>
      </c>
      <c r="P535" s="26">
        <f>Місто!P541-'[1]Місто'!P533</f>
        <v>55900</v>
      </c>
      <c r="Q535" s="165"/>
      <c r="W535" s="165">
        <f t="shared" si="7"/>
        <v>0</v>
      </c>
    </row>
    <row r="536" spans="1:23" s="166" customFormat="1" ht="24" hidden="1">
      <c r="A536" s="164"/>
      <c r="B536" s="9"/>
      <c r="C536" s="9"/>
      <c r="D536" s="40" t="s">
        <v>105</v>
      </c>
      <c r="E536" s="27">
        <f>Місто!E542-'[1]Місто'!E534</f>
        <v>0</v>
      </c>
      <c r="F536" s="27">
        <f>Місто!F542-'[1]Місто'!F534</f>
        <v>0</v>
      </c>
      <c r="G536" s="27">
        <f>Місто!G542-'[1]Місто'!G534</f>
        <v>0</v>
      </c>
      <c r="H536" s="27">
        <f>Місто!H542-'[1]Місто'!H534</f>
        <v>0</v>
      </c>
      <c r="I536" s="27">
        <f>Місто!I542-'[1]Місто'!I534</f>
        <v>0</v>
      </c>
      <c r="J536" s="27">
        <f>Місто!J542-'[1]Місто'!J534</f>
        <v>0</v>
      </c>
      <c r="K536" s="27">
        <f>Місто!K542-'[1]Місто'!K534</f>
        <v>0</v>
      </c>
      <c r="L536" s="27">
        <f>Місто!L542-'[1]Місто'!L534</f>
        <v>0</v>
      </c>
      <c r="M536" s="27">
        <f>Місто!M542-'[1]Місто'!M534</f>
        <v>0</v>
      </c>
      <c r="N536" s="27">
        <f>Місто!N542-'[1]Місто'!N534</f>
        <v>0</v>
      </c>
      <c r="O536" s="27">
        <f>Місто!O542-'[1]Місто'!O534</f>
        <v>0</v>
      </c>
      <c r="P536" s="26">
        <f>Місто!P542-'[1]Місто'!P534</f>
        <v>0</v>
      </c>
      <c r="Q536" s="165"/>
      <c r="W536" s="165">
        <f t="shared" si="7"/>
        <v>0</v>
      </c>
    </row>
    <row r="537" spans="1:23" s="19" customFormat="1" ht="25.5">
      <c r="A537" s="23"/>
      <c r="B537" s="23" t="s">
        <v>167</v>
      </c>
      <c r="C537" s="23"/>
      <c r="D537" s="20" t="s">
        <v>142</v>
      </c>
      <c r="E537" s="31">
        <f>Місто!E543-'[1]Місто'!E535</f>
        <v>5840092</v>
      </c>
      <c r="F537" s="31">
        <f>Місто!F543-'[1]Місто'!F535</f>
        <v>5840092</v>
      </c>
      <c r="G537" s="31">
        <f>Місто!G543-'[1]Місто'!G535</f>
        <v>413150</v>
      </c>
      <c r="H537" s="31">
        <f>Місто!H543-'[1]Місто'!H535</f>
        <v>966</v>
      </c>
      <c r="I537" s="31">
        <f>Місто!I543-'[1]Місто'!I535</f>
        <v>0</v>
      </c>
      <c r="J537" s="31">
        <f>Місто!J543-'[1]Місто'!J535</f>
        <v>4079256</v>
      </c>
      <c r="K537" s="31">
        <f>Місто!K543-'[1]Місто'!K535</f>
        <v>3276</v>
      </c>
      <c r="L537" s="31">
        <f>Місто!L543-'[1]Місто'!L535</f>
        <v>0</v>
      </c>
      <c r="M537" s="31">
        <f>Місто!M543-'[1]Місто'!M535</f>
        <v>0</v>
      </c>
      <c r="N537" s="31">
        <f>Місто!N543-'[1]Місто'!N535</f>
        <v>4075980</v>
      </c>
      <c r="O537" s="31">
        <f>Місто!O543-'[1]Місто'!O535</f>
        <v>4075980</v>
      </c>
      <c r="P537" s="31">
        <f>Місто!P543-'[1]Місто'!P535</f>
        <v>9919348</v>
      </c>
      <c r="Q537" s="53"/>
      <c r="W537" s="53">
        <f t="shared" si="7"/>
        <v>0</v>
      </c>
    </row>
    <row r="538" spans="1:23" s="3" customFormat="1" ht="12.75">
      <c r="A538" s="14"/>
      <c r="B538" s="14" t="s">
        <v>362</v>
      </c>
      <c r="C538" s="14"/>
      <c r="D538" s="12" t="s">
        <v>363</v>
      </c>
      <c r="E538" s="27">
        <f>Місто!E544-'[1]Місто'!E536</f>
        <v>142704</v>
      </c>
      <c r="F538" s="27">
        <f>Місто!F544-'[1]Місто'!F536</f>
        <v>142704</v>
      </c>
      <c r="G538" s="27">
        <f>Місто!G544-'[1]Місто'!G536</f>
        <v>413150</v>
      </c>
      <c r="H538" s="27">
        <f>Місто!H544-'[1]Місто'!H536</f>
        <v>0</v>
      </c>
      <c r="I538" s="27">
        <f>Місто!I544-'[1]Місто'!I536</f>
        <v>0</v>
      </c>
      <c r="J538" s="27">
        <f>Місто!J544-'[1]Місто'!J536</f>
        <v>588366</v>
      </c>
      <c r="K538" s="27">
        <f>Місто!K544-'[1]Місто'!K536</f>
        <v>0</v>
      </c>
      <c r="L538" s="27">
        <f>Місто!L544-'[1]Місто'!L536</f>
        <v>0</v>
      </c>
      <c r="M538" s="27">
        <f>Місто!M544-'[1]Місто'!M536</f>
        <v>0</v>
      </c>
      <c r="N538" s="27">
        <f>Місто!N544-'[1]Місто'!N536</f>
        <v>588366</v>
      </c>
      <c r="O538" s="27">
        <f>Місто!O544-'[1]Місто'!O536</f>
        <v>588366</v>
      </c>
      <c r="P538" s="27">
        <f>Місто!P544-'[1]Місто'!P536</f>
        <v>731070</v>
      </c>
      <c r="Q538" s="53"/>
      <c r="W538" s="53">
        <f t="shared" si="7"/>
        <v>0</v>
      </c>
    </row>
    <row r="539" spans="1:23" s="5" customFormat="1" ht="12.75">
      <c r="A539" s="16"/>
      <c r="B539" s="16" t="s">
        <v>249</v>
      </c>
      <c r="C539" s="16" t="s">
        <v>441</v>
      </c>
      <c r="D539" s="2" t="s">
        <v>250</v>
      </c>
      <c r="E539" s="27">
        <f>Місто!E545-'[1]Місто'!E537</f>
        <v>142704</v>
      </c>
      <c r="F539" s="27">
        <f>Місто!F545-'[1]Місто'!F537</f>
        <v>142704</v>
      </c>
      <c r="G539" s="27">
        <f>Місто!G545-'[1]Місто'!G537</f>
        <v>413150</v>
      </c>
      <c r="H539" s="27">
        <f>Місто!H545-'[1]Місто'!H537</f>
        <v>0</v>
      </c>
      <c r="I539" s="27">
        <f>Місто!I545-'[1]Місто'!I537</f>
        <v>0</v>
      </c>
      <c r="J539" s="27">
        <f>Місто!J545-'[1]Місто'!J537</f>
        <v>588366</v>
      </c>
      <c r="K539" s="27">
        <f>Місто!K545-'[1]Місто'!K537</f>
        <v>0</v>
      </c>
      <c r="L539" s="27">
        <f>Місто!L545-'[1]Місто'!L537</f>
        <v>0</v>
      </c>
      <c r="M539" s="27">
        <f>Місто!M545-'[1]Місто'!M537</f>
        <v>0</v>
      </c>
      <c r="N539" s="27">
        <f>Місто!N545-'[1]Місто'!N537</f>
        <v>588366</v>
      </c>
      <c r="O539" s="27">
        <f>Місто!O545-'[1]Місто'!O537</f>
        <v>588366</v>
      </c>
      <c r="P539" s="27">
        <f>Місто!P545-'[1]Місто'!P537</f>
        <v>731070</v>
      </c>
      <c r="Q539" s="53"/>
      <c r="W539" s="53">
        <f t="shared" si="7"/>
        <v>0</v>
      </c>
    </row>
    <row r="540" spans="1:23" s="3" customFormat="1" ht="12.75">
      <c r="A540" s="9"/>
      <c r="B540" s="9" t="s">
        <v>374</v>
      </c>
      <c r="C540" s="9"/>
      <c r="D540" s="4" t="s">
        <v>375</v>
      </c>
      <c r="E540" s="27">
        <f>Місто!E546-'[1]Місто'!E538</f>
        <v>5609518</v>
      </c>
      <c r="F540" s="27">
        <f>Місто!F546-'[1]Місто'!F538</f>
        <v>5609518</v>
      </c>
      <c r="G540" s="27">
        <f>Місто!G546-'[1]Місто'!G538</f>
        <v>0</v>
      </c>
      <c r="H540" s="27">
        <f>Місто!H546-'[1]Місто'!H538</f>
        <v>966</v>
      </c>
      <c r="I540" s="27">
        <f>Місто!I546-'[1]Місто'!I538</f>
        <v>0</v>
      </c>
      <c r="J540" s="27">
        <f>Місто!J546-'[1]Місто'!J538</f>
        <v>663780</v>
      </c>
      <c r="K540" s="27">
        <f>Місто!K546-'[1]Місто'!K538</f>
        <v>0</v>
      </c>
      <c r="L540" s="27">
        <f>Місто!L546-'[1]Місто'!L538</f>
        <v>0</v>
      </c>
      <c r="M540" s="27">
        <f>Місто!M546-'[1]Місто'!M538</f>
        <v>0</v>
      </c>
      <c r="N540" s="27">
        <f>Місто!N546-'[1]Місто'!N538</f>
        <v>663780</v>
      </c>
      <c r="O540" s="27">
        <f>Місто!O546-'[1]Місто'!O538</f>
        <v>663780</v>
      </c>
      <c r="P540" s="27">
        <f>Місто!P546-'[1]Місто'!P538</f>
        <v>6273298</v>
      </c>
      <c r="Q540" s="53"/>
      <c r="W540" s="53">
        <f t="shared" si="7"/>
        <v>0</v>
      </c>
    </row>
    <row r="541" spans="1:23" s="3" customFormat="1" ht="12.75">
      <c r="A541" s="9"/>
      <c r="B541" s="9" t="s">
        <v>102</v>
      </c>
      <c r="C541" s="9" t="s">
        <v>474</v>
      </c>
      <c r="D541" s="4" t="s">
        <v>106</v>
      </c>
      <c r="E541" s="27">
        <f>Місто!E548-'[1]Місто'!E539</f>
        <v>3855258</v>
      </c>
      <c r="F541" s="27">
        <f>Місто!F548-'[1]Місто'!F539</f>
        <v>3855258</v>
      </c>
      <c r="G541" s="27">
        <f>Місто!G548-'[1]Місто'!G539</f>
        <v>0</v>
      </c>
      <c r="H541" s="27">
        <f>Місто!H548-'[1]Місто'!H539</f>
        <v>966</v>
      </c>
      <c r="I541" s="27">
        <f>Місто!I548-'[1]Місто'!I539</f>
        <v>0</v>
      </c>
      <c r="J541" s="27">
        <f>Місто!J548-'[1]Місто'!J539</f>
        <v>663780</v>
      </c>
      <c r="K541" s="27">
        <f>Місто!K548-'[1]Місто'!K539</f>
        <v>0</v>
      </c>
      <c r="L541" s="27">
        <f>Місто!L548-'[1]Місто'!L539</f>
        <v>0</v>
      </c>
      <c r="M541" s="27">
        <f>Місто!M548-'[1]Місто'!M539</f>
        <v>0</v>
      </c>
      <c r="N541" s="27">
        <f>Місто!N548-'[1]Місто'!N539</f>
        <v>663780</v>
      </c>
      <c r="O541" s="27">
        <f>Місто!O548-'[1]Місто'!O539</f>
        <v>663780</v>
      </c>
      <c r="P541" s="27">
        <f>Місто!P548-'[1]Місто'!P539</f>
        <v>4519038</v>
      </c>
      <c r="Q541" s="53"/>
      <c r="W541" s="53">
        <f t="shared" si="7"/>
        <v>0</v>
      </c>
    </row>
    <row r="542" spans="1:23" s="3" customFormat="1" ht="12.75" hidden="1">
      <c r="A542" s="9"/>
      <c r="B542" s="9" t="s">
        <v>366</v>
      </c>
      <c r="C542" s="9"/>
      <c r="D542" s="4" t="s">
        <v>283</v>
      </c>
      <c r="E542" s="27">
        <f>Місто!E549-'[1]Місто'!E540</f>
        <v>0</v>
      </c>
      <c r="F542" s="27">
        <f>Місто!F549-'[1]Місто'!F540</f>
        <v>0</v>
      </c>
      <c r="G542" s="27">
        <f>Місто!G549-'[1]Місто'!G540</f>
        <v>0</v>
      </c>
      <c r="H542" s="27">
        <f>Місто!H549-'[1]Місто'!H540</f>
        <v>0</v>
      </c>
      <c r="I542" s="27">
        <f>Місто!I549-'[1]Місто'!I540</f>
        <v>0</v>
      </c>
      <c r="J542" s="27">
        <f>Місто!J549-'[1]Місто'!J540</f>
        <v>2823834</v>
      </c>
      <c r="K542" s="27">
        <f>Місто!K549-'[1]Місто'!K540</f>
        <v>0</v>
      </c>
      <c r="L542" s="27">
        <f>Місто!L549-'[1]Місто'!L540</f>
        <v>0</v>
      </c>
      <c r="M542" s="27">
        <f>Місто!M549-'[1]Місто'!M540</f>
        <v>0</v>
      </c>
      <c r="N542" s="27">
        <f>Місто!N549-'[1]Місто'!N540</f>
        <v>2823834</v>
      </c>
      <c r="O542" s="27">
        <f>Місто!O549-'[1]Місто'!O540</f>
        <v>2823834</v>
      </c>
      <c r="P542" s="27">
        <f>Місто!P549-'[1]Місто'!P540</f>
        <v>2823834</v>
      </c>
      <c r="Q542" s="53"/>
      <c r="W542" s="53">
        <f t="shared" si="7"/>
        <v>0</v>
      </c>
    </row>
    <row r="543" spans="1:23" s="3" customFormat="1" ht="12.75" hidden="1">
      <c r="A543" s="9"/>
      <c r="B543" s="9" t="s">
        <v>338</v>
      </c>
      <c r="C543" s="9" t="s">
        <v>443</v>
      </c>
      <c r="D543" s="4" t="s">
        <v>339</v>
      </c>
      <c r="E543" s="27">
        <f>Місто!E550-'[1]Місто'!E541</f>
        <v>0</v>
      </c>
      <c r="F543" s="27">
        <f>Місто!F550-'[1]Місто'!F541</f>
        <v>0</v>
      </c>
      <c r="G543" s="27">
        <f>Місто!G550-'[1]Місто'!G541</f>
        <v>0</v>
      </c>
      <c r="H543" s="27">
        <f>Місто!H550-'[1]Місто'!H541</f>
        <v>0</v>
      </c>
      <c r="I543" s="27">
        <f>Місто!I550-'[1]Місто'!I541</f>
        <v>0</v>
      </c>
      <c r="J543" s="27">
        <f>Місто!J550-'[1]Місто'!J541</f>
        <v>2823834</v>
      </c>
      <c r="K543" s="27">
        <f>Місто!K550-'[1]Місто'!K541</f>
        <v>0</v>
      </c>
      <c r="L543" s="27">
        <f>Місто!L550-'[1]Місто'!L541</f>
        <v>0</v>
      </c>
      <c r="M543" s="27">
        <f>Місто!M550-'[1]Місто'!M541</f>
        <v>0</v>
      </c>
      <c r="N543" s="27">
        <f>Місто!N550-'[1]Місто'!N541</f>
        <v>2823834</v>
      </c>
      <c r="O543" s="27">
        <f>Місто!O550-'[1]Місто'!O541</f>
        <v>2823834</v>
      </c>
      <c r="P543" s="27">
        <f>Місто!P550-'[1]Місто'!P541</f>
        <v>2823834</v>
      </c>
      <c r="Q543" s="53"/>
      <c r="W543" s="53">
        <f t="shared" si="7"/>
        <v>0</v>
      </c>
    </row>
    <row r="544" spans="1:23" s="3" customFormat="1" ht="38.25" hidden="1">
      <c r="A544" s="39"/>
      <c r="B544" s="39"/>
      <c r="C544" s="39"/>
      <c r="D544" s="60" t="s">
        <v>351</v>
      </c>
      <c r="E544" s="27">
        <f>Місто!E551-'[1]Місто'!E542</f>
        <v>0</v>
      </c>
      <c r="F544" s="27">
        <f>Місто!F551-'[1]Місто'!F542</f>
        <v>0</v>
      </c>
      <c r="G544" s="27">
        <f>Місто!G551-'[1]Місто'!G542</f>
        <v>0</v>
      </c>
      <c r="H544" s="27">
        <f>Місто!H551-'[1]Місто'!H542</f>
        <v>0</v>
      </c>
      <c r="I544" s="27">
        <f>Місто!I551-'[1]Місто'!I542</f>
        <v>0</v>
      </c>
      <c r="J544" s="27">
        <f>Місто!J551-'[1]Місто'!J542</f>
        <v>0</v>
      </c>
      <c r="K544" s="27">
        <f>Місто!K551-'[1]Місто'!K542</f>
        <v>0</v>
      </c>
      <c r="L544" s="27">
        <f>Місто!L551-'[1]Місто'!L542</f>
        <v>0</v>
      </c>
      <c r="M544" s="27">
        <f>Місто!M551-'[1]Місто'!M542</f>
        <v>0</v>
      </c>
      <c r="N544" s="27">
        <f>Місто!N551-'[1]Місто'!N542</f>
        <v>0</v>
      </c>
      <c r="O544" s="27">
        <f>Місто!O551-'[1]Місто'!O542</f>
        <v>0</v>
      </c>
      <c r="P544" s="27">
        <f>Місто!P551-'[1]Місто'!P542</f>
        <v>0</v>
      </c>
      <c r="Q544" s="53"/>
      <c r="W544" s="53">
        <f t="shared" si="7"/>
        <v>0</v>
      </c>
    </row>
    <row r="545" spans="1:23" s="3" customFormat="1" ht="38.25" hidden="1">
      <c r="A545" s="39"/>
      <c r="B545" s="39" t="s">
        <v>285</v>
      </c>
      <c r="C545" s="39"/>
      <c r="D545" s="73" t="s">
        <v>241</v>
      </c>
      <c r="E545" s="27">
        <f>Місто!E552-'[1]Місто'!E543</f>
        <v>0</v>
      </c>
      <c r="F545" s="27">
        <f>Місто!F552-'[1]Місто'!F543</f>
        <v>0</v>
      </c>
      <c r="G545" s="27">
        <f>Місто!G552-'[1]Місто'!G543</f>
        <v>0</v>
      </c>
      <c r="H545" s="27">
        <f>Місто!H552-'[1]Місто'!H543</f>
        <v>0</v>
      </c>
      <c r="I545" s="27">
        <f>Місто!I552-'[1]Місто'!I543</f>
        <v>0</v>
      </c>
      <c r="J545" s="27">
        <f>Місто!J552-'[1]Місто'!J543</f>
        <v>0</v>
      </c>
      <c r="K545" s="27">
        <f>Місто!K552-'[1]Місто'!K543</f>
        <v>0</v>
      </c>
      <c r="L545" s="27">
        <f>Місто!L552-'[1]Місто'!L543</f>
        <v>0</v>
      </c>
      <c r="M545" s="27">
        <f>Місто!M552-'[1]Місто'!M543</f>
        <v>0</v>
      </c>
      <c r="N545" s="27">
        <f>Місто!N552-'[1]Місто'!N543</f>
        <v>0</v>
      </c>
      <c r="O545" s="27">
        <f>Місто!O552-'[1]Місто'!O543</f>
        <v>0</v>
      </c>
      <c r="P545" s="27">
        <f>Місто!P552-'[1]Місто'!P543</f>
        <v>0</v>
      </c>
      <c r="Q545" s="53"/>
      <c r="W545" s="53">
        <f t="shared" si="7"/>
        <v>0</v>
      </c>
    </row>
    <row r="546" spans="1:23" s="3" customFormat="1" ht="12.75">
      <c r="A546" s="9"/>
      <c r="B546" s="9" t="s">
        <v>369</v>
      </c>
      <c r="C546" s="9"/>
      <c r="D546" s="4" t="s">
        <v>373</v>
      </c>
      <c r="E546" s="27">
        <f>Місто!E553-'[1]Місто'!E544</f>
        <v>0</v>
      </c>
      <c r="F546" s="27">
        <f>Місто!F553-'[1]Місто'!F544</f>
        <v>0</v>
      </c>
      <c r="G546" s="27">
        <f>Місто!G553-'[1]Місто'!G544</f>
        <v>0</v>
      </c>
      <c r="H546" s="27">
        <f>Місто!H553-'[1]Місто'!H544</f>
        <v>0</v>
      </c>
      <c r="I546" s="27">
        <f>Місто!I553-'[1]Місто'!I544</f>
        <v>0</v>
      </c>
      <c r="J546" s="27">
        <f>Місто!J553-'[1]Місто'!J544</f>
        <v>3276</v>
      </c>
      <c r="K546" s="27">
        <f>Місто!K553-'[1]Місто'!K544</f>
        <v>3276</v>
      </c>
      <c r="L546" s="27">
        <f>Місто!L553-'[1]Місто'!L544</f>
        <v>0</v>
      </c>
      <c r="M546" s="27">
        <f>Місто!M553-'[1]Місто'!M544</f>
        <v>0</v>
      </c>
      <c r="N546" s="27">
        <f>Місто!N553-'[1]Місто'!N544</f>
        <v>0</v>
      </c>
      <c r="O546" s="27">
        <f>Місто!O553-'[1]Місто'!O544</f>
        <v>0</v>
      </c>
      <c r="P546" s="27">
        <f>Місто!P553-'[1]Місто'!P544</f>
        <v>3276</v>
      </c>
      <c r="Q546" s="53"/>
      <c r="W546" s="53">
        <f t="shared" si="7"/>
        <v>0</v>
      </c>
    </row>
    <row r="547" spans="1:23" s="3" customFormat="1" ht="63.75">
      <c r="A547" s="9"/>
      <c r="B547" s="9" t="s">
        <v>287</v>
      </c>
      <c r="C547" s="9" t="s">
        <v>444</v>
      </c>
      <c r="D547" s="73" t="s">
        <v>109</v>
      </c>
      <c r="E547" s="27">
        <f>Місто!E554-'[1]Місто'!E545</f>
        <v>0</v>
      </c>
      <c r="F547" s="27">
        <f>Місто!F554-'[1]Місто'!F545</f>
        <v>0</v>
      </c>
      <c r="G547" s="27">
        <f>Місто!G554-'[1]Місто'!G545</f>
        <v>0</v>
      </c>
      <c r="H547" s="27">
        <f>Місто!H554-'[1]Місто'!H545</f>
        <v>0</v>
      </c>
      <c r="I547" s="27">
        <f>Місто!I554-'[1]Місто'!I545</f>
        <v>0</v>
      </c>
      <c r="J547" s="27">
        <f>Місто!J554-'[1]Місто'!J545</f>
        <v>3276</v>
      </c>
      <c r="K547" s="27">
        <f>Місто!K554-'[1]Місто'!K545</f>
        <v>3276</v>
      </c>
      <c r="L547" s="27">
        <f>Місто!L554-'[1]Місто'!L545</f>
        <v>0</v>
      </c>
      <c r="M547" s="27">
        <f>Місто!M554-'[1]Місто'!M545</f>
        <v>0</v>
      </c>
      <c r="N547" s="27">
        <f>Місто!N554-'[1]Місто'!N545</f>
        <v>0</v>
      </c>
      <c r="O547" s="27">
        <f>Місто!O554-'[1]Місто'!O545</f>
        <v>0</v>
      </c>
      <c r="P547" s="27">
        <f>Місто!P554-'[1]Місто'!P545</f>
        <v>3276</v>
      </c>
      <c r="Q547" s="53"/>
      <c r="W547" s="53">
        <f t="shared" si="7"/>
        <v>0</v>
      </c>
    </row>
    <row r="548" spans="1:23" s="3" customFormat="1" ht="18" customHeight="1">
      <c r="A548" s="9"/>
      <c r="B548" s="9" t="s">
        <v>371</v>
      </c>
      <c r="C548" s="9"/>
      <c r="D548" s="60" t="s">
        <v>372</v>
      </c>
      <c r="E548" s="27">
        <f>Місто!E555-'[1]Місто'!E546</f>
        <v>87870</v>
      </c>
      <c r="F548" s="27">
        <f>Місто!F555-'[1]Місто'!F546</f>
        <v>87870</v>
      </c>
      <c r="G548" s="27">
        <f>Місто!G555-'[1]Місто'!G546</f>
        <v>0</v>
      </c>
      <c r="H548" s="27">
        <f>Місто!H555-'[1]Місто'!H546</f>
        <v>0</v>
      </c>
      <c r="I548" s="27">
        <f>Місто!I555-'[1]Місто'!I546</f>
        <v>0</v>
      </c>
      <c r="J548" s="27">
        <f>Місто!J555-'[1]Місто'!J546</f>
        <v>0</v>
      </c>
      <c r="K548" s="27">
        <f>Місто!K555-'[1]Місто'!K546</f>
        <v>0</v>
      </c>
      <c r="L548" s="27">
        <f>Місто!L555-'[1]Місто'!L546</f>
        <v>0</v>
      </c>
      <c r="M548" s="27">
        <f>Місто!M555-'[1]Місто'!M546</f>
        <v>0</v>
      </c>
      <c r="N548" s="27">
        <f>Місто!N555-'[1]Місто'!N546</f>
        <v>0</v>
      </c>
      <c r="O548" s="27">
        <f>Місто!O555-'[1]Місто'!O546</f>
        <v>0</v>
      </c>
      <c r="P548" s="27">
        <f>Місто!P555-'[1]Місто'!P546</f>
        <v>87870</v>
      </c>
      <c r="Q548" s="53"/>
      <c r="W548" s="53">
        <f t="shared" si="7"/>
        <v>0</v>
      </c>
    </row>
    <row r="549" spans="1:23" s="3" customFormat="1" ht="38.25" hidden="1">
      <c r="A549" s="9"/>
      <c r="B549" s="74" t="s">
        <v>305</v>
      </c>
      <c r="C549" s="74" t="s">
        <v>494</v>
      </c>
      <c r="D549" s="73" t="s">
        <v>12</v>
      </c>
      <c r="E549" s="27">
        <f>Місто!E556-'[1]Місто'!E547</f>
        <v>0</v>
      </c>
      <c r="F549" s="27">
        <f>Місто!F556-'[1]Місто'!F547</f>
        <v>0</v>
      </c>
      <c r="G549" s="27">
        <f>Місто!G556-'[1]Місто'!G547</f>
        <v>0</v>
      </c>
      <c r="H549" s="27">
        <f>Місто!H556-'[1]Місто'!H547</f>
        <v>0</v>
      </c>
      <c r="I549" s="27">
        <f>Місто!I556-'[1]Місто'!I547</f>
        <v>0</v>
      </c>
      <c r="J549" s="27">
        <f>Місто!J556-'[1]Місто'!J547</f>
        <v>0</v>
      </c>
      <c r="K549" s="27">
        <f>Місто!K556-'[1]Місто'!K547</f>
        <v>0</v>
      </c>
      <c r="L549" s="27">
        <f>Місто!L556-'[1]Місто'!L547</f>
        <v>0</v>
      </c>
      <c r="M549" s="27">
        <f>Місто!M556-'[1]Місто'!M547</f>
        <v>0</v>
      </c>
      <c r="N549" s="27">
        <f>Місто!N556-'[1]Місто'!N547</f>
        <v>0</v>
      </c>
      <c r="O549" s="27">
        <f>Місто!O556-'[1]Місто'!O547</f>
        <v>0</v>
      </c>
      <c r="P549" s="27">
        <f>Місто!P556-'[1]Місто'!P547</f>
        <v>0</v>
      </c>
      <c r="Q549" s="53"/>
      <c r="W549" s="53"/>
    </row>
    <row r="550" spans="1:23" s="3" customFormat="1" ht="63.75" hidden="1">
      <c r="A550" s="9"/>
      <c r="B550" s="39"/>
      <c r="C550" s="39"/>
      <c r="D550" s="68" t="s">
        <v>493</v>
      </c>
      <c r="E550" s="27">
        <f>Місто!E557-'[1]Місто'!E548</f>
        <v>0</v>
      </c>
      <c r="F550" s="27">
        <f>Місто!F557-'[1]Місто'!F548</f>
        <v>0</v>
      </c>
      <c r="G550" s="27">
        <f>Місто!G557-'[1]Місто'!G548</f>
        <v>0</v>
      </c>
      <c r="H550" s="27">
        <f>Місто!H557-'[1]Місто'!H548</f>
        <v>0</v>
      </c>
      <c r="I550" s="27">
        <f>Місто!I557-'[1]Місто'!I548</f>
        <v>0</v>
      </c>
      <c r="J550" s="27">
        <f>Місто!J557-'[1]Місто'!J548</f>
        <v>0</v>
      </c>
      <c r="K550" s="27">
        <f>Місто!K557-'[1]Місто'!K548</f>
        <v>0</v>
      </c>
      <c r="L550" s="27">
        <f>Місто!L557-'[1]Місто'!L548</f>
        <v>0</v>
      </c>
      <c r="M550" s="27">
        <f>Місто!M557-'[1]Місто'!M548</f>
        <v>0</v>
      </c>
      <c r="N550" s="27">
        <f>Місто!N557-'[1]Місто'!N548</f>
        <v>0</v>
      </c>
      <c r="O550" s="27">
        <f>Місто!O557-'[1]Місто'!O548</f>
        <v>0</v>
      </c>
      <c r="P550" s="27">
        <f>Місто!P557-'[1]Місто'!P548</f>
        <v>0</v>
      </c>
      <c r="Q550" s="53"/>
      <c r="W550" s="53"/>
    </row>
    <row r="551" spans="1:23" s="3" customFormat="1" ht="12.75">
      <c r="A551" s="9"/>
      <c r="B551" s="9" t="s">
        <v>288</v>
      </c>
      <c r="C551" s="9" t="s">
        <v>444</v>
      </c>
      <c r="D551" s="4" t="s">
        <v>316</v>
      </c>
      <c r="E551" s="27">
        <f>Місто!E558-'[1]Місто'!E549</f>
        <v>87870</v>
      </c>
      <c r="F551" s="27">
        <f>Місто!F558-'[1]Місто'!F549</f>
        <v>87870</v>
      </c>
      <c r="G551" s="27">
        <f>Місто!G558-'[1]Місто'!G549</f>
        <v>0</v>
      </c>
      <c r="H551" s="27">
        <f>Місто!H558-'[1]Місто'!H549</f>
        <v>0</v>
      </c>
      <c r="I551" s="27">
        <f>Місто!I558-'[1]Місто'!I549</f>
        <v>0</v>
      </c>
      <c r="J551" s="27">
        <f>Місто!J558-'[1]Місто'!J549</f>
        <v>0</v>
      </c>
      <c r="K551" s="27">
        <f>Місто!K558-'[1]Місто'!K549</f>
        <v>0</v>
      </c>
      <c r="L551" s="27">
        <f>Місто!L558-'[1]Місто'!L549</f>
        <v>0</v>
      </c>
      <c r="M551" s="27">
        <f>Місто!M558-'[1]Місто'!M549</f>
        <v>0</v>
      </c>
      <c r="N551" s="27">
        <f>Місто!N558-'[1]Місто'!N549</f>
        <v>0</v>
      </c>
      <c r="O551" s="27">
        <f>Місто!O558-'[1]Місто'!O549</f>
        <v>0</v>
      </c>
      <c r="P551" s="27">
        <f>Місто!P558-'[1]Місто'!P549</f>
        <v>87870</v>
      </c>
      <c r="Q551" s="53"/>
      <c r="W551" s="53">
        <f t="shared" si="7"/>
        <v>0</v>
      </c>
    </row>
    <row r="552" spans="1:23" s="166" customFormat="1" ht="38.25" hidden="1">
      <c r="A552" s="164"/>
      <c r="B552" s="9"/>
      <c r="C552" s="9"/>
      <c r="D552" s="4" t="s">
        <v>187</v>
      </c>
      <c r="E552" s="27">
        <f>Місто!E559-'[1]Місто'!E550</f>
        <v>0</v>
      </c>
      <c r="F552" s="27">
        <f>Місто!F559-'[1]Місто'!F550</f>
        <v>0</v>
      </c>
      <c r="G552" s="27">
        <f>Місто!G559-'[1]Місто'!G550</f>
        <v>0</v>
      </c>
      <c r="H552" s="27">
        <f>Місто!H559-'[1]Місто'!H550</f>
        <v>0</v>
      </c>
      <c r="I552" s="27">
        <f>Місто!I559-'[1]Місто'!I550</f>
        <v>0</v>
      </c>
      <c r="J552" s="27">
        <f>Місто!J559-'[1]Місто'!J550</f>
        <v>0</v>
      </c>
      <c r="K552" s="27">
        <f>Місто!K559-'[1]Місто'!K550</f>
        <v>0</v>
      </c>
      <c r="L552" s="27">
        <f>Місто!L559-'[1]Місто'!L550</f>
        <v>0</v>
      </c>
      <c r="M552" s="27">
        <f>Місто!M559-'[1]Місто'!M550</f>
        <v>0</v>
      </c>
      <c r="N552" s="27">
        <f>Місто!N559-'[1]Місто'!N550</f>
        <v>0</v>
      </c>
      <c r="O552" s="27">
        <f>Місто!O559-'[1]Місто'!O550</f>
        <v>0</v>
      </c>
      <c r="P552" s="27">
        <f>Місто!P559-'[1]Місто'!P550</f>
        <v>0</v>
      </c>
      <c r="Q552" s="165"/>
      <c r="W552" s="165">
        <f t="shared" si="7"/>
        <v>0</v>
      </c>
    </row>
    <row r="553" spans="1:23" s="166" customFormat="1" ht="38.25" hidden="1">
      <c r="A553" s="167"/>
      <c r="B553" s="81"/>
      <c r="C553" s="81"/>
      <c r="D553" s="4" t="s">
        <v>189</v>
      </c>
      <c r="E553" s="27">
        <f>Місто!E560-'[1]Місто'!E551</f>
        <v>0</v>
      </c>
      <c r="F553" s="83">
        <f>Місто!F560-'[1]Місто'!F551</f>
        <v>0</v>
      </c>
      <c r="G553" s="83">
        <f>Місто!G560-'[1]Місто'!G551</f>
        <v>0</v>
      </c>
      <c r="H553" s="83">
        <f>Місто!H560-'[1]Місто'!H551</f>
        <v>0</v>
      </c>
      <c r="I553" s="83">
        <f>Місто!I560-'[1]Місто'!I551</f>
        <v>0</v>
      </c>
      <c r="J553" s="83">
        <f>Місто!J560-'[1]Місто'!J551</f>
        <v>0</v>
      </c>
      <c r="K553" s="83">
        <f>Місто!K560-'[1]Місто'!K551</f>
        <v>0</v>
      </c>
      <c r="L553" s="83">
        <f>Місто!L560-'[1]Місто'!L551</f>
        <v>0</v>
      </c>
      <c r="M553" s="83">
        <f>Місто!M560-'[1]Місто'!M551</f>
        <v>0</v>
      </c>
      <c r="N553" s="83">
        <f>Місто!N560-'[1]Місто'!N551</f>
        <v>0</v>
      </c>
      <c r="O553" s="83">
        <f>Місто!O560-'[1]Місто'!O551</f>
        <v>0</v>
      </c>
      <c r="P553" s="27">
        <f>Місто!P560-'[1]Місто'!P551</f>
        <v>0</v>
      </c>
      <c r="Q553" s="165"/>
      <c r="W553" s="165">
        <f t="shared" si="7"/>
        <v>0</v>
      </c>
    </row>
    <row r="554" spans="1:23" s="166" customFormat="1" ht="25.5" hidden="1">
      <c r="A554" s="167"/>
      <c r="B554" s="81"/>
      <c r="C554" s="81"/>
      <c r="D554" s="4" t="s">
        <v>207</v>
      </c>
      <c r="E554" s="27">
        <f>Місто!E561-'[1]Місто'!E552</f>
        <v>0</v>
      </c>
      <c r="F554" s="83">
        <f>Місто!F561-'[1]Місто'!F552</f>
        <v>0</v>
      </c>
      <c r="G554" s="83">
        <f>Місто!G561-'[1]Місто'!G552</f>
        <v>0</v>
      </c>
      <c r="H554" s="83">
        <f>Місто!H561-'[1]Місто'!H552</f>
        <v>0</v>
      </c>
      <c r="I554" s="83">
        <f>Місто!I561-'[1]Місто'!I552</f>
        <v>0</v>
      </c>
      <c r="J554" s="83">
        <f>Місто!J561-'[1]Місто'!J552</f>
        <v>0</v>
      </c>
      <c r="K554" s="83">
        <f>Місто!K561-'[1]Місто'!K552</f>
        <v>0</v>
      </c>
      <c r="L554" s="83">
        <f>Місто!L561-'[1]Місто'!L552</f>
        <v>0</v>
      </c>
      <c r="M554" s="83">
        <f>Місто!M561-'[1]Місто'!M552</f>
        <v>0</v>
      </c>
      <c r="N554" s="83">
        <f>Місто!N561-'[1]Місто'!N552</f>
        <v>0</v>
      </c>
      <c r="O554" s="83">
        <f>Місто!O561-'[1]Місто'!O552</f>
        <v>0</v>
      </c>
      <c r="P554" s="83">
        <f>Місто!P561-'[1]Місто'!P552</f>
        <v>0</v>
      </c>
      <c r="Q554" s="165"/>
      <c r="W554" s="165">
        <f t="shared" si="7"/>
        <v>0</v>
      </c>
    </row>
    <row r="555" spans="1:23" s="166" customFormat="1" ht="25.5" hidden="1">
      <c r="A555" s="167"/>
      <c r="B555" s="81"/>
      <c r="C555" s="81"/>
      <c r="D555" s="6" t="s">
        <v>208</v>
      </c>
      <c r="E555" s="27">
        <f>Місто!E562-'[1]Місто'!E553</f>
        <v>0</v>
      </c>
      <c r="F555" s="83">
        <f>Місто!F562-'[1]Місто'!F553</f>
        <v>0</v>
      </c>
      <c r="G555" s="83">
        <f>Місто!G562-'[1]Місто'!G553</f>
        <v>0</v>
      </c>
      <c r="H555" s="83">
        <f>Місто!H562-'[1]Місто'!H553</f>
        <v>0</v>
      </c>
      <c r="I555" s="83">
        <f>Місто!I562-'[1]Місто'!I553</f>
        <v>0</v>
      </c>
      <c r="J555" s="83">
        <f>Місто!J562-'[1]Місто'!J553</f>
        <v>0</v>
      </c>
      <c r="K555" s="83">
        <f>Місто!K562-'[1]Місто'!K553</f>
        <v>0</v>
      </c>
      <c r="L555" s="83">
        <f>Місто!L562-'[1]Місто'!L553</f>
        <v>0</v>
      </c>
      <c r="M555" s="83">
        <f>Місто!M562-'[1]Місто'!M553</f>
        <v>0</v>
      </c>
      <c r="N555" s="83">
        <f>Місто!N562-'[1]Місто'!N553</f>
        <v>0</v>
      </c>
      <c r="O555" s="83">
        <f>Місто!O562-'[1]Місто'!O553</f>
        <v>0</v>
      </c>
      <c r="P555" s="83">
        <f>Місто!P562-'[1]Місто'!P553</f>
        <v>0</v>
      </c>
      <c r="Q555" s="165"/>
      <c r="W555" s="165">
        <f t="shared" si="7"/>
        <v>0</v>
      </c>
    </row>
    <row r="556" spans="1:23" s="166" customFormat="1" ht="25.5" hidden="1">
      <c r="A556" s="167"/>
      <c r="B556" s="81"/>
      <c r="C556" s="81"/>
      <c r="D556" s="4" t="s">
        <v>111</v>
      </c>
      <c r="E556" s="27">
        <f>Місто!E563-'[1]Місто'!E554</f>
        <v>0</v>
      </c>
      <c r="F556" s="83">
        <f>Місто!F563-'[1]Місто'!F554</f>
        <v>0</v>
      </c>
      <c r="G556" s="83">
        <f>Місто!G563-'[1]Місто'!G554</f>
        <v>0</v>
      </c>
      <c r="H556" s="83">
        <f>Місто!H563-'[1]Місто'!H554</f>
        <v>0</v>
      </c>
      <c r="I556" s="83">
        <f>Місто!I563-'[1]Місто'!I554</f>
        <v>0</v>
      </c>
      <c r="J556" s="83">
        <f>Місто!J563-'[1]Місто'!J554</f>
        <v>0</v>
      </c>
      <c r="K556" s="83">
        <f>Місто!K563-'[1]Місто'!K554</f>
        <v>0</v>
      </c>
      <c r="L556" s="83">
        <f>Місто!L563-'[1]Місто'!L554</f>
        <v>0</v>
      </c>
      <c r="M556" s="83">
        <f>Місто!M563-'[1]Місто'!M554</f>
        <v>0</v>
      </c>
      <c r="N556" s="83">
        <f>Місто!N563-'[1]Місто'!N554</f>
        <v>0</v>
      </c>
      <c r="O556" s="83">
        <f>Місто!O563-'[1]Місто'!O554</f>
        <v>0</v>
      </c>
      <c r="P556" s="83">
        <f>Місто!P563-'[1]Місто'!P554</f>
        <v>0</v>
      </c>
      <c r="Q556" s="165"/>
      <c r="W556" s="165">
        <f t="shared" si="7"/>
        <v>0</v>
      </c>
    </row>
    <row r="557" spans="1:23" s="166" customFormat="1" ht="51" hidden="1">
      <c r="A557" s="167"/>
      <c r="B557" s="81"/>
      <c r="C557" s="81"/>
      <c r="D557" s="4" t="s">
        <v>222</v>
      </c>
      <c r="E557" s="27">
        <f>Місто!E564-'[1]Місто'!E555</f>
        <v>35503</v>
      </c>
      <c r="F557" s="83">
        <f>Місто!F564-'[1]Місто'!F555</f>
        <v>35503</v>
      </c>
      <c r="G557" s="83">
        <f>Місто!G564-'[1]Місто'!G555</f>
        <v>0</v>
      </c>
      <c r="H557" s="83">
        <f>Місто!H564-'[1]Місто'!H555</f>
        <v>0</v>
      </c>
      <c r="I557" s="83">
        <f>Місто!I564-'[1]Місто'!I555</f>
        <v>0</v>
      </c>
      <c r="J557" s="83">
        <f>Місто!J564-'[1]Місто'!J555</f>
        <v>0</v>
      </c>
      <c r="K557" s="83">
        <f>Місто!K564-'[1]Місто'!K555</f>
        <v>0</v>
      </c>
      <c r="L557" s="83">
        <f>Місто!L564-'[1]Місто'!L555</f>
        <v>0</v>
      </c>
      <c r="M557" s="83">
        <f>Місто!M564-'[1]Місто'!M555</f>
        <v>0</v>
      </c>
      <c r="N557" s="83">
        <f>Місто!N564-'[1]Місто'!N555</f>
        <v>0</v>
      </c>
      <c r="O557" s="83">
        <f>Місто!O564-'[1]Місто'!O555</f>
        <v>0</v>
      </c>
      <c r="P557" s="83">
        <f>Місто!P564-'[1]Місто'!P555</f>
        <v>35503</v>
      </c>
      <c r="Q557" s="165"/>
      <c r="W557" s="165">
        <f t="shared" si="7"/>
        <v>0</v>
      </c>
    </row>
    <row r="558" spans="1:23" s="166" customFormat="1" ht="12.75" hidden="1">
      <c r="A558" s="167"/>
      <c r="B558" s="81"/>
      <c r="C558" s="81"/>
      <c r="D558" s="4" t="s">
        <v>43</v>
      </c>
      <c r="E558" s="27">
        <f>Місто!E565-'[1]Місто'!E556</f>
        <v>52367</v>
      </c>
      <c r="F558" s="83">
        <f>Місто!F565-'[1]Місто'!F556</f>
        <v>52367</v>
      </c>
      <c r="G558" s="83">
        <f>Місто!G565-'[1]Місто'!G556</f>
        <v>0</v>
      </c>
      <c r="H558" s="83">
        <f>Місто!H565-'[1]Місто'!H556</f>
        <v>0</v>
      </c>
      <c r="I558" s="83">
        <f>Місто!I565-'[1]Місто'!I556</f>
        <v>0</v>
      </c>
      <c r="J558" s="83">
        <f>Місто!J565-'[1]Місто'!J556</f>
        <v>0</v>
      </c>
      <c r="K558" s="83">
        <f>Місто!K565-'[1]Місто'!K556</f>
        <v>0</v>
      </c>
      <c r="L558" s="83">
        <f>Місто!L565-'[1]Місто'!L556</f>
        <v>0</v>
      </c>
      <c r="M558" s="83">
        <f>Місто!M565-'[1]Місто'!M556</f>
        <v>0</v>
      </c>
      <c r="N558" s="83">
        <f>Місто!N565-'[1]Місто'!N556</f>
        <v>0</v>
      </c>
      <c r="O558" s="83">
        <f>Місто!O565-'[1]Місто'!O556</f>
        <v>0</v>
      </c>
      <c r="P558" s="83">
        <f>Місто!P565-'[1]Місто'!P556</f>
        <v>52367</v>
      </c>
      <c r="Q558" s="165"/>
      <c r="W558" s="165">
        <f t="shared" si="7"/>
        <v>0</v>
      </c>
    </row>
    <row r="559" spans="1:23" s="166" customFormat="1" ht="24" hidden="1">
      <c r="A559" s="167"/>
      <c r="B559" s="81"/>
      <c r="C559" s="81"/>
      <c r="D559" s="40" t="s">
        <v>105</v>
      </c>
      <c r="E559" s="27">
        <f>Місто!E566-'[1]Місто'!E557</f>
        <v>0</v>
      </c>
      <c r="F559" s="83">
        <f>Місто!F566-'[1]Місто'!F557</f>
        <v>0</v>
      </c>
      <c r="G559" s="83">
        <f>Місто!G566-'[1]Місто'!G557</f>
        <v>0</v>
      </c>
      <c r="H559" s="83">
        <f>Місто!H566-'[1]Місто'!H557</f>
        <v>0</v>
      </c>
      <c r="I559" s="83">
        <f>Місто!I566-'[1]Місто'!I557</f>
        <v>0</v>
      </c>
      <c r="J559" s="83">
        <f>Місто!J566-'[1]Місто'!J557</f>
        <v>0</v>
      </c>
      <c r="K559" s="83">
        <f>Місто!K566-'[1]Місто'!K557</f>
        <v>0</v>
      </c>
      <c r="L559" s="83">
        <f>Місто!L566-'[1]Місто'!L557</f>
        <v>0</v>
      </c>
      <c r="M559" s="83">
        <f>Місто!M566-'[1]Місто'!M557</f>
        <v>0</v>
      </c>
      <c r="N559" s="83">
        <f>Місто!N566-'[1]Місто'!N557</f>
        <v>0</v>
      </c>
      <c r="O559" s="83">
        <f>Місто!O566-'[1]Місто'!O557</f>
        <v>0</v>
      </c>
      <c r="P559" s="83">
        <f>Місто!P566-'[1]Місто'!P557</f>
        <v>0</v>
      </c>
      <c r="Q559" s="165"/>
      <c r="W559" s="165">
        <f aca="true" t="shared" si="8" ref="W559:W582">N559-O559</f>
        <v>0</v>
      </c>
    </row>
    <row r="560" spans="1:23" s="19" customFormat="1" ht="32.25" customHeight="1">
      <c r="A560" s="23"/>
      <c r="B560" s="23" t="s">
        <v>168</v>
      </c>
      <c r="C560" s="23"/>
      <c r="D560" s="20" t="s">
        <v>143</v>
      </c>
      <c r="E560" s="31">
        <f>Місто!E567-'[1]Місто'!E558</f>
        <v>14953398</v>
      </c>
      <c r="F560" s="31">
        <f>Місто!F567-'[1]Місто'!F558</f>
        <v>14953398</v>
      </c>
      <c r="G560" s="31">
        <f>Місто!G567-'[1]Місто'!G558</f>
        <v>339156</v>
      </c>
      <c r="H560" s="31">
        <f>Місто!H567-'[1]Місто'!H558</f>
        <v>0</v>
      </c>
      <c r="I560" s="31">
        <f>Місто!I567-'[1]Місто'!I558</f>
        <v>0</v>
      </c>
      <c r="J560" s="31">
        <f>Місто!J567-'[1]Місто'!J558</f>
        <v>11766858</v>
      </c>
      <c r="K560" s="31">
        <f>Місто!K567-'[1]Місто'!K558</f>
        <v>0</v>
      </c>
      <c r="L560" s="31">
        <f>Місто!L567-'[1]Місто'!L558</f>
        <v>0</v>
      </c>
      <c r="M560" s="31">
        <f>Місто!M567-'[1]Місто'!M558</f>
        <v>0</v>
      </c>
      <c r="N560" s="31">
        <f>Місто!N567-'[1]Місто'!N558</f>
        <v>11766858</v>
      </c>
      <c r="O560" s="31">
        <f>Місто!O567-'[1]Місто'!O558</f>
        <v>11766858</v>
      </c>
      <c r="P560" s="31">
        <f>Місто!P567-'[1]Місто'!P558</f>
        <v>26720256</v>
      </c>
      <c r="Q560" s="53"/>
      <c r="W560" s="53">
        <f t="shared" si="8"/>
        <v>0</v>
      </c>
    </row>
    <row r="561" spans="1:23" s="3" customFormat="1" ht="12.75">
      <c r="A561" s="69"/>
      <c r="B561" s="69" t="s">
        <v>362</v>
      </c>
      <c r="C561" s="69"/>
      <c r="D561" s="70" t="s">
        <v>363</v>
      </c>
      <c r="E561" s="27">
        <f>Місто!E568-'[1]Місто'!E559</f>
        <v>433103</v>
      </c>
      <c r="F561" s="27">
        <f>Місто!F568-'[1]Місто'!F559</f>
        <v>433103</v>
      </c>
      <c r="G561" s="27">
        <f>Місто!G568-'[1]Місто'!G559</f>
        <v>339156</v>
      </c>
      <c r="H561" s="27">
        <f>Місто!H568-'[1]Місто'!H559</f>
        <v>0</v>
      </c>
      <c r="I561" s="27">
        <f>Місто!I568-'[1]Місто'!I559</f>
        <v>0</v>
      </c>
      <c r="J561" s="27">
        <f>Місто!J568-'[1]Місто'!J559</f>
        <v>117635</v>
      </c>
      <c r="K561" s="27">
        <f>Місто!K568-'[1]Місто'!K559</f>
        <v>0</v>
      </c>
      <c r="L561" s="27">
        <f>Місто!L568-'[1]Місто'!L559</f>
        <v>0</v>
      </c>
      <c r="M561" s="27">
        <f>Місто!M568-'[1]Місто'!M559</f>
        <v>0</v>
      </c>
      <c r="N561" s="27">
        <f>Місто!N568-'[1]Місто'!N559</f>
        <v>117635</v>
      </c>
      <c r="O561" s="27">
        <f>Місто!O568-'[1]Місто'!O559</f>
        <v>117635</v>
      </c>
      <c r="P561" s="27">
        <f>Місто!P568-'[1]Місто'!P559</f>
        <v>550738</v>
      </c>
      <c r="Q561" s="53"/>
      <c r="W561" s="53">
        <f t="shared" si="8"/>
        <v>0</v>
      </c>
    </row>
    <row r="562" spans="1:23" s="5" customFormat="1" ht="12.75">
      <c r="A562" s="7"/>
      <c r="B562" s="7" t="s">
        <v>249</v>
      </c>
      <c r="C562" s="7" t="s">
        <v>441</v>
      </c>
      <c r="D562" s="71" t="s">
        <v>250</v>
      </c>
      <c r="E562" s="25">
        <f>Місто!E569-'[1]Місто'!E560</f>
        <v>433103</v>
      </c>
      <c r="F562" s="25">
        <f>Місто!F569-'[1]Місто'!F560</f>
        <v>433103</v>
      </c>
      <c r="G562" s="25">
        <f>Місто!G569-'[1]Місто'!G560</f>
        <v>339156</v>
      </c>
      <c r="H562" s="25">
        <f>Місто!H569-'[1]Місто'!H560</f>
        <v>0</v>
      </c>
      <c r="I562" s="25">
        <f>Місто!I569-'[1]Місто'!I560</f>
        <v>0</v>
      </c>
      <c r="J562" s="27">
        <f>Місто!J569-'[1]Місто'!J560</f>
        <v>117635</v>
      </c>
      <c r="K562" s="25">
        <f>Місто!K569-'[1]Місто'!K560</f>
        <v>0</v>
      </c>
      <c r="L562" s="25">
        <f>Місто!L569-'[1]Місто'!L560</f>
        <v>0</v>
      </c>
      <c r="M562" s="25">
        <f>Місто!M569-'[1]Місто'!M560</f>
        <v>0</v>
      </c>
      <c r="N562" s="25">
        <f>Місто!N569-'[1]Місто'!N560</f>
        <v>117635</v>
      </c>
      <c r="O562" s="25">
        <f>Місто!O569-'[1]Місто'!O560</f>
        <v>117635</v>
      </c>
      <c r="P562" s="27">
        <f>Місто!P569-'[1]Місто'!P560</f>
        <v>550738</v>
      </c>
      <c r="Q562" s="53"/>
      <c r="W562" s="53">
        <f t="shared" si="8"/>
        <v>0</v>
      </c>
    </row>
    <row r="563" spans="1:23" s="3" customFormat="1" ht="12.75">
      <c r="A563" s="9"/>
      <c r="B563" s="9" t="s">
        <v>374</v>
      </c>
      <c r="C563" s="9"/>
      <c r="D563" s="4" t="s">
        <v>375</v>
      </c>
      <c r="E563" s="27">
        <f>Місто!E570-'[1]Місто'!E561</f>
        <v>14452655</v>
      </c>
      <c r="F563" s="27">
        <f>Місто!F570-'[1]Місто'!F561</f>
        <v>14452655</v>
      </c>
      <c r="G563" s="27">
        <f>Місто!G570-'[1]Місто'!G561</f>
        <v>0</v>
      </c>
      <c r="H563" s="27">
        <f>Місто!H570-'[1]Місто'!H561</f>
        <v>0</v>
      </c>
      <c r="I563" s="27">
        <f>Місто!I570-'[1]Місто'!I561</f>
        <v>0</v>
      </c>
      <c r="J563" s="27">
        <f>Місто!J570-'[1]Місто'!J561</f>
        <v>198591</v>
      </c>
      <c r="K563" s="27">
        <f>Місто!K570-'[1]Місто'!K561</f>
        <v>0</v>
      </c>
      <c r="L563" s="27">
        <f>Місто!L570-'[1]Місто'!L561</f>
        <v>0</v>
      </c>
      <c r="M563" s="27">
        <f>Місто!M570-'[1]Місто'!M561</f>
        <v>0</v>
      </c>
      <c r="N563" s="27">
        <f>Місто!N570-'[1]Місто'!N561</f>
        <v>198591</v>
      </c>
      <c r="O563" s="27">
        <f>Місто!O570-'[1]Місто'!O561</f>
        <v>198591</v>
      </c>
      <c r="P563" s="27">
        <f>Місто!P570-'[1]Місто'!P561</f>
        <v>14651246</v>
      </c>
      <c r="Q563" s="53"/>
      <c r="W563" s="53">
        <f t="shared" si="8"/>
        <v>0</v>
      </c>
    </row>
    <row r="564" spans="1:23" s="3" customFormat="1" ht="12.75">
      <c r="A564" s="9"/>
      <c r="B564" s="9" t="s">
        <v>102</v>
      </c>
      <c r="C564" s="9" t="s">
        <v>474</v>
      </c>
      <c r="D564" s="4" t="s">
        <v>106</v>
      </c>
      <c r="E564" s="27">
        <f>Місто!E572-'[1]Місто'!E562</f>
        <v>9445349</v>
      </c>
      <c r="F564" s="27">
        <f>Місто!F572-'[1]Місто'!F562</f>
        <v>9445349</v>
      </c>
      <c r="G564" s="27">
        <f>Місто!G572-'[1]Місто'!G562</f>
        <v>0</v>
      </c>
      <c r="H564" s="27">
        <f>Місто!H572-'[1]Місто'!H562</f>
        <v>0</v>
      </c>
      <c r="I564" s="27">
        <f>Місто!I572-'[1]Місто'!I562</f>
        <v>0</v>
      </c>
      <c r="J564" s="27">
        <f>Місто!J572-'[1]Місто'!J562</f>
        <v>198591</v>
      </c>
      <c r="K564" s="27">
        <f>Місто!K572-'[1]Місто'!K562</f>
        <v>0</v>
      </c>
      <c r="L564" s="27">
        <f>Місто!L572-'[1]Місто'!L562</f>
        <v>0</v>
      </c>
      <c r="M564" s="27">
        <f>Місто!M572-'[1]Місто'!M562</f>
        <v>0</v>
      </c>
      <c r="N564" s="27">
        <f>Місто!N572-'[1]Місто'!N562</f>
        <v>198591</v>
      </c>
      <c r="O564" s="27">
        <f>Місто!O572-'[1]Місто'!O562</f>
        <v>198591</v>
      </c>
      <c r="P564" s="27">
        <f>Місто!P572-'[1]Місто'!P562</f>
        <v>9643940</v>
      </c>
      <c r="Q564" s="53"/>
      <c r="W564" s="53">
        <f t="shared" si="8"/>
        <v>0</v>
      </c>
    </row>
    <row r="565" spans="1:23" s="3" customFormat="1" ht="15" customHeight="1" hidden="1">
      <c r="A565" s="9"/>
      <c r="B565" s="9" t="s">
        <v>366</v>
      </c>
      <c r="C565" s="9"/>
      <c r="D565" s="4" t="s">
        <v>283</v>
      </c>
      <c r="E565" s="27">
        <f>Місто!E573-'[1]Місто'!E563</f>
        <v>0</v>
      </c>
      <c r="F565" s="27">
        <f>Місто!F573-'[1]Місто'!F563</f>
        <v>0</v>
      </c>
      <c r="G565" s="27">
        <f>Місто!G573-'[1]Місто'!G563</f>
        <v>0</v>
      </c>
      <c r="H565" s="27">
        <f>Місто!H573-'[1]Місто'!H563</f>
        <v>0</v>
      </c>
      <c r="I565" s="27">
        <f>Місто!I573-'[1]Місто'!I563</f>
        <v>0</v>
      </c>
      <c r="J565" s="27">
        <f>Місто!J573-'[1]Місто'!J563</f>
        <v>11450632</v>
      </c>
      <c r="K565" s="27">
        <f>Місто!K573-'[1]Місто'!K563</f>
        <v>0</v>
      </c>
      <c r="L565" s="27">
        <f>Місто!L573-'[1]Місто'!L563</f>
        <v>0</v>
      </c>
      <c r="M565" s="27">
        <f>Місто!M573-'[1]Місто'!M563</f>
        <v>0</v>
      </c>
      <c r="N565" s="27">
        <f>Місто!N573-'[1]Місто'!N563</f>
        <v>11450632</v>
      </c>
      <c r="O565" s="27">
        <f>Місто!O573-'[1]Місто'!O563</f>
        <v>11450632</v>
      </c>
      <c r="P565" s="27">
        <f>Місто!P573-'[1]Місто'!P563</f>
        <v>11450632</v>
      </c>
      <c r="Q565" s="53"/>
      <c r="W565" s="53"/>
    </row>
    <row r="566" spans="1:23" s="3" customFormat="1" ht="12.75" hidden="1">
      <c r="A566" s="9"/>
      <c r="B566" s="9" t="s">
        <v>338</v>
      </c>
      <c r="C566" s="9" t="s">
        <v>443</v>
      </c>
      <c r="D566" s="4" t="s">
        <v>339</v>
      </c>
      <c r="E566" s="27">
        <f>Місто!E574-'[1]Місто'!E564</f>
        <v>0</v>
      </c>
      <c r="F566" s="27">
        <f>Місто!F574-'[1]Місто'!F564</f>
        <v>0</v>
      </c>
      <c r="G566" s="27">
        <f>Місто!G574-'[1]Місто'!G564</f>
        <v>0</v>
      </c>
      <c r="H566" s="27">
        <f>Місто!H574-'[1]Місто'!H564</f>
        <v>0</v>
      </c>
      <c r="I566" s="27">
        <f>Місто!I574-'[1]Місто'!I564</f>
        <v>0</v>
      </c>
      <c r="J566" s="27">
        <f>Місто!J574-'[1]Місто'!J564</f>
        <v>11450632</v>
      </c>
      <c r="K566" s="27">
        <f>Місто!K574-'[1]Місто'!K564</f>
        <v>0</v>
      </c>
      <c r="L566" s="27">
        <f>Місто!L574-'[1]Місто'!L564</f>
        <v>0</v>
      </c>
      <c r="M566" s="27">
        <f>Місто!M574-'[1]Місто'!M564</f>
        <v>0</v>
      </c>
      <c r="N566" s="27">
        <f>Місто!N574-'[1]Місто'!N564</f>
        <v>11450632</v>
      </c>
      <c r="O566" s="27">
        <f>Місто!O574-'[1]Місто'!O564</f>
        <v>11450632</v>
      </c>
      <c r="P566" s="27">
        <f>Місто!P574-'[1]Місто'!P564</f>
        <v>11450632</v>
      </c>
      <c r="Q566" s="53"/>
      <c r="W566" s="53"/>
    </row>
    <row r="567" spans="1:23" s="3" customFormat="1" ht="12.75" hidden="1">
      <c r="A567" s="9"/>
      <c r="B567" s="9" t="s">
        <v>369</v>
      </c>
      <c r="C567" s="9"/>
      <c r="D567" s="4" t="s">
        <v>373</v>
      </c>
      <c r="E567" s="27">
        <f>Місто!E575-'[1]Місто'!E565</f>
        <v>0</v>
      </c>
      <c r="F567" s="27">
        <f>Місто!F575-'[1]Місто'!F565</f>
        <v>0</v>
      </c>
      <c r="G567" s="27">
        <f>Місто!G575-'[1]Місто'!G565</f>
        <v>0</v>
      </c>
      <c r="H567" s="27">
        <f>Місто!H575-'[1]Місто'!H565</f>
        <v>0</v>
      </c>
      <c r="I567" s="27">
        <f>Місто!I575-'[1]Місто'!I565</f>
        <v>0</v>
      </c>
      <c r="J567" s="27">
        <f>Місто!J575-'[1]Місто'!J565</f>
        <v>0</v>
      </c>
      <c r="K567" s="27">
        <f>Місто!K575-'[1]Місто'!K565</f>
        <v>0</v>
      </c>
      <c r="L567" s="27">
        <f>Місто!L575-'[1]Місто'!L565</f>
        <v>0</v>
      </c>
      <c r="M567" s="27">
        <f>Місто!M575-'[1]Місто'!M565</f>
        <v>0</v>
      </c>
      <c r="N567" s="27">
        <f>Місто!N575-'[1]Місто'!N565</f>
        <v>0</v>
      </c>
      <c r="O567" s="27">
        <f>Місто!O575-'[1]Місто'!O565</f>
        <v>0</v>
      </c>
      <c r="P567" s="27">
        <f>Місто!P575-'[1]Місто'!P565</f>
        <v>0</v>
      </c>
      <c r="Q567" s="53"/>
      <c r="W567" s="53">
        <f t="shared" si="8"/>
        <v>0</v>
      </c>
    </row>
    <row r="568" spans="1:23" s="3" customFormat="1" ht="63.75" hidden="1">
      <c r="A568" s="9"/>
      <c r="B568" s="9" t="s">
        <v>287</v>
      </c>
      <c r="C568" s="9"/>
      <c r="D568" s="115" t="s">
        <v>109</v>
      </c>
      <c r="E568" s="27">
        <f>Місто!E576-'[1]Місто'!E566</f>
        <v>0</v>
      </c>
      <c r="F568" s="27">
        <f>Місто!F576-'[1]Місто'!F566</f>
        <v>0</v>
      </c>
      <c r="G568" s="27">
        <f>Місто!G576-'[1]Місто'!G566</f>
        <v>0</v>
      </c>
      <c r="H568" s="27">
        <f>Місто!H576-'[1]Місто'!H566</f>
        <v>0</v>
      </c>
      <c r="I568" s="27">
        <f>Місто!I576-'[1]Місто'!I566</f>
        <v>0</v>
      </c>
      <c r="J568" s="27">
        <f>Місто!J576-'[1]Місто'!J566</f>
        <v>0</v>
      </c>
      <c r="K568" s="27">
        <f>Місто!K576-'[1]Місто'!K566</f>
        <v>0</v>
      </c>
      <c r="L568" s="27">
        <f>Місто!L576-'[1]Місто'!L566</f>
        <v>0</v>
      </c>
      <c r="M568" s="27">
        <f>Місто!M576-'[1]Місто'!M566</f>
        <v>0</v>
      </c>
      <c r="N568" s="27">
        <f>Місто!N576-'[1]Місто'!N566</f>
        <v>0</v>
      </c>
      <c r="O568" s="27">
        <f>Місто!O576-'[1]Місто'!O566</f>
        <v>0</v>
      </c>
      <c r="P568" s="27">
        <f>Місто!P576-'[1]Місто'!P566</f>
        <v>0</v>
      </c>
      <c r="Q568" s="53"/>
      <c r="W568" s="53">
        <f t="shared" si="8"/>
        <v>0</v>
      </c>
    </row>
    <row r="569" spans="1:23" s="3" customFormat="1" ht="38.25" hidden="1">
      <c r="A569" s="39"/>
      <c r="B569" s="39"/>
      <c r="C569" s="39"/>
      <c r="D569" s="60" t="s">
        <v>351</v>
      </c>
      <c r="E569" s="27">
        <f>Місто!E577-'[1]Місто'!E567</f>
        <v>0</v>
      </c>
      <c r="F569" s="27">
        <f>Місто!F577-'[1]Місто'!F567</f>
        <v>0</v>
      </c>
      <c r="G569" s="27">
        <f>Місто!G577-'[1]Місто'!G567</f>
        <v>0</v>
      </c>
      <c r="H569" s="27">
        <f>Місто!H577-'[1]Місто'!H567</f>
        <v>0</v>
      </c>
      <c r="I569" s="27">
        <f>Місто!I577-'[1]Місто'!I567</f>
        <v>0</v>
      </c>
      <c r="J569" s="27">
        <f>Місто!J577-'[1]Місто'!J567</f>
        <v>0</v>
      </c>
      <c r="K569" s="27">
        <f>Місто!K577-'[1]Місто'!K567</f>
        <v>0</v>
      </c>
      <c r="L569" s="27">
        <f>Місто!L577-'[1]Місто'!L567</f>
        <v>0</v>
      </c>
      <c r="M569" s="27">
        <f>Місто!M577-'[1]Місто'!M567</f>
        <v>0</v>
      </c>
      <c r="N569" s="27">
        <f>Місто!N577-'[1]Місто'!N567</f>
        <v>0</v>
      </c>
      <c r="O569" s="27">
        <f>Місто!O577-'[1]Місто'!O567</f>
        <v>0</v>
      </c>
      <c r="P569" s="27">
        <f>Місто!P577-'[1]Місто'!P567</f>
        <v>0</v>
      </c>
      <c r="Q569" s="53"/>
      <c r="W569" s="53">
        <f t="shared" si="8"/>
        <v>0</v>
      </c>
    </row>
    <row r="570" spans="1:23" s="3" customFormat="1" ht="38.25" hidden="1">
      <c r="A570" s="39"/>
      <c r="B570" s="39" t="s">
        <v>285</v>
      </c>
      <c r="C570" s="39"/>
      <c r="D570" s="73" t="s">
        <v>241</v>
      </c>
      <c r="E570" s="27">
        <f>Місто!E578-'[1]Місто'!E568</f>
        <v>0</v>
      </c>
      <c r="F570" s="27">
        <f>Місто!F578-'[1]Місто'!F568</f>
        <v>0</v>
      </c>
      <c r="G570" s="27">
        <f>Місто!G578-'[1]Місто'!G568</f>
        <v>0</v>
      </c>
      <c r="H570" s="27">
        <f>Місто!H578-'[1]Місто'!H568</f>
        <v>0</v>
      </c>
      <c r="I570" s="27">
        <f>Місто!I578-'[1]Місто'!I568</f>
        <v>0</v>
      </c>
      <c r="J570" s="27">
        <f>Місто!J578-'[1]Місто'!J568</f>
        <v>0</v>
      </c>
      <c r="K570" s="27">
        <f>Місто!K578-'[1]Місто'!K568</f>
        <v>0</v>
      </c>
      <c r="L570" s="27">
        <f>Місто!L578-'[1]Місто'!L568</f>
        <v>0</v>
      </c>
      <c r="M570" s="27">
        <f>Місто!M578-'[1]Місто'!M568</f>
        <v>0</v>
      </c>
      <c r="N570" s="27">
        <f>Місто!N578-'[1]Місто'!N568</f>
        <v>0</v>
      </c>
      <c r="O570" s="27">
        <f>Місто!O578-'[1]Місто'!O568</f>
        <v>0</v>
      </c>
      <c r="P570" s="27">
        <f>Місто!P578-'[1]Місто'!P568</f>
        <v>0</v>
      </c>
      <c r="Q570" s="53"/>
      <c r="W570" s="53">
        <f t="shared" si="8"/>
        <v>0</v>
      </c>
    </row>
    <row r="571" spans="1:23" s="3" customFormat="1" ht="18" customHeight="1">
      <c r="A571" s="9"/>
      <c r="B571" s="9" t="s">
        <v>371</v>
      </c>
      <c r="C571" s="9"/>
      <c r="D571" s="115" t="s">
        <v>372</v>
      </c>
      <c r="E571" s="27">
        <f>Місто!E579-'[1]Місто'!E569</f>
        <v>67640</v>
      </c>
      <c r="F571" s="27">
        <f>Місто!F579-'[1]Місто'!F569</f>
        <v>67640</v>
      </c>
      <c r="G571" s="27">
        <f>Місто!G579-'[1]Місто'!G569</f>
        <v>0</v>
      </c>
      <c r="H571" s="27">
        <f>Місто!H579-'[1]Місто'!H569</f>
        <v>0</v>
      </c>
      <c r="I571" s="27">
        <f>Місто!I579-'[1]Місто'!I569</f>
        <v>0</v>
      </c>
      <c r="J571" s="27">
        <f>Місто!J579-'[1]Місто'!J569</f>
        <v>0</v>
      </c>
      <c r="K571" s="27">
        <f>Місто!K579-'[1]Місто'!K569</f>
        <v>0</v>
      </c>
      <c r="L571" s="27">
        <f>Місто!L579-'[1]Місто'!L569</f>
        <v>0</v>
      </c>
      <c r="M571" s="27">
        <f>Місто!M579-'[1]Місто'!M569</f>
        <v>0</v>
      </c>
      <c r="N571" s="27">
        <f>Місто!N579-'[1]Місто'!N569</f>
        <v>0</v>
      </c>
      <c r="O571" s="27">
        <f>Місто!O579-'[1]Місто'!O569</f>
        <v>0</v>
      </c>
      <c r="P571" s="27">
        <f>Місто!P579-'[1]Місто'!P569</f>
        <v>67640</v>
      </c>
      <c r="Q571" s="53"/>
      <c r="W571" s="53">
        <f t="shared" si="8"/>
        <v>0</v>
      </c>
    </row>
    <row r="572" spans="1:23" s="3" customFormat="1" ht="38.25" hidden="1">
      <c r="A572" s="9"/>
      <c r="B572" s="74" t="s">
        <v>305</v>
      </c>
      <c r="C572" s="74" t="s">
        <v>494</v>
      </c>
      <c r="D572" s="73" t="s">
        <v>12</v>
      </c>
      <c r="E572" s="27">
        <f>Місто!E580-'[1]Місто'!E570</f>
        <v>0</v>
      </c>
      <c r="F572" s="27">
        <f>Місто!F580-'[1]Місто'!F570</f>
        <v>0</v>
      </c>
      <c r="G572" s="27">
        <f>Місто!G580-'[1]Місто'!G570</f>
        <v>0</v>
      </c>
      <c r="H572" s="27">
        <f>Місто!H580-'[1]Місто'!H570</f>
        <v>0</v>
      </c>
      <c r="I572" s="27">
        <f>Місто!I580-'[1]Місто'!I570</f>
        <v>0</v>
      </c>
      <c r="J572" s="27">
        <f>Місто!J580-'[1]Місто'!J570</f>
        <v>0</v>
      </c>
      <c r="K572" s="27">
        <f>Місто!K580-'[1]Місто'!K570</f>
        <v>0</v>
      </c>
      <c r="L572" s="27">
        <f>Місто!L580-'[1]Місто'!L570</f>
        <v>0</v>
      </c>
      <c r="M572" s="27">
        <f>Місто!M580-'[1]Місто'!M570</f>
        <v>0</v>
      </c>
      <c r="N572" s="27">
        <f>Місто!N580-'[1]Місто'!N570</f>
        <v>0</v>
      </c>
      <c r="O572" s="27">
        <f>Місто!O580-'[1]Місто'!O570</f>
        <v>0</v>
      </c>
      <c r="P572" s="27">
        <f>Місто!P580-'[1]Місто'!P570</f>
        <v>0</v>
      </c>
      <c r="Q572" s="53"/>
      <c r="W572" s="53"/>
    </row>
    <row r="573" spans="1:23" s="3" customFormat="1" ht="63.75" hidden="1">
      <c r="A573" s="9"/>
      <c r="B573" s="39"/>
      <c r="C573" s="39"/>
      <c r="D573" s="68" t="s">
        <v>493</v>
      </c>
      <c r="E573" s="27">
        <f>Місто!E581-'[1]Місто'!E571</f>
        <v>0</v>
      </c>
      <c r="F573" s="27">
        <f>Місто!F581-'[1]Місто'!F571</f>
        <v>0</v>
      </c>
      <c r="G573" s="27">
        <f>Місто!G581-'[1]Місто'!G571</f>
        <v>0</v>
      </c>
      <c r="H573" s="27">
        <f>Місто!H581-'[1]Місто'!H571</f>
        <v>0</v>
      </c>
      <c r="I573" s="27">
        <f>Місто!I581-'[1]Місто'!I571</f>
        <v>0</v>
      </c>
      <c r="J573" s="27">
        <f>Місто!J581-'[1]Місто'!J571</f>
        <v>0</v>
      </c>
      <c r="K573" s="27">
        <f>Місто!K581-'[1]Місто'!K571</f>
        <v>0</v>
      </c>
      <c r="L573" s="27">
        <f>Місто!L581-'[1]Місто'!L571</f>
        <v>0</v>
      </c>
      <c r="M573" s="27">
        <f>Місто!M581-'[1]Місто'!M571</f>
        <v>0</v>
      </c>
      <c r="N573" s="27">
        <f>Місто!N581-'[1]Місто'!N571</f>
        <v>0</v>
      </c>
      <c r="O573" s="27">
        <f>Місто!O581-'[1]Місто'!O571</f>
        <v>0</v>
      </c>
      <c r="P573" s="27">
        <f>Місто!P581-'[1]Місто'!P571</f>
        <v>0</v>
      </c>
      <c r="Q573" s="53"/>
      <c r="W573" s="53"/>
    </row>
    <row r="574" spans="1:23" s="3" customFormat="1" ht="12.75">
      <c r="A574" s="9"/>
      <c r="B574" s="9" t="s">
        <v>288</v>
      </c>
      <c r="C574" s="9" t="s">
        <v>444</v>
      </c>
      <c r="D574" s="4" t="s">
        <v>316</v>
      </c>
      <c r="E574" s="27">
        <f>Місто!E582-'[1]Місто'!E572</f>
        <v>67640</v>
      </c>
      <c r="F574" s="27">
        <f>Місто!F582-'[1]Місто'!F572</f>
        <v>67640</v>
      </c>
      <c r="G574" s="27">
        <f>Місто!G582-'[1]Місто'!G572</f>
        <v>0</v>
      </c>
      <c r="H574" s="27">
        <f>Місто!H582-'[1]Місто'!H572</f>
        <v>0</v>
      </c>
      <c r="I574" s="27">
        <f>Місто!I582-'[1]Місто'!I572</f>
        <v>0</v>
      </c>
      <c r="J574" s="27">
        <f>Місто!J582-'[1]Місто'!J572</f>
        <v>0</v>
      </c>
      <c r="K574" s="27">
        <f>Місто!K582-'[1]Місто'!K572</f>
        <v>0</v>
      </c>
      <c r="L574" s="27">
        <f>Місто!L582-'[1]Місто'!L572</f>
        <v>0</v>
      </c>
      <c r="M574" s="27">
        <f>Місто!M582-'[1]Місто'!M572</f>
        <v>0</v>
      </c>
      <c r="N574" s="27">
        <f>Місто!N582-'[1]Місто'!N572</f>
        <v>0</v>
      </c>
      <c r="O574" s="27">
        <f>Місто!O582-'[1]Місто'!O572</f>
        <v>0</v>
      </c>
      <c r="P574" s="27">
        <f>Місто!P582-'[1]Місто'!P572</f>
        <v>67640</v>
      </c>
      <c r="Q574" s="53"/>
      <c r="W574" s="53">
        <f t="shared" si="8"/>
        <v>0</v>
      </c>
    </row>
    <row r="575" spans="1:23" s="166" customFormat="1" ht="38.25" hidden="1">
      <c r="A575" s="164"/>
      <c r="B575" s="9"/>
      <c r="C575" s="9"/>
      <c r="D575" s="4" t="s">
        <v>187</v>
      </c>
      <c r="E575" s="27">
        <f>Місто!E583-'[1]Місто'!E573</f>
        <v>0</v>
      </c>
      <c r="F575" s="27">
        <f>Місто!F583-'[1]Місто'!F573</f>
        <v>0</v>
      </c>
      <c r="G575" s="27">
        <f>Місто!G583-'[1]Місто'!G573</f>
        <v>0</v>
      </c>
      <c r="H575" s="27">
        <f>Місто!H583-'[1]Місто'!H573</f>
        <v>0</v>
      </c>
      <c r="I575" s="27">
        <f>Місто!I583-'[1]Місто'!I573</f>
        <v>0</v>
      </c>
      <c r="J575" s="27">
        <f>Місто!J583-'[1]Місто'!J573</f>
        <v>0</v>
      </c>
      <c r="K575" s="27">
        <f>Місто!K583-'[1]Місто'!K573</f>
        <v>0</v>
      </c>
      <c r="L575" s="27">
        <f>Місто!L583-'[1]Місто'!L573</f>
        <v>0</v>
      </c>
      <c r="M575" s="27">
        <f>Місто!M583-'[1]Місто'!M573</f>
        <v>0</v>
      </c>
      <c r="N575" s="27">
        <f>Місто!N583-'[1]Місто'!N573</f>
        <v>0</v>
      </c>
      <c r="O575" s="27">
        <f>Місто!O583-'[1]Місто'!O573</f>
        <v>0</v>
      </c>
      <c r="P575" s="27">
        <f>Місто!P583-'[1]Місто'!P573</f>
        <v>0</v>
      </c>
      <c r="Q575" s="165"/>
      <c r="W575" s="165">
        <f t="shared" si="8"/>
        <v>0</v>
      </c>
    </row>
    <row r="576" spans="1:23" s="166" customFormat="1" ht="25.5" hidden="1">
      <c r="A576" s="164"/>
      <c r="B576" s="9"/>
      <c r="C576" s="9"/>
      <c r="D576" s="4" t="s">
        <v>207</v>
      </c>
      <c r="E576" s="27">
        <f>Місто!E584-'[1]Місто'!E574</f>
        <v>0</v>
      </c>
      <c r="F576" s="27">
        <f>Місто!F584-'[1]Місто'!F574</f>
        <v>0</v>
      </c>
      <c r="G576" s="27">
        <f>Місто!G584-'[1]Місто'!G574</f>
        <v>0</v>
      </c>
      <c r="H576" s="27">
        <f>Місто!H584-'[1]Місто'!H574</f>
        <v>0</v>
      </c>
      <c r="I576" s="27">
        <f>Місто!I584-'[1]Місто'!I574</f>
        <v>0</v>
      </c>
      <c r="J576" s="27">
        <f>Місто!J584-'[1]Місто'!J574</f>
        <v>0</v>
      </c>
      <c r="K576" s="27">
        <f>Місто!K584-'[1]Місто'!K574</f>
        <v>0</v>
      </c>
      <c r="L576" s="27">
        <f>Місто!L584-'[1]Місто'!L574</f>
        <v>0</v>
      </c>
      <c r="M576" s="27">
        <f>Місто!M584-'[1]Місто'!M574</f>
        <v>0</v>
      </c>
      <c r="N576" s="27">
        <f>Місто!N584-'[1]Місто'!N574</f>
        <v>0</v>
      </c>
      <c r="O576" s="27">
        <f>Місто!O584-'[1]Місто'!O574</f>
        <v>0</v>
      </c>
      <c r="P576" s="27">
        <f>Місто!P584-'[1]Місто'!P574</f>
        <v>0</v>
      </c>
      <c r="Q576" s="165"/>
      <c r="W576" s="165">
        <f t="shared" si="8"/>
        <v>0</v>
      </c>
    </row>
    <row r="577" spans="1:23" s="166" customFormat="1" ht="25.5" hidden="1">
      <c r="A577" s="164"/>
      <c r="B577" s="9"/>
      <c r="C577" s="9"/>
      <c r="D577" s="6" t="s">
        <v>208</v>
      </c>
      <c r="E577" s="27">
        <f>Місто!E585-'[1]Місто'!E575</f>
        <v>0</v>
      </c>
      <c r="F577" s="27">
        <f>Місто!F585-'[1]Місто'!F575</f>
        <v>0</v>
      </c>
      <c r="G577" s="27">
        <f>Місто!G585-'[1]Місто'!G575</f>
        <v>0</v>
      </c>
      <c r="H577" s="27">
        <f>Місто!H585-'[1]Місто'!H575</f>
        <v>0</v>
      </c>
      <c r="I577" s="27">
        <f>Місто!I585-'[1]Місто'!I575</f>
        <v>0</v>
      </c>
      <c r="J577" s="27">
        <f>Місто!J585-'[1]Місто'!J575</f>
        <v>0</v>
      </c>
      <c r="K577" s="27">
        <f>Місто!K585-'[1]Місто'!K575</f>
        <v>0</v>
      </c>
      <c r="L577" s="27">
        <f>Місто!L585-'[1]Місто'!L575</f>
        <v>0</v>
      </c>
      <c r="M577" s="27">
        <f>Місто!M585-'[1]Місто'!M575</f>
        <v>0</v>
      </c>
      <c r="N577" s="27">
        <f>Місто!N585-'[1]Місто'!N575</f>
        <v>0</v>
      </c>
      <c r="O577" s="27">
        <f>Місто!O585-'[1]Місто'!O575</f>
        <v>0</v>
      </c>
      <c r="P577" s="27">
        <f>Місто!P585-'[1]Місто'!P575</f>
        <v>0</v>
      </c>
      <c r="Q577" s="165"/>
      <c r="W577" s="165">
        <f t="shared" si="8"/>
        <v>0</v>
      </c>
    </row>
    <row r="578" spans="1:23" s="166" customFormat="1" ht="25.5" hidden="1">
      <c r="A578" s="164"/>
      <c r="B578" s="9"/>
      <c r="C578" s="9"/>
      <c r="D578" s="4" t="s">
        <v>111</v>
      </c>
      <c r="E578" s="27">
        <f>Місто!E586-'[1]Місто'!E576</f>
        <v>0</v>
      </c>
      <c r="F578" s="27">
        <f>Місто!F586-'[1]Місто'!F576</f>
        <v>0</v>
      </c>
      <c r="G578" s="27">
        <f>Місто!G586-'[1]Місто'!G576</f>
        <v>0</v>
      </c>
      <c r="H578" s="27">
        <f>Місто!H586-'[1]Місто'!H576</f>
        <v>0</v>
      </c>
      <c r="I578" s="27">
        <f>Місто!I586-'[1]Місто'!I576</f>
        <v>0</v>
      </c>
      <c r="J578" s="27">
        <f>Місто!J586-'[1]Місто'!J576</f>
        <v>0</v>
      </c>
      <c r="K578" s="27">
        <f>Місто!K586-'[1]Місто'!K576</f>
        <v>0</v>
      </c>
      <c r="L578" s="27">
        <f>Місто!L586-'[1]Місто'!L576</f>
        <v>0</v>
      </c>
      <c r="M578" s="27">
        <f>Місто!M586-'[1]Місто'!M576</f>
        <v>0</v>
      </c>
      <c r="N578" s="27">
        <f>Місто!N586-'[1]Місто'!N576</f>
        <v>0</v>
      </c>
      <c r="O578" s="27">
        <f>Місто!O586-'[1]Місто'!O576</f>
        <v>0</v>
      </c>
      <c r="P578" s="27">
        <f>Місто!P586-'[1]Місто'!P576</f>
        <v>0</v>
      </c>
      <c r="Q578" s="165"/>
      <c r="W578" s="165">
        <f t="shared" si="8"/>
        <v>0</v>
      </c>
    </row>
    <row r="579" spans="1:23" s="166" customFormat="1" ht="51" hidden="1">
      <c r="A579" s="164"/>
      <c r="B579" s="9"/>
      <c r="C579" s="9"/>
      <c r="D579" s="4" t="s">
        <v>222</v>
      </c>
      <c r="E579" s="27">
        <f>Місто!E587-'[1]Місто'!E577</f>
        <v>46500</v>
      </c>
      <c r="F579" s="27">
        <f>Місто!F587-'[1]Місто'!F577</f>
        <v>46500</v>
      </c>
      <c r="G579" s="27">
        <f>Місто!G587-'[1]Місто'!G577</f>
        <v>0</v>
      </c>
      <c r="H579" s="27">
        <f>Місто!H587-'[1]Місто'!H577</f>
        <v>0</v>
      </c>
      <c r="I579" s="27">
        <f>Місто!I587-'[1]Місто'!I577</f>
        <v>0</v>
      </c>
      <c r="J579" s="27">
        <f>Місто!J587-'[1]Місто'!J577</f>
        <v>0</v>
      </c>
      <c r="K579" s="27">
        <f>Місто!K587-'[1]Місто'!K577</f>
        <v>0</v>
      </c>
      <c r="L579" s="27">
        <f>Місто!L587-'[1]Місто'!L577</f>
        <v>0</v>
      </c>
      <c r="M579" s="27">
        <f>Місто!M587-'[1]Місто'!M577</f>
        <v>0</v>
      </c>
      <c r="N579" s="27">
        <f>Місто!N587-'[1]Місто'!N577</f>
        <v>0</v>
      </c>
      <c r="O579" s="27">
        <f>Місто!O587-'[1]Місто'!O577</f>
        <v>0</v>
      </c>
      <c r="P579" s="27">
        <f>Місто!P587-'[1]Місто'!P577</f>
        <v>46500</v>
      </c>
      <c r="Q579" s="165"/>
      <c r="W579" s="165">
        <f t="shared" si="8"/>
        <v>0</v>
      </c>
    </row>
    <row r="580" spans="1:23" s="166" customFormat="1" ht="12.75" hidden="1">
      <c r="A580" s="164"/>
      <c r="B580" s="9"/>
      <c r="C580" s="9"/>
      <c r="D580" s="4" t="s">
        <v>436</v>
      </c>
      <c r="E580" s="27">
        <f>Місто!E588-'[1]Місто'!E578</f>
        <v>21140</v>
      </c>
      <c r="F580" s="27">
        <f>Місто!F588-'[1]Місто'!F578</f>
        <v>21140</v>
      </c>
      <c r="G580" s="27">
        <f>Місто!G588-'[1]Місто'!G578</f>
        <v>0</v>
      </c>
      <c r="H580" s="27">
        <f>Місто!H588-'[1]Місто'!H578</f>
        <v>0</v>
      </c>
      <c r="I580" s="27">
        <f>Місто!I588-'[1]Місто'!I578</f>
        <v>0</v>
      </c>
      <c r="J580" s="27">
        <f>Місто!J588-'[1]Місто'!J578</f>
        <v>0</v>
      </c>
      <c r="K580" s="27">
        <f>Місто!K588-'[1]Місто'!K578</f>
        <v>0</v>
      </c>
      <c r="L580" s="27">
        <f>Місто!L588-'[1]Місто'!L578</f>
        <v>0</v>
      </c>
      <c r="M580" s="27">
        <f>Місто!M588-'[1]Місто'!M578</f>
        <v>0</v>
      </c>
      <c r="N580" s="27">
        <f>Місто!N588-'[1]Місто'!N578</f>
        <v>0</v>
      </c>
      <c r="O580" s="27">
        <f>Місто!O588-'[1]Місто'!O578</f>
        <v>0</v>
      </c>
      <c r="P580" s="27">
        <f>Місто!P588-'[1]Місто'!P578</f>
        <v>21140</v>
      </c>
      <c r="Q580" s="165"/>
      <c r="W580" s="165">
        <f t="shared" si="8"/>
        <v>0</v>
      </c>
    </row>
    <row r="581" spans="1:23" s="166" customFormat="1" ht="24" hidden="1">
      <c r="A581" s="164"/>
      <c r="B581" s="9"/>
      <c r="C581" s="9"/>
      <c r="D581" s="40" t="s">
        <v>105</v>
      </c>
      <c r="E581" s="27">
        <f>Місто!E589-'[1]Місто'!E579</f>
        <v>0</v>
      </c>
      <c r="F581" s="27">
        <f>Місто!F589-'[1]Місто'!F579</f>
        <v>0</v>
      </c>
      <c r="G581" s="27">
        <f>Місто!G589-'[1]Місто'!G579</f>
        <v>0</v>
      </c>
      <c r="H581" s="27">
        <f>Місто!H589-'[1]Місто'!H579</f>
        <v>0</v>
      </c>
      <c r="I581" s="27">
        <f>Місто!I589-'[1]Місто'!I579</f>
        <v>0</v>
      </c>
      <c r="J581" s="27">
        <f>Місто!J589-'[1]Місто'!J579</f>
        <v>0</v>
      </c>
      <c r="K581" s="27">
        <f>Місто!K589-'[1]Місто'!K579</f>
        <v>0</v>
      </c>
      <c r="L581" s="27">
        <f>Місто!L589-'[1]Місто'!L579</f>
        <v>0</v>
      </c>
      <c r="M581" s="27">
        <f>Місто!M589-'[1]Місто'!M579</f>
        <v>0</v>
      </c>
      <c r="N581" s="27">
        <f>Місто!N589-'[1]Місто'!N579</f>
        <v>0</v>
      </c>
      <c r="O581" s="27">
        <f>Місто!O589-'[1]Місто'!O579</f>
        <v>0</v>
      </c>
      <c r="P581" s="27">
        <f>Місто!P589-'[1]Місто'!P579</f>
        <v>0</v>
      </c>
      <c r="Q581" s="165"/>
      <c r="W581" s="165">
        <f t="shared" si="8"/>
        <v>0</v>
      </c>
    </row>
    <row r="582" spans="1:26" ht="15">
      <c r="A582" s="18"/>
      <c r="B582" s="18"/>
      <c r="C582" s="18"/>
      <c r="D582" s="116" t="s">
        <v>293</v>
      </c>
      <c r="E582" s="31">
        <f>Місто!E590-'[1]Місто'!E580</f>
        <v>298318587</v>
      </c>
      <c r="F582" s="31">
        <f>Місто!F590-'[1]Місто'!F580</f>
        <v>317941257</v>
      </c>
      <c r="G582" s="31">
        <f>Місто!G590-'[1]Місто'!G580</f>
        <v>166921317</v>
      </c>
      <c r="H582" s="31">
        <f>Місто!H590-'[1]Місто'!H580</f>
        <v>18519604</v>
      </c>
      <c r="I582" s="31">
        <f>Місто!I590-'[1]Місто'!I580</f>
        <v>0</v>
      </c>
      <c r="J582" s="31">
        <f>Місто!J590-'[1]Місто'!J580</f>
        <v>429860974</v>
      </c>
      <c r="K582" s="31">
        <f>Місто!K590-'[1]Місто'!K580</f>
        <v>494957</v>
      </c>
      <c r="L582" s="31">
        <f>Місто!L590-'[1]Місто'!L580</f>
        <v>0</v>
      </c>
      <c r="M582" s="31">
        <f>Місто!M590-'[1]Місто'!M580</f>
        <v>0</v>
      </c>
      <c r="N582" s="31">
        <f>Місто!N590-'[1]Місто'!N580</f>
        <v>429366017</v>
      </c>
      <c r="O582" s="31">
        <f>Місто!O590-'[1]Місто'!O580</f>
        <v>407119517</v>
      </c>
      <c r="P582" s="31">
        <f>Місто!P590-'[1]Місто'!P580</f>
        <v>728179561</v>
      </c>
      <c r="Q582" s="53"/>
      <c r="S582" s="59"/>
      <c r="W582" s="53">
        <f t="shared" si="8"/>
        <v>22246500</v>
      </c>
      <c r="X582" s="59">
        <f>W582-700000</f>
        <v>21546500</v>
      </c>
      <c r="Z582" s="59">
        <f>O582-153153987-8673500</f>
        <v>245292030</v>
      </c>
    </row>
    <row r="583" spans="1:16" ht="15">
      <c r="A583" s="109"/>
      <c r="B583" s="109"/>
      <c r="C583" s="109"/>
      <c r="D583" s="110"/>
      <c r="E583" s="111"/>
      <c r="F583" s="111"/>
      <c r="G583" s="111"/>
      <c r="H583" s="111"/>
      <c r="I583" s="111"/>
      <c r="J583" s="111"/>
      <c r="K583" s="111"/>
      <c r="L583" s="111"/>
      <c r="M583" s="111"/>
      <c r="N583" s="111"/>
      <c r="O583" s="111"/>
      <c r="P583" s="112"/>
    </row>
    <row r="584" spans="1:16" ht="12.75">
      <c r="A584" s="113"/>
      <c r="B584" s="113"/>
      <c r="C584" s="113"/>
      <c r="D584" s="5"/>
      <c r="E584" s="5"/>
      <c r="F584" s="5"/>
      <c r="G584" s="5"/>
      <c r="H584" s="5"/>
      <c r="I584" s="5"/>
      <c r="J584" s="5"/>
      <c r="K584" s="5"/>
      <c r="L584" s="5"/>
      <c r="M584" s="5"/>
      <c r="N584" s="5"/>
      <c r="O584" s="5"/>
      <c r="P584" s="5"/>
    </row>
    <row r="585" spans="1:16" ht="31.5">
      <c r="A585" s="45"/>
      <c r="B585" s="177" t="s">
        <v>191</v>
      </c>
      <c r="C585" s="177"/>
      <c r="D585" s="177"/>
      <c r="E585" s="121"/>
      <c r="F585" s="121"/>
      <c r="G585" s="122"/>
      <c r="H585" s="123"/>
      <c r="I585" s="123"/>
      <c r="K585" s="114"/>
      <c r="L585" s="120"/>
      <c r="M585" s="143" t="s">
        <v>37</v>
      </c>
      <c r="N585" s="114"/>
      <c r="O585" s="114"/>
      <c r="P585" s="114"/>
    </row>
    <row r="586" ht="12.75">
      <c r="O586" s="59"/>
    </row>
    <row r="587" spans="1:22" ht="12.75">
      <c r="A587" s="101"/>
      <c r="B587" s="101" t="s">
        <v>249</v>
      </c>
      <c r="C587" s="101"/>
      <c r="E587" s="59">
        <f aca="true" t="shared" si="9" ref="E587:P587">E13+E39+E91+E121+E207+E214+E217+E252+E299+E310+E321+E324+E329+E345+E366+E374+E397+E419+E443+E466+E488+E512+E539+E562+E239</f>
        <v>18157327</v>
      </c>
      <c r="F587" s="59">
        <f t="shared" si="9"/>
        <v>18157327</v>
      </c>
      <c r="G587" s="59">
        <f t="shared" si="9"/>
        <v>18523419</v>
      </c>
      <c r="H587" s="59">
        <f t="shared" si="9"/>
        <v>99163</v>
      </c>
      <c r="I587" s="59">
        <f t="shared" si="9"/>
        <v>0</v>
      </c>
      <c r="J587" s="59">
        <f t="shared" si="9"/>
        <v>14844290</v>
      </c>
      <c r="K587" s="59">
        <f t="shared" si="9"/>
        <v>0</v>
      </c>
      <c r="L587" s="59">
        <f t="shared" si="9"/>
        <v>0</v>
      </c>
      <c r="M587" s="59">
        <f t="shared" si="9"/>
        <v>0</v>
      </c>
      <c r="N587" s="59">
        <f t="shared" si="9"/>
        <v>14844290</v>
      </c>
      <c r="O587" s="59">
        <f t="shared" si="9"/>
        <v>14844290</v>
      </c>
      <c r="P587" s="59">
        <f t="shared" si="9"/>
        <v>33001617</v>
      </c>
      <c r="Q587" s="59">
        <f aca="true" t="shared" si="10" ref="Q587:V587">Q13+Q39+Q91+Q121+Q207+Q214+Q217+Q252+Q299+Q310+Q321+Q324+Q329+Q345+Q366+Q374+Q397+Q419+Q443+Q466+Q488+Q512+Q539+Q562</f>
        <v>0</v>
      </c>
      <c r="R587" s="59">
        <f t="shared" si="10"/>
        <v>0</v>
      </c>
      <c r="S587" s="59">
        <f t="shared" si="10"/>
        <v>0</v>
      </c>
      <c r="T587" s="59">
        <f t="shared" si="10"/>
        <v>0</v>
      </c>
      <c r="U587" s="59">
        <f t="shared" si="10"/>
        <v>0</v>
      </c>
      <c r="V587" s="59">
        <f t="shared" si="10"/>
        <v>0</v>
      </c>
    </row>
    <row r="588" spans="1:16" ht="12.75">
      <c r="A588" s="101"/>
      <c r="B588" s="101" t="s">
        <v>287</v>
      </c>
      <c r="C588" s="101"/>
      <c r="E588" s="59"/>
      <c r="F588" s="59"/>
      <c r="J588" s="59">
        <f>J26+J118+J200+J230+J429+J451+J474+J524+J547+J568+J496+J339+J390</f>
        <v>111569</v>
      </c>
      <c r="K588" s="59">
        <f>K26+K118+K200+K230+K429+K451+K474+K524+K547+K568+K496+K339+K390</f>
        <v>111569</v>
      </c>
      <c r="L588" s="59">
        <f>L26+L118+L200+L230+L429+L451+L474+L524+L547+L568+L496</f>
        <v>0</v>
      </c>
      <c r="M588" s="59">
        <f>M26+M118+M200+M230+M429+M451+M474+M524+M547+M568+M496</f>
        <v>0</v>
      </c>
      <c r="N588" s="59">
        <f>N339</f>
        <v>0</v>
      </c>
      <c r="O588" s="59">
        <f>O26+O118+O200+O230+O429+O451+O474+O524+O547+O568+O496</f>
        <v>0</v>
      </c>
      <c r="P588" s="59">
        <f>P26+P118+P200+P230+P429+P451+P474+P524+P547+P568+P496+P339+P390</f>
        <v>111569</v>
      </c>
    </row>
    <row r="589" spans="1:16" ht="12.75">
      <c r="A589" s="101"/>
      <c r="B589" s="101" t="s">
        <v>288</v>
      </c>
      <c r="C589" s="101"/>
      <c r="E589" s="59">
        <f aca="true" t="shared" si="11" ref="E589:P589">E30+E232+E248+E305+E314+E407+E433+E455+E478+E502+E528+E551+E574+E358+E392+E341+E288</f>
        <v>50599879</v>
      </c>
      <c r="F589" s="59" t="e">
        <f t="shared" si="11"/>
        <v>#REF!</v>
      </c>
      <c r="G589" s="59">
        <f t="shared" si="11"/>
        <v>78500</v>
      </c>
      <c r="H589" s="59">
        <f t="shared" si="11"/>
        <v>0</v>
      </c>
      <c r="I589" s="59">
        <f t="shared" si="11"/>
        <v>0</v>
      </c>
      <c r="J589" s="59">
        <f t="shared" si="11"/>
        <v>341697</v>
      </c>
      <c r="K589" s="59">
        <f t="shared" si="11"/>
        <v>0</v>
      </c>
      <c r="L589" s="59">
        <f t="shared" si="11"/>
        <v>0</v>
      </c>
      <c r="M589" s="59">
        <f t="shared" si="11"/>
        <v>0</v>
      </c>
      <c r="N589" s="59">
        <f t="shared" si="11"/>
        <v>341697</v>
      </c>
      <c r="O589" s="59">
        <f t="shared" si="11"/>
        <v>341697</v>
      </c>
      <c r="P589" s="59">
        <f t="shared" si="11"/>
        <v>50941576</v>
      </c>
    </row>
    <row r="590" spans="5:10" ht="12.75">
      <c r="E590" s="59"/>
      <c r="F590" s="59"/>
      <c r="J590" s="59"/>
    </row>
    <row r="591" spans="1:16" ht="12.75">
      <c r="A591" s="101"/>
      <c r="B591" s="101" t="s">
        <v>337</v>
      </c>
      <c r="C591" s="101"/>
      <c r="E591" s="59">
        <f>E17+E73+E113+E188+E228+E379+E425+E470+E492+E543</f>
        <v>0</v>
      </c>
      <c r="F591" s="59"/>
      <c r="G591" s="59">
        <f>G17+G73+G113+G188+G228+G379+G425+G470+G492+G543</f>
        <v>0</v>
      </c>
      <c r="H591" s="59">
        <f>H17+H73+H113+H188+H228+H379+H425+H470+H492+H543</f>
        <v>0</v>
      </c>
      <c r="I591" s="59"/>
      <c r="J591" s="59">
        <f aca="true" t="shared" si="12" ref="J591:P591">J85+J286+J338</f>
        <v>22240000</v>
      </c>
      <c r="K591" s="59">
        <f t="shared" si="12"/>
        <v>-6500</v>
      </c>
      <c r="L591" s="59">
        <f t="shared" si="12"/>
        <v>0</v>
      </c>
      <c r="M591" s="59">
        <f t="shared" si="12"/>
        <v>0</v>
      </c>
      <c r="N591" s="59">
        <f t="shared" si="12"/>
        <v>22246500</v>
      </c>
      <c r="O591" s="59">
        <f t="shared" si="12"/>
        <v>0</v>
      </c>
      <c r="P591" s="59">
        <f t="shared" si="12"/>
        <v>22240000</v>
      </c>
    </row>
    <row r="592" ht="12.75"/>
    <row r="593" ht="12.75"/>
    <row r="594" ht="12.75">
      <c r="E594" s="59">
        <f>E582-F582-I582</f>
        <v>-19622670</v>
      </c>
    </row>
    <row r="595" spans="2:16" ht="12.75">
      <c r="B595" s="101" t="s">
        <v>338</v>
      </c>
      <c r="E595" s="59">
        <f>E73+E113+E188+E228+E241+E273+E351+E379+E447+E470+E492+E520+E543+E566</f>
        <v>0</v>
      </c>
      <c r="F595" s="59">
        <f>F73+F113+F188+F228+F241+F273+F351+F379+F447+F470+F492+F520+F543+F566</f>
        <v>0</v>
      </c>
      <c r="G595" s="59">
        <f>G73+G113+G188+G228+G241+G273+G351+G379+G447+G470+G492+G520+G543+G566</f>
        <v>0</v>
      </c>
      <c r="H595" s="59">
        <f>H73+H113+H188+H228+H241+H273+H351+H379+H447+H470+H492+H520+H543+H566</f>
        <v>0</v>
      </c>
      <c r="I595" s="59">
        <f>I73+I113+I188+I228+I241+I273+I351+I379+I447+I470+I492+I520+I543+I566</f>
        <v>0</v>
      </c>
      <c r="J595" s="59">
        <f aca="true" t="shared" si="13" ref="J595:P595">J73+J113+J188+J228+J241+J273+J351+J379+J447+J470+J492+J520+J543+J566+J399</f>
        <v>127689129</v>
      </c>
      <c r="K595" s="59">
        <f t="shared" si="13"/>
        <v>0</v>
      </c>
      <c r="L595" s="59">
        <f t="shared" si="13"/>
        <v>0</v>
      </c>
      <c r="M595" s="59">
        <f t="shared" si="13"/>
        <v>0</v>
      </c>
      <c r="N595" s="59">
        <f t="shared" si="13"/>
        <v>127689129</v>
      </c>
      <c r="O595" s="59">
        <f t="shared" si="13"/>
        <v>127689129</v>
      </c>
      <c r="P595" s="59">
        <f t="shared" si="13"/>
        <v>127689129</v>
      </c>
    </row>
    <row r="596" ht="12.75"/>
    <row r="597" ht="12.75"/>
    <row r="598" ht="12.75">
      <c r="B598" s="101" t="s">
        <v>18</v>
      </c>
    </row>
    <row r="599" spans="2:6" ht="12.75">
      <c r="B599" s="101" t="s">
        <v>17</v>
      </c>
      <c r="F599" s="59">
        <f>F127+F134+F139+F147+F167+F171</f>
        <v>-3319600</v>
      </c>
    </row>
    <row r="600" spans="2:6" ht="12.75">
      <c r="B600" s="101" t="s">
        <v>19</v>
      </c>
      <c r="F600" s="59">
        <f>F131+F143+F145+F192+F194+F198+F196+J131</f>
        <v>-58652000</v>
      </c>
    </row>
    <row r="601" spans="2:6" ht="12.75">
      <c r="B601" s="101" t="s">
        <v>20</v>
      </c>
      <c r="F601" s="59">
        <f>F129+F137+F141+F149+F168</f>
        <v>111210</v>
      </c>
    </row>
    <row r="602" spans="2:6" ht="12.75">
      <c r="B602" s="101" t="s">
        <v>21</v>
      </c>
      <c r="F602" s="59">
        <f>F151+F153+F155+F157+F159+F161+F163+F165+F175+F186</f>
        <v>32005211</v>
      </c>
    </row>
    <row r="603" spans="2:6" ht="12.75">
      <c r="B603" s="101" t="s">
        <v>22</v>
      </c>
      <c r="F603" s="168">
        <f>F123</f>
        <v>945639</v>
      </c>
    </row>
    <row r="604" ht="12.75"/>
    <row r="605" ht="12.75"/>
    <row r="606" ht="12.75"/>
    <row r="607" ht="12.75"/>
    <row r="608" ht="12.75"/>
    <row r="609" spans="2:16" ht="12.75">
      <c r="B609" s="101" t="s">
        <v>38</v>
      </c>
      <c r="J609" s="59">
        <f>K609+N609</f>
        <v>0</v>
      </c>
      <c r="K609" s="59">
        <f>K13+K40+K66+K92+K125+K218+K367+K419+K445+K466+K468+K488+K512+K539+K562</f>
        <v>0</v>
      </c>
      <c r="N609" s="59">
        <f>N40-O40+N66-O66+N92-O92+N121-O121+N218-O218+N310-O310+N468-O468+N512-O512+N367-O367</f>
        <v>0</v>
      </c>
      <c r="P609" s="59">
        <f>J609</f>
        <v>0</v>
      </c>
    </row>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sheetData>
  <sheetProtection/>
  <mergeCells count="22">
    <mergeCell ref="E7:I7"/>
    <mergeCell ref="J7:O7"/>
    <mergeCell ref="J1:K1"/>
    <mergeCell ref="J2:K2"/>
    <mergeCell ref="J3:K3"/>
    <mergeCell ref="B4:P4"/>
    <mergeCell ref="B5:P5"/>
    <mergeCell ref="O6:P6"/>
    <mergeCell ref="A7:A9"/>
    <mergeCell ref="B7:B9"/>
    <mergeCell ref="C7:C9"/>
    <mergeCell ref="D7:D9"/>
    <mergeCell ref="B585:D585"/>
    <mergeCell ref="P7:P9"/>
    <mergeCell ref="E8:E9"/>
    <mergeCell ref="F8:F9"/>
    <mergeCell ref="G8:H8"/>
    <mergeCell ref="I8:I9"/>
    <mergeCell ref="J8:J9"/>
    <mergeCell ref="K8:K9"/>
    <mergeCell ref="L8:M8"/>
    <mergeCell ref="N8:N9"/>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2016-03-29T12:01:38Z</cp:lastPrinted>
  <dcterms:created xsi:type="dcterms:W3CDTF">2002-01-02T08:54:19Z</dcterms:created>
  <dcterms:modified xsi:type="dcterms:W3CDTF">2016-04-07T07:17:52Z</dcterms:modified>
  <cp:category/>
  <cp:version/>
  <cp:contentType/>
  <cp:contentStatus/>
</cp:coreProperties>
</file>