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8235" tabRatio="479" activeTab="0"/>
  </bookViews>
  <sheets>
    <sheet name="лист" sheetId="1" r:id="rId1"/>
    <sheet name="власні надходж" sheetId="2" state="hidden" r:id="rId2"/>
    <sheet name="в т.ч.погашення" sheetId="3" state="hidden" r:id="rId3"/>
  </sheets>
  <definedNames>
    <definedName name="_xlnm._FilterDatabase" localSheetId="0" hidden="1">'лист'!$A$10:$N$356</definedName>
    <definedName name="_xlnm.Print_Area" localSheetId="2">'в т.ч.погашення'!$A$1:$G$319</definedName>
    <definedName name="_xlnm.Print_Area" localSheetId="1">'власні надходж'!$A$1:$H$329</definedName>
    <definedName name="_xlnm.Print_Area" localSheetId="0">'лист'!$A$1:$H$360</definedName>
  </definedNames>
  <calcPr fullCalcOnLoad="1"/>
</workbook>
</file>

<file path=xl/sharedStrings.xml><?xml version="1.0" encoding="utf-8"?>
<sst xmlns="http://schemas.openxmlformats.org/spreadsheetml/2006/main" count="2323" uniqueCount="602">
  <si>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t>
  </si>
  <si>
    <t>асоціація городов</t>
  </si>
  <si>
    <t>відео спостереж</t>
  </si>
  <si>
    <t>телеканал МТМ</t>
  </si>
  <si>
    <t>сприяння підприємництво</t>
  </si>
  <si>
    <t>целевой фонд</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</si>
  <si>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</si>
  <si>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</si>
  <si>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070803</t>
  </si>
  <si>
    <t>раціон використ</t>
  </si>
  <si>
    <t>аукціони</t>
  </si>
  <si>
    <t>кадастр</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</si>
  <si>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 </t>
  </si>
  <si>
    <t>розв і утриман ЖКХ</t>
  </si>
  <si>
    <t>освіта</t>
  </si>
  <si>
    <t>оздор та відпочинок</t>
  </si>
  <si>
    <t>позашкільна</t>
  </si>
  <si>
    <t>фізкультура</t>
  </si>
  <si>
    <t>підтримка сімї та молоді</t>
  </si>
  <si>
    <t>розв ОХОРОНИ ЗДОРОВЯ</t>
  </si>
  <si>
    <t>розв КУЛЬТУРИ і Мистецтв</t>
  </si>
  <si>
    <t>кінообслуговування</t>
  </si>
  <si>
    <t>святкові заходи та акції</t>
  </si>
  <si>
    <t>МКП  соцзахисту</t>
  </si>
  <si>
    <t>реконструк обєктів соц сфери</t>
  </si>
  <si>
    <t>ЗапоріжЕлектроТранс</t>
  </si>
  <si>
    <t>АЕРОПОРТ</t>
  </si>
  <si>
    <t>безпека дорож руху на шляхах</t>
  </si>
  <si>
    <t>ЕКОбезпека</t>
  </si>
  <si>
    <t xml:space="preserve">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 </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</si>
  <si>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t>
  </si>
  <si>
    <t>150202</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</si>
  <si>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</si>
  <si>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</si>
  <si>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Програма реконструкції ринку Соцміста КП "Запоріжринок" по вул.Рекордній, 2  у м.Запоріжжя на 2014 рік, затверджена рішенням міської ради від      №</t>
  </si>
  <si>
    <t>Міська цільова програма підвищення ефективності та посилення контролю за станом громадського порядку, затверджена рішенням міської ради від 24.04.2013 №38 (у тому числі погашення заборгованості минулого року)</t>
  </si>
  <si>
    <t>Розробка схем та проектних рішень масового застосування</t>
  </si>
  <si>
    <t>Програма економічного і соціального розвитку м.Запоріжжя на 2014 рік, затверджена рішенням міської ради від      №</t>
  </si>
  <si>
    <t xml:space="preserve">"Програма розвитку охорони здоров'я міста Запоріжжя" на період 2014-2016 роки, затверджена рішенням міської ради від     № </t>
  </si>
  <si>
    <t>081003</t>
  </si>
  <si>
    <t>Служби технічного нагляду за будівництвом та капітальним ремонтом, централізовані бухгалтерії,</t>
  </si>
  <si>
    <t xml:space="preserve">Програма розвитку та утримання житлово-комунального господарства м.Запоріжжя на 2014-2016 роки, затверджена рішенням міської ради від     № </t>
  </si>
  <si>
    <t>100103</t>
  </si>
  <si>
    <t>Фінансова підтримка обєктів житлово-комунального господарства</t>
  </si>
  <si>
    <t xml:space="preserve">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2014-2016 рік затвердженого рішенням міської ради від     №  </t>
  </si>
  <si>
    <t xml:space="preserve">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  </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</si>
  <si>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  </t>
  </si>
  <si>
    <t xml:space="preserve">Міська цільова програма запобігання та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 </t>
  </si>
  <si>
    <t xml:space="preserve">Міська цільова Програма "Будівництво, реконструкція та ліквідація аварійного стану об'єктів міста Запоріжжя на 2014-2016 роки", затверджена рішенням міської ради від      № </t>
  </si>
  <si>
    <t>Цільова комплексна програма забезпечення молоді міста Запоріжжя житлом, затверджена рішенням міської ради від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</si>
  <si>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</si>
  <si>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</si>
  <si>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</si>
  <si>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</si>
  <si>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</si>
  <si>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</si>
  <si>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</si>
  <si>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</si>
  <si>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</si>
  <si>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</si>
  <si>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</si>
  <si>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</si>
  <si>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</si>
  <si>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</si>
  <si>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</si>
  <si>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</si>
  <si>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Міська цільова програма житлового будівництва та придбання житла для окремих категорій населення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</si>
  <si>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</si>
  <si>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</si>
  <si>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"Освіта", затверджена рішенням міської ради від          №   </t>
  </si>
  <si>
    <t xml:space="preserve">Програма "Оздоровлення та відпочинок", затверджена рішенням міської ради від           №  </t>
  </si>
  <si>
    <t>Програма "Позашкільна освіта", затверджена рішенням міської ради від            №</t>
  </si>
  <si>
    <t xml:space="preserve">Програма "Оздоровлення та відпочинок", затверджена рішенням міської ради від             №  </t>
  </si>
  <si>
    <t>Програма "Фізична культура та спорт", затверджена рішенням міської ради від               №</t>
  </si>
  <si>
    <t xml:space="preserve">Програма підтримки сім'ї та молоді м. Запоріжжя, затверджена рішенням міської ради від              № </t>
  </si>
  <si>
    <t>Служби технічного нагляду за будівництвом та капітальним ремонтом</t>
  </si>
  <si>
    <t xml:space="preserve">Поліклініки і амбулаторії </t>
  </si>
  <si>
    <t>Загальні та спеціалізовані стоматологічні поліклініки (крім спеціалізованих поліклінік та загальних і спеціалізованих стоматологічних поліклінік)</t>
  </si>
  <si>
    <t>Програма розвитку туризму у місті Запоріжжя на 2014 - 2016 роки, затверджена рішенням міської ради від 23.04.2014 № 20 (зі змінами та доповненнями)</t>
  </si>
  <si>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15.01.2015 № 21</t>
  </si>
  <si>
    <t>Програма використання коштів депутатського фонду у 2015 році, затверджена рішенням міської ради від  15.01.2015 № 5</t>
  </si>
  <si>
    <r>
      <t>Програма розвитку та утримання житлово-комунального господарства м.Запоріжжя на 2015-2017 роки, затверджена рішенням міської ради від 15.01.2015 № 15  -</t>
    </r>
    <r>
      <rPr>
        <sz val="12"/>
        <color indexed="10"/>
        <rFont val="Times New Roman"/>
        <family val="1"/>
      </rPr>
      <t>погашення кредиторської заборгованості за минулий рік</t>
    </r>
  </si>
  <si>
    <t>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31.01.2014 № 21</t>
  </si>
  <si>
    <t>0111</t>
  </si>
  <si>
    <t>0830</t>
  </si>
  <si>
    <t>0490</t>
  </si>
  <si>
    <t>0133</t>
  </si>
  <si>
    <t>0910</t>
  </si>
  <si>
    <t>0921</t>
  </si>
  <si>
    <t>0960</t>
  </si>
  <si>
    <t>0990</t>
  </si>
  <si>
    <t>1040</t>
  </si>
  <si>
    <t>0810</t>
  </si>
  <si>
    <t>0411</t>
  </si>
  <si>
    <t>0540</t>
  </si>
  <si>
    <t>0511</t>
  </si>
  <si>
    <t>1060</t>
  </si>
  <si>
    <t>0731</t>
  </si>
  <si>
    <t>0733</t>
  </si>
  <si>
    <t>0721</t>
  </si>
  <si>
    <t>0722</t>
  </si>
  <si>
    <t>0726</t>
  </si>
  <si>
    <t>0763</t>
  </si>
  <si>
    <t>1020</t>
  </si>
  <si>
    <t>1030</t>
  </si>
  <si>
    <t>1090</t>
  </si>
  <si>
    <t>1070</t>
  </si>
  <si>
    <t>0821</t>
  </si>
  <si>
    <t>0824</t>
  </si>
  <si>
    <t>0828</t>
  </si>
  <si>
    <t>0829</t>
  </si>
  <si>
    <t>0823</t>
  </si>
  <si>
    <t>0610</t>
  </si>
  <si>
    <t>0620</t>
  </si>
  <si>
    <t>0456</t>
  </si>
  <si>
    <t>0443</t>
  </si>
  <si>
    <t>0455</t>
  </si>
  <si>
    <t>0460</t>
  </si>
  <si>
    <t>0320</t>
  </si>
  <si>
    <t>0621</t>
  </si>
  <si>
    <t>0180</t>
  </si>
  <si>
    <t>150110</t>
  </si>
  <si>
    <t>Проведення невідкладних відновлювальних робіт, будівництво та реконструкція загальноосвітініх навчальних закладів</t>
  </si>
  <si>
    <t>Міська цільова програма "Забезпечення рівних умов проїзду на автобусних маршрутах загального користування", затверджена рішенням міської ради від 25.03.2015 №</t>
  </si>
  <si>
    <t>Програма  використання коштів цільового фонду міської ради на 2015 рік, затверджена рішенням міської ради від  15.01.2015 № 6 (зі змінами)</t>
  </si>
  <si>
    <t>Програма використання коштів депутатського фонду у 2015 році, затверджена рішенням міської ради від  15.01.2015 № 5 (зі змінами)</t>
  </si>
  <si>
    <t>Міська цільова програма з відзначення в м.Запоріжжі державних пам"ятних дат та історичних подій у 2015 році, затверджена рішенням міської ради від 15.01.2015 № 14 (зі змінами)</t>
  </si>
  <si>
    <t>Програма "Про забезпечення екологічної безпеки міста на 2015-2017 роки", затверджена рішенням міської ради від  15.01.2015 № 17 (зі змінами)</t>
  </si>
  <si>
    <t>Програма розвитку та утримання житлово-комунального господарства м.Запоріжжя на 2015-2017 роки, затверджена рішенням міської ради від 15.01.2015 № 15 (зі змінами)</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</si>
  <si>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t>
  </si>
  <si>
    <t>Міська цільова програма "Фінансова допомога комунальному підприємству "Управління капітального будівництва" у 2015 році, затверджена рішенням міської ради від 25.03.2015 № 9</t>
  </si>
  <si>
    <t>Міська цільова програма "Створення статутного капіталу комунального підприємства "Запорізьке енергетичне агентство" Запорізької міської ради", затверджена рішенням міської ради від 26.08.2015 № 6</t>
  </si>
  <si>
    <t>Програма "Управління та забезпечення збереження майна комунальної власності на 2015 рік", затверджена рішенням від 10.06.2015 № 21 (зі змінами)</t>
  </si>
  <si>
    <t>Міська цільова програма "Забезпечення належної та безперебійної роботи комунального підприємства "Преса", затверджена рішенням міської ради від 07.10.2015 № 22</t>
  </si>
  <si>
    <t>Перелік місцевих (регіональних) програм, які фінансуватимуться за рахунок коштів бюджету міста у 2016 році</t>
  </si>
  <si>
    <t>Програма заміни технологічного обладнання в харчоблоках та пральнях загальноосвітніх та дошкільних навчальних закладів міста Запоріжжя на 2016-2020 роки, затверджена рішенням міської ради від 07.10.2015 № 16 (зі змінами та доповненнями)</t>
  </si>
  <si>
    <t xml:space="preserve">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 </t>
  </si>
  <si>
    <t>Програма економічного і соціального розвитку м.Запоріжжя на 2016 рік</t>
  </si>
  <si>
    <t>Програма "Освіта на 2016-2018 роки"</t>
  </si>
  <si>
    <t>Міська програма "Розвиток культури і мистецтв у місті Запоріжжя на 2016-2018 роки"</t>
  </si>
  <si>
    <t>Програма "Управління та забезпечення збереження майна комунальної власності на 2015 рік"</t>
  </si>
  <si>
    <t>150112</t>
  </si>
  <si>
    <t>Проведення невідкладних відновлювальних робіт, будівництво та реконструкція позашкільних навчальних закладів</t>
  </si>
  <si>
    <t>Р.О.Пидорич</t>
  </si>
  <si>
    <t>Програма "Про фінансування природоохоронних заходів за рахунок екологічних надходжень на 2016-2018 роки"</t>
  </si>
  <si>
    <t>090203</t>
  </si>
  <si>
    <t>090209</t>
  </si>
  <si>
    <t>090214</t>
  </si>
  <si>
    <t>170302</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</si>
  <si>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</si>
  <si>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</si>
  <si>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</si>
  <si>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Компенсаційні виплати за пільговий проїзд окремих категорій громадян на залізничному транспорті</t>
  </si>
  <si>
    <t>070501</t>
  </si>
  <si>
    <t>0930</t>
  </si>
  <si>
    <t>Професійно-технічні заклади освіти</t>
  </si>
  <si>
    <t xml:space="preserve">Програма  використання коштів цільового фонду міської ради на 2015 рік, затверджена рішенням міської ради від 15.01.2015 № 6 (зі змінами), затверджена рішенням міської ради від __________  № </t>
  </si>
  <si>
    <t>Міська цільова програма підтримки засобу масової інформації місцевого значення - КП "Редакція газети "Запорозька Січ" затверджена рішенням міської ради від 25.12.2015  № 4</t>
  </si>
  <si>
    <t>Міська цільова програма забезпечення членства Запорізької міської ради в Асоціаціях, затверджена рішенням міської ради від 25.12.2015  №  3</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</si>
  <si>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t>
  </si>
  <si>
    <t>Міська цільова програма відзначення в м.Запоріжжі державних пам"ятних дат та історичних подій, затверджена рішенням міської ради від 25.12.2015 № 6</t>
  </si>
  <si>
    <t>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25.12.2015 № 2</t>
  </si>
  <si>
    <t>Програма "Оздоровлення та відпочинок на 2016-2018 роки", затверджена рішенням міської ради від 25.12.2015  № 18</t>
  </si>
  <si>
    <t>Програма фінансування заходів з питань сім'ї та молоді на 2016 рік, затверджена рішенням міської ради від 25.12.2015 № 18</t>
  </si>
  <si>
    <t>Програма "Фізична культура та спорт на 2016-2018 роки", затверджена рішенням міської ради від 25.12.2015 № 18</t>
  </si>
  <si>
    <t>Програма раціонального використання території та комплексного містобудівного розвитку міста Запоріжжя, затверджена рішенням міської ради від 31.01.2014 № 22 (зі змінами)</t>
  </si>
  <si>
    <t>Міська цільова програма "Фінансова підтримка комунального підприємства "Муніципальна телевізійна мережа" (Телеканал "МТМ")", затверджена рішенням міської ради від 25.12.2015 № 12</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</si>
  <si>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</si>
  <si>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</si>
  <si>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 </t>
  </si>
  <si>
    <t>Програма підтримки діяльності органів самоорганізації населення міста Запоріжжя, затверджена рішенням міської ради від 25.12.2015 № 11</t>
  </si>
  <si>
    <t>Програма підтримки діяльності органів самоорганізації населення міста Запоріжжя, затверджена рішенням міської ради від 25.12.2015  № 11</t>
  </si>
  <si>
    <t>Програма фінансової підтримки КП "Запорізької міської друкарні "Дніпровський металург", затверджена рішенням міської ради від 25.12.2015  № 7</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</si>
  <si>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 (зі змінами)</t>
  </si>
  <si>
    <t>090501</t>
  </si>
  <si>
    <t>1050</t>
  </si>
  <si>
    <t>Організація та проведення громадських робіт</t>
  </si>
  <si>
    <t>Міська програма "Підтримка комунальних закладів культури міста Запоріжжя у  2016-2018 роках", затверджена рішенням міської ради від 25.12.2015  № 17 (зі змінами)</t>
  </si>
  <si>
    <t>Програма "Освіта на 2016-2018 роки", затверджена рішенням міської ради від 25.12.2015  № 18 (зі змінами)</t>
  </si>
  <si>
    <t>Міська цільова програма "Сприяння органів місцевого самоврядування призову громадян та забезпечення проведення заходів з мобілізації у  м.Запоріжжі на 2016 рік", затверджена рішенням міської ради від 26.02.2016  № 17</t>
  </si>
  <si>
    <t>Програма професійно-технічна освіта на 2016-2018 роки, затверджена рішенням міської ради від 26.02.2016  № 16</t>
  </si>
  <si>
    <t>Програма "Охорона здоров'я міста Запоріжжя на період 2016-2018 роки", затверджена рішенням міської ради від 25.12.2016 № 16 (зі змінами)</t>
  </si>
  <si>
    <t>Програма підтримки муніципального рейтингу, затверджена рішенням міської ради від 26.02.2016  № 23</t>
  </si>
  <si>
    <t xml:space="preserve">Програма проведення в м.Запоріжжі Покровського ярмарку, затверджена рішенням міської ради від _______ № </t>
  </si>
  <si>
    <t xml:space="preserve">Міська цільова програма" Заходи щодо оптимізації фінансово-господарської діяльності комунального підприємства "Преса", затверджена рішенням міської  ради від ______№ </t>
  </si>
  <si>
    <t>Програма використання коштів депутатського фонду у 2016 році, затверджена рішенням міської ради від  25.12.2015 № 26 (зі змінами)</t>
  </si>
  <si>
    <t>Районна адміністрація Запорізької міської ради по Дніпровському району</t>
  </si>
  <si>
    <t>Районна адміністрація Запорізької міської ради по Вознесенівському району</t>
  </si>
  <si>
    <t>Районна адміністрація Запорізької міської ради по Олександрівському району</t>
  </si>
  <si>
    <t>Міська цільова програма "Фінансова допомога комунальному підприємству "Запорізьке енергетичне агентство Запорізької міської ради" на поповнення обігових коштів для забезпечення стабільної роботи підприємства", затверджена рішенням міської ради від 26.02.2016 №   18</t>
  </si>
  <si>
    <t>Програма "Про фінансування природоохоронних заходів за рахунок екологічних надходжень на 2016-2018 роки", затверджена рішенням міської ради від 25.12.2015  № 23 (зі змінами)</t>
  </si>
  <si>
    <t>Цільова комплексна програма забезпечення молоді міста Запоріжжя житлом, затверджена рішенням міської ради від 25.12.2015 № 18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</si>
  <si>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</si>
  <si>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</si>
  <si>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Міська цільова програма створення філій Центру надання адміністративних послуг у м. Запоріжжі, затверджена рішенням міської ради від 25.03.2015  № 27 (зі змінами)</t>
  </si>
  <si>
    <t>Програма розвитку та утримання житлово-комунального господарства м.Запоріжжя на 2016-2018 роки, затверджена рішенням міської ради від 25.12.2015  № 25 (зі змінами)</t>
  </si>
  <si>
    <t>Міська цільова програма запобігання і ліквідації надзвичайних ситуацій техногенного та природного характеру, організація рятування на водах на 2016-2018 роки, затверджена рішенням міської ради від 25.12.2015 № 10 (зі змінами)</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</si>
  <si>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2015-2019 роки, затверджена рішенням міської ради від 26.08.2015 № 56 (зі змінами)</t>
  </si>
  <si>
    <t>Міська комплексна програма соціального захисту населення міста Запоріжжя на 2016-2018 роки, затверджена рішенням міської ради від 25.12.2015  № 9 (зі змінами)</t>
  </si>
  <si>
    <t>Програма "Охорона здоров'я міста Запоріжжя на період 2016-2018 роки", затверджена рішенням міської ради від 25.12.2015 № 16 (зі змінами)</t>
  </si>
  <si>
    <t>грн.</t>
  </si>
  <si>
    <t>100208</t>
  </si>
  <si>
    <t>Впровадження засобів обліку витрат та регулювання споживання води та теплової енергії</t>
  </si>
  <si>
    <t>Департамент реєстраційних послуг Запорізької міської ради</t>
  </si>
  <si>
    <t>Виконавчий комітет Запорізької міської ради</t>
  </si>
  <si>
    <t>13</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</si>
  <si>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</si>
  <si>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</si>
  <si>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</si>
  <si>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</si>
  <si>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</si>
  <si>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</si>
  <si>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</si>
  <si>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Програма економічного і соціального розвитку м.Запоріжжя на 2016 рік, затверджена рішенням міської ради від 30.03.2016 № 5</t>
  </si>
  <si>
    <t>Програма «Організація та проведення заходів щодо відзначення загальнодержавних, міських та районних свят на 2016 рік», затверджена рішенням міської ради від 30.03.2016 № 23</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</si>
  <si>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Служби безпеки України і Служби з надзвичайних ситуацій України на 2016 рік, затверджена рішенням міської ради від 30.03.2016 № 11</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</si>
  <si>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ріщенням міської ради від 30.03.2016  № 16</t>
  </si>
  <si>
    <t xml:space="preserve">Програма проведення в м.Запоріжжі Покровського ярмарку з нагоди святкування Дня міста у 2016 році, затверджена рішенням міської ради від _______ № </t>
  </si>
  <si>
    <t xml:space="preserve"> Програма фінансування деяких заходів щодо сприяння  розвитку малого та середнього підприємництва у місті Запоріжжі на 2016 рік, затверджена рішенням міської ради від ______ № </t>
  </si>
  <si>
    <t>Програма  використання коштів цільового фонду міської ради на 2016 рік, затверджена рішенням міської ради від 25.12.2015  № 27 (зі змінами)</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</si>
  <si>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25.12.2015 № 21 (зі змінами)</t>
  </si>
  <si>
    <t>27.04.2016 №27</t>
  </si>
  <si>
    <t xml:space="preserve">Програма "Фінансова підтримка комунального спортивно-видовищного підприємства "Юність", затверджена рішенням міської ради від          № </t>
  </si>
  <si>
    <t xml:space="preserve">Програма "Фізична культура та спорт", затверджена рішенням міської ради від                  № </t>
  </si>
  <si>
    <t xml:space="preserve">Міська програма "Оцінка вартості пам'яток історії та монументального мистецтва в місті Запоріжжя на 2014 рік"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</si>
  <si>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</si>
  <si>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створення та ведення містобудівного кадастру міста Запоріжжя, затверджена рішенням міської ради від                 №  </t>
  </si>
  <si>
    <t xml:space="preserve">Програма раціонального використання території та комплексного містобудівного розвитку міста , затверджена рішенням міської ради від     №   </t>
  </si>
  <si>
    <t xml:space="preserve">Міська програма "Розвиток культури і мистецтв у місті Запоріжжя на 2013-2015 роки", затверджена рішенням міської ради від         № </t>
  </si>
  <si>
    <t>Програма використання коштів депутатського фонду, затверджена рішенням міської ради від 30.01.2013 № 8 (зі змінами) - погашення заборгованості за минулий рік</t>
  </si>
  <si>
    <t xml:space="preserve">Міська програма "Поліпшення кінообслуговування населення міста Запоріжжя на 2013-2015 роки" затверджена рішенням міської ради від          №  </t>
  </si>
  <si>
    <t>"Програма надання медичної допомоги хворим на цукровий діабет" на період  2013-2015 років затверджена рішенням міської ради від 30.01.2013 № 21</t>
  </si>
  <si>
    <t xml:space="preserve">Міська цільова програма роботи і розвитку газети Запорізької міської ради "Запорозька Січ"(зі змінами), затверджена рішенням міської ради від     № </t>
  </si>
  <si>
    <t xml:space="preserve">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 </t>
  </si>
  <si>
    <t xml:space="preserve">обсяг власних надходжень,що включені до складу видатків </t>
  </si>
  <si>
    <t>-</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</si>
  <si>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t>
  </si>
  <si>
    <t xml:space="preserve">Міська цільова програма запобігання і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31.01.2014  №10 </t>
  </si>
  <si>
    <t>Програма зайнятості населення міста Запоріжжя на період до 2017 року, затверджена рішенням міської ради від 29.05.2013 №13 (зі змінами)</t>
  </si>
  <si>
    <t>Компенсаційні виплати на пільговий проїзд електротранспортом окремим категоріям громадян</t>
  </si>
  <si>
    <t>Фінансова підтримка об'єктів житлово-комунального господарства</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</si>
  <si>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№30 (зі змінами)</t>
  </si>
  <si>
    <t>Фінансова підтримка громадських організацій інвалідів та ветеранів</t>
  </si>
  <si>
    <t>Інші культурно-освітні заклади та заходи</t>
  </si>
  <si>
    <t>Лікарні</t>
  </si>
  <si>
    <t>Поліклініки і амбулаторії</t>
  </si>
  <si>
    <t>Загальні та спеціалізовані стоматологічні поліклініки</t>
  </si>
  <si>
    <t>Централізовані бухгалтерії</t>
  </si>
  <si>
    <t>091209</t>
  </si>
  <si>
    <t>250908</t>
  </si>
  <si>
    <t>Надання пільгового довгострокового кредиту громадянам на будівництво (реконструкцію) та придбання житла</t>
  </si>
  <si>
    <t>070401</t>
  </si>
  <si>
    <t>Позашкільні заклади освіти, заходи із позашкільної роботи з дітьми</t>
  </si>
  <si>
    <t>Соціальні програми і заходи державних органів у справах  молоді</t>
  </si>
  <si>
    <t>240601</t>
  </si>
  <si>
    <t>Кінематографія</t>
  </si>
  <si>
    <t>120100</t>
  </si>
  <si>
    <t>Телебачення та радіомовлення</t>
  </si>
  <si>
    <t>170102</t>
  </si>
  <si>
    <t>Код типової відомчої класифікації видатків</t>
  </si>
  <si>
    <t>Код тимчасової класифікації видатків та кредитування</t>
  </si>
  <si>
    <t>Назва головного розпорядника коштів, найменування коду тимчасової класифікації видатків та кредитування місцевих бюджетів</t>
  </si>
  <si>
    <t>Департамент фінансової та бюджетної політики Запорізької міської ради</t>
  </si>
  <si>
    <t>Виконавчий комітет міської ради</t>
  </si>
  <si>
    <t>150118</t>
  </si>
  <si>
    <t>Районна адміністрація Запорізької міської ради по Ленінському району</t>
  </si>
  <si>
    <t>160101</t>
  </si>
  <si>
    <t>Землеустрій</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</si>
  <si>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</si>
  <si>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</si>
  <si>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</si>
  <si>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</si>
  <si>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</si>
  <si>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</si>
  <si>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</si>
  <si>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</si>
  <si>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</si>
  <si>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Управління з питань попередження надзвичайних ситуацій та цивільного захисту населення Запорізької міської ради</t>
  </si>
  <si>
    <t>Департамент комунальної власності та приватизації Запорізької міської ради</t>
  </si>
  <si>
    <t>Управління культури і мистецтв Запорізької міської ради</t>
  </si>
  <si>
    <t>Департамент архітектури та містобудування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</si>
  <si>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</si>
  <si>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</si>
  <si>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</si>
  <si>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Управління з питань земельних відносин Запорізької міської ради</t>
  </si>
  <si>
    <t>Загальний фонд</t>
  </si>
  <si>
    <t>Найменування програми</t>
  </si>
  <si>
    <t>Сума</t>
  </si>
  <si>
    <t>Спеціальний фонд</t>
  </si>
  <si>
    <t xml:space="preserve">Разом </t>
  </si>
  <si>
    <t>(грн.)</t>
  </si>
  <si>
    <t>Всього</t>
  </si>
  <si>
    <t>070101</t>
  </si>
  <si>
    <t>070201</t>
  </si>
  <si>
    <t>070202</t>
  </si>
  <si>
    <t>091108</t>
  </si>
  <si>
    <t>240900</t>
  </si>
  <si>
    <t>080101</t>
  </si>
  <si>
    <t>080300</t>
  </si>
  <si>
    <t>080500</t>
  </si>
  <si>
    <t>081004</t>
  </si>
  <si>
    <t>081009</t>
  </si>
  <si>
    <t>250404</t>
  </si>
  <si>
    <t>120201</t>
  </si>
  <si>
    <t>091101</t>
  </si>
  <si>
    <t>091102</t>
  </si>
  <si>
    <t>091103</t>
  </si>
  <si>
    <t>170603</t>
  </si>
  <si>
    <t>Інші заходи у сфері електротранспорту</t>
  </si>
  <si>
    <t>150101</t>
  </si>
  <si>
    <t>Капітальні вкладення</t>
  </si>
  <si>
    <t>090412</t>
  </si>
  <si>
    <t>170203</t>
  </si>
  <si>
    <t>210105</t>
  </si>
  <si>
    <t>Видатки на запобігання та ліквідацію надзвичайних ситуацій та наслідків стихійного лиха</t>
  </si>
  <si>
    <t>210110</t>
  </si>
  <si>
    <t xml:space="preserve">Заходи з організації рятування на водах </t>
  </si>
  <si>
    <t>Інші видатки</t>
  </si>
  <si>
    <t>Інші видатки на соціальний захист населення</t>
  </si>
  <si>
    <t>100203</t>
  </si>
  <si>
    <t>Благоустрій міст, сіл, селищ</t>
  </si>
  <si>
    <t>170703</t>
  </si>
  <si>
    <t>Видатки на проведення робіт, пов'язаних із будівництвом, реконструкцією, ремонтом і утриманням автомобільних доріг</t>
  </si>
  <si>
    <t>180409</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</si>
  <si>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</si>
  <si>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</si>
  <si>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250344</t>
  </si>
  <si>
    <t>180404</t>
  </si>
  <si>
    <t>Заходи з оздоровлення та відпочинку дітей, крім заходів на оздоровлення дітей,що здійснюються за рахунок коштів на оздоровлення громадян, які постраждали внаслідок Чорнобильської катастрофи</t>
  </si>
  <si>
    <t>Періодичні видання (газети і журнали)</t>
  </si>
  <si>
    <t>Цільові фонди, утворені органами місцевого самоврядування</t>
  </si>
  <si>
    <t>Охорона та раціональне використання природних ресурсів</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</si>
  <si>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</si>
  <si>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</si>
  <si>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</si>
  <si>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130107</t>
  </si>
  <si>
    <t>080203</t>
  </si>
  <si>
    <t>081002</t>
  </si>
  <si>
    <t>Інші заходи по охороні здоров'я</t>
  </si>
  <si>
    <t>100102</t>
  </si>
  <si>
    <t>Капітальний ремонт житлового фонду місцевих органів влади</t>
  </si>
  <si>
    <t>Благоустрій сіл, селищ, міст</t>
  </si>
  <si>
    <t>170602</t>
  </si>
  <si>
    <t>Програма по похованню померлих безрідних та невідомих громадян міста на 2012-2014 роки</t>
  </si>
  <si>
    <t>Інші заклади освіти</t>
  </si>
  <si>
    <t>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t>
  </si>
  <si>
    <t>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(зі змінами)</t>
  </si>
  <si>
    <t xml:space="preserve">Програма розвитку "Центрального парку культури та відпочинку "Дубовий гай" на 2014-2015 роки, затверджена рішенням міської ради від 05.11.2014 № 14 </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</si>
  <si>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</si>
  <si>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</si>
  <si>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</si>
  <si>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</si>
  <si>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</si>
  <si>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</si>
  <si>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до рішення  міської ради</t>
  </si>
  <si>
    <t xml:space="preserve">Додаток 7                           </t>
  </si>
  <si>
    <t>Програма економічного і соціального розвитку м.Запоріжжя на 2014 рік, затверджена рішенням міської ради від          №</t>
  </si>
  <si>
    <t>070806</t>
  </si>
  <si>
    <t>Центри здоров'я і заходи у сфері санітарної освіти</t>
  </si>
  <si>
    <r>
      <t xml:space="preserve">"Програма розвитку охорони здоров'я міста Запоріжжя" на період 2013-2015 роки, затверджена рішенням міської ради від 31.01.2014 № 26 (зі змінами) </t>
    </r>
    <r>
      <rPr>
        <sz val="12"/>
        <color indexed="60"/>
        <rFont val="Times New Roman"/>
        <family val="1"/>
      </rPr>
      <t>- погашення кредиторської заборгованості за минулий рік</t>
    </r>
  </si>
  <si>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  (зі змінами)</t>
  </si>
  <si>
    <t>Міська програма "Оцінка вартості пам'яток історії та монументального мистецтва в місті Запоріжжя на 2014 рік"  затверджена рішенням міської ради від 31.01.2014 № 25</t>
  </si>
  <si>
    <t>Інші природоохоронні заходи</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</si>
  <si>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31.01.2014  № 12 (зі змінами)</t>
  </si>
  <si>
    <t>Програма будівництва та реконструкції об'єктів міста Запоріжжя на 2012 рік</t>
  </si>
  <si>
    <t>Програма придбання житла для багатодітної родини на 2012 рік</t>
  </si>
  <si>
    <t>Програма посилення контролю за станом громадського порядку  на 2012 рік</t>
  </si>
  <si>
    <t>Надання медичної допомоги населенню в міських лікарнях на період  2012-2014 роки</t>
  </si>
  <si>
    <t>Надання первинної медико-санітарної допомоги населенню в самостійних поліклініках міста на період 2012-2014 роки</t>
  </si>
  <si>
    <t>Програма компенсації пільгових перевезень окремих категорій громадян автомобільним транспортом до садово-огородніх ділянок на 2012-2014 роки</t>
  </si>
  <si>
    <t>03</t>
  </si>
  <si>
    <t>90</t>
  </si>
  <si>
    <t>91</t>
  </si>
  <si>
    <t>92</t>
  </si>
  <si>
    <t>93</t>
  </si>
  <si>
    <t>94</t>
  </si>
  <si>
    <t>95</t>
  </si>
  <si>
    <t>96</t>
  </si>
  <si>
    <t>10</t>
  </si>
  <si>
    <t>14</t>
  </si>
  <si>
    <t>15</t>
  </si>
  <si>
    <t>67</t>
  </si>
  <si>
    <t>40</t>
  </si>
  <si>
    <t>45</t>
  </si>
  <si>
    <t>32</t>
  </si>
  <si>
    <t>24</t>
  </si>
  <si>
    <t>65</t>
  </si>
  <si>
    <t>48</t>
  </si>
  <si>
    <t>60</t>
  </si>
  <si>
    <t>75</t>
  </si>
  <si>
    <t>73</t>
  </si>
  <si>
    <t>56</t>
  </si>
  <si>
    <t>130110</t>
  </si>
  <si>
    <t>Фінансова підтримка спортивних споруд</t>
  </si>
  <si>
    <t>130102</t>
  </si>
  <si>
    <t>Проведення навчально-тренувальних зборів і змагань</t>
  </si>
  <si>
    <t>110102</t>
  </si>
  <si>
    <t>Театри</t>
  </si>
  <si>
    <t>110201</t>
  </si>
  <si>
    <t>Бібліотеки</t>
  </si>
  <si>
    <t>091204</t>
  </si>
  <si>
    <t>Територіальні центри соціального обслуговування (надання соціальних послуг)</t>
  </si>
  <si>
    <t>010116</t>
  </si>
  <si>
    <t>Органи місцевого самоврядування</t>
  </si>
  <si>
    <t>110205</t>
  </si>
  <si>
    <t>Школи естетичного виховання дітей</t>
  </si>
  <si>
    <t>110204</t>
  </si>
  <si>
    <t>Палаци і будинки культури, клуби та інші заклади клубного типу</t>
  </si>
  <si>
    <t>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2012-2014 роках</t>
  </si>
  <si>
    <t>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2012-2014 роках</t>
  </si>
  <si>
    <t>Управління розвитку підприємництва та дозвільних послуг Запорізької міської ради</t>
  </si>
  <si>
    <t>Керівництво і управління в галузі охорони здоров"я міста Запоріжжя на період 2012-2014 роки</t>
  </si>
  <si>
    <t>Ефективне управління у галузі техногенно-екологічної безпеки, цивільного захисту та надзвичайних ситуацій у 2012-2014 роках</t>
  </si>
  <si>
    <t>20</t>
  </si>
  <si>
    <t>Здійснення повноважень органів місцевого самоврядування у справах дітей на 2012-2014 роки</t>
  </si>
  <si>
    <t>Здійснення повноважень органів місцевого самоврядування в частині постійного самоврядного контролю у сфері благоустрою міста Запоріжжя на 2012-2014 роки</t>
  </si>
  <si>
    <t>Керівництво і управління в галузі культури та мистецтв м.Запоріжжя на 2012-2014 роки</t>
  </si>
  <si>
    <t>Служба (управління) у справах дітей Запорізької міської ради</t>
  </si>
  <si>
    <t>Керівництво і управління в галузі охорони навколишнього середовища на 2012-2014 роки</t>
  </si>
  <si>
    <t>33</t>
  </si>
  <si>
    <t>Управління реєстрації та єдиного реєстру Запорізької міської ради</t>
  </si>
  <si>
    <t>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2012-2014 роки</t>
  </si>
  <si>
    <t>Забезпечення керівництва та управління в галузі бюджету та фінансів на 2012-2014 роки</t>
  </si>
  <si>
    <t>Інспекція з благоустрою Запорізької міської ради</t>
  </si>
  <si>
    <t>23</t>
  </si>
  <si>
    <t>Управління з питань правового забезпечення роботи галузей міського господарства Запорізької міської ради</t>
  </si>
  <si>
    <t>Керівництво і управління у сфері правового забезпечення роботи галузей міського господарства Запорізької міської ради на період 2012-2014 роки</t>
  </si>
  <si>
    <t>Програма "Здійснення ефективного управління в галузі освіти і науки, молоді та спорту на 2012-2014 роки"</t>
  </si>
  <si>
    <t>Утримання та навчально-тренувальна робота дитячо-юнацьких спортивних шкіл</t>
  </si>
  <si>
    <t>Видатки на проведення виборів народних депутатів Автономної Республіки Крим, місцевих рад, сільських, селищних, міських голів</t>
  </si>
  <si>
    <t>76</t>
  </si>
  <si>
    <t>Обслуговування  боргу</t>
  </si>
  <si>
    <t>Субвенція з місцевого бюджету до державного бюджету на виконання програм соціально-економічного  та культурного розвитку регіонів</t>
  </si>
  <si>
    <t>Програма підтримки громадських ініціатив в м.Запоріжжі на 2012 рік</t>
  </si>
  <si>
    <t xml:space="preserve">                                     Додаток 8</t>
  </si>
  <si>
    <t xml:space="preserve">                                     до рішення міської ради</t>
  </si>
  <si>
    <t xml:space="preserve">Програма будівництва  об'єкту благоустрою (мобільної туалетної кабіни) в парку Металургів м.Запоріжжя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</si>
  <si>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</si>
  <si>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</si>
  <si>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</si>
  <si>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забезпечення громадської безпеки і профілактики злочинності у м.Запоріжжі, розвитку матеріально-технічної бази підрозділу ВВ МВС України військової частини 3033 на 2012 рік</t>
  </si>
  <si>
    <t>Житлове будівництво та придбання житла для окремих категорій населення</t>
  </si>
  <si>
    <r>
      <t xml:space="preserve">Програма розвитку земельних відносин у місті Запоріжжя на 2014 рік, затверджена рішенням </t>
    </r>
    <r>
      <rPr>
        <sz val="11"/>
        <rFont val="Times New Roman"/>
        <family val="1"/>
      </rPr>
      <t>міської ради від 26.03.2014 № 7</t>
    </r>
  </si>
  <si>
    <t>Програма  використання коштів цільового фонду міської ради на 2014 рік, затверджена рішенням міської ради від 31.01.2014 №7 (зі змінами)</t>
  </si>
  <si>
    <t>180410</t>
  </si>
  <si>
    <t>Інші заходи, пов'язані з економічною діяльністю</t>
  </si>
  <si>
    <t>170103</t>
  </si>
  <si>
    <t>Інші заходи у сфері автомобільного транспорту</t>
  </si>
  <si>
    <t>Програма створення та ведення містобудівного кадастру міста Запоріжжя, затверджена рішенням міської ради від 31.01.2014 №20 (зі змінами)</t>
  </si>
  <si>
    <t>Програма "Фінансування заходів із придбання житла для окремих категорій населення у 2012 році"</t>
  </si>
  <si>
    <t>інші видатки</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</si>
  <si>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</si>
  <si>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</si>
  <si>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Фінансування енергозберігаючих заходів</t>
  </si>
  <si>
    <t>171000</t>
  </si>
  <si>
    <t>Діяльність і послуги, не віднесені до інших категорій</t>
  </si>
  <si>
    <t>100101</t>
  </si>
  <si>
    <t>Житлово-експлуатаційне господарство</t>
  </si>
  <si>
    <t>Підтримка малого і середнього підприємництва</t>
  </si>
  <si>
    <t xml:space="preserve">Видатки на запобігання та ліквідацію надзвичайних ситуацій та наслідків стихійного лиха </t>
  </si>
  <si>
    <t>Компенсацйні виплати на пільговий проїзд електротранспортом окремим категоріям громадян</t>
  </si>
  <si>
    <t>Цільові фонди, утворені Верховною Радою Автономної Республіки Крим, органами місцевого самоврядування і місцевими органами виконавчої влади</t>
  </si>
  <si>
    <t>Управління комунального господарства та дорожнього будівництва Запорізької міської ради</t>
  </si>
  <si>
    <t>41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</si>
  <si>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</si>
  <si>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Департамент житлово-комунального господарства Запорізької міської ради</t>
  </si>
  <si>
    <t xml:space="preserve">Програма розвитку та утримання житлово-комунального господарства м.Запоріжжя на 2013-2015 роки </t>
  </si>
  <si>
    <t>Програма "Освіта"</t>
  </si>
  <si>
    <t>Міська комплексна програма соціального захисту населення міста Запоріжжя</t>
  </si>
  <si>
    <t>Перинатальні центри, пологові будинки</t>
  </si>
  <si>
    <t>Забезпечення централізованих заходів з лікування хворих на цукровий та нецукровий діабет</t>
  </si>
  <si>
    <t>Програма розвитку та утримання житлово-комунального господарства м.Запоріжжя на 2013-2015 роки ( в тому числі погашення заборгованості минулого року)</t>
  </si>
  <si>
    <t xml:space="preserve">Компенсаційні виплати на пільговий проїзд автомобільним транспортом окремим категоріям громадян </t>
  </si>
  <si>
    <t>Компенсаційні виплати на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</si>
  <si>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</si>
  <si>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</si>
  <si>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</si>
  <si>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130112</t>
  </si>
  <si>
    <t>130106</t>
  </si>
  <si>
    <t>Проведення навчально-тренувальних зборів і змагань з неолімпійських видів спорту</t>
  </si>
  <si>
    <t>Програма підтримки сім'ї та молоді м. Запоріжжя, затверджена рішенням міської ради від 25.02.2013 № 25</t>
  </si>
  <si>
    <t>Програма "Фізична культура та спорт", затверджена рішенням міської ради від 25.02.2013 № 25</t>
  </si>
  <si>
    <t>"Програма надання медичної допомоги окремим верствам населення" на період  2013-2015 роківзатверджена рішенням міської ради від 30.01.2013 № 21</t>
  </si>
  <si>
    <t>"Програма надання медичної допомоги хворим на цукровий діабет" на період  2013-2015 роківзатверджена рішенням міської ради від 30.01.2013 № 21</t>
  </si>
  <si>
    <t xml:space="preserve">Міська комплексна програма соціального захисту населення міста Запоріжжя затверджена рішенням міської ради від 30.01.2013 № 24 </t>
  </si>
  <si>
    <t xml:space="preserve">Міська комплексна програма соціального захисту населення міста Запоріжжязатверджена рішенням міської ради від 30.01.2013 № 24 </t>
  </si>
  <si>
    <t>Міська програма "Розвиток культури і мистецтв у місті Запоріжжя на 2013-2015 роки", затверджена рішенням міської ради від 30.01.2013 № 40</t>
  </si>
  <si>
    <t>Міська програма "Розвиток культури і мистецтв у місті Запоріжжя на 2013-2015 роки" затверджена рішенням міської ради від 30.01.2013 № 40</t>
  </si>
  <si>
    <t>Міська програма "Поліпшення кінообслуговування населення міста Запоріжжя на 2013-2015 роки" затверджена рішенням міської ради від 30.01.2013 № 40</t>
  </si>
  <si>
    <t>Міська програма "Оцінка вартості пам'яток історії та монументального мистецтва в місті Запоріжжя на 2013 рік"  затверджена рішенням міської ради від 30.01.2013 № 40</t>
  </si>
  <si>
    <t>Програма проведення в м.Запоріжжі Покровського ярмарку, затверджена рішенням міської ради від 24.12.2012 № 35</t>
  </si>
  <si>
    <t>Програма економічного і соціального розвитку м.Запоріжжя на 2013 рік, затверджена рішенням міської ради від 24.12.2012 № 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</si>
  <si>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t>
  </si>
  <si>
    <t>Програма підтримки діяльності органів самоорганізації населення міста Запоріжжя, затверджена рішенням міської ради від 30.01.2013 № 26</t>
  </si>
  <si>
    <t>Міська цільова програма забезпечення погашення заборгованості при реалізації Програми придбання житла для воїнів-інтернаціоналістів у 2012 році, затверджена рішенням міської ради від 30.01.2013 № 13</t>
  </si>
  <si>
    <t>Програма "Фінансова підтримка комунального спортивно-видовищного підприємства "Юність", затверджена рішенням міської ради від 30.01.2013 № 25</t>
  </si>
  <si>
    <t>Міська цільова Програма "Фінансова допомога комунальному підприємству "Управління капітального будівництва" у 2013 році", затверджена рішенням міської ради від 30.01.2013 № 6</t>
  </si>
  <si>
    <t>Міська цільова Програма "Фінансування заходів з дератизації відкритих стацій та дезінсекції анофелогенних водоймищ м.Запоріжжя на 2013 рік", затверджена рішенням міської ради від 30.01.2013 № 41</t>
  </si>
  <si>
    <t>Програма "Здійснення заходів щодо проведення незалежної оцінки об'єктів м.Запоріжжя на 2012 рік" (погашення заборгованості минулого року), затверджена рішенням міської ради від 23.02.2013 № 52</t>
  </si>
  <si>
    <t>Програма сприяння діяльності ветеранів спорту у здійсненні фізкультурно-спортивних заходів на 2013 рік, затверджена рішенням міської ради від 25.02.2013 № 51</t>
  </si>
  <si>
    <t>100106</t>
  </si>
  <si>
    <t>Капітальний ремонт житлового фонду об'єднань співвласників багатоквартирних будинків</t>
  </si>
  <si>
    <t>Програма сприяння органів місцевого самоврядування призову громадян у 2013 році, затверджена рішенням міської ради від 23.02.2012 № 19 (зі змінами)</t>
  </si>
  <si>
    <t>Програма "Позашкільна освіта", затверджена рішенням міської ради від 25.02.2013 № 25 (зі змінами)</t>
  </si>
  <si>
    <t>Програма використання коштів депутатського фонду, затверджена рішенням міської ради від 30.01.2013 № 8 (зі змінами)</t>
  </si>
  <si>
    <t>Програма розвитку туризму у місті Запоріжжя на 2014 - 2016 роки, затверджена рішенням міської ради від 23.04.2014 № 20</t>
  </si>
  <si>
    <t>Міська цільова програма "Організація перевезень мешканців міста Запоріжжя, які мають пільги на проїзд в пасажирському автомобільному транспорті, до садово-городніх ділянок у сезон 2014 року", затверджена рішенням міської ради від 23.04.2014 № 26</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</si>
  <si>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м.Запоріжжя на 2014 - 2016 роки, затверджена рішенням міської ради від 23.04.2014  № 11</t>
  </si>
  <si>
    <t>Програма економічного і соціального розвитку м.Запоріжжя на 2013 рік, затверджена рішенням міської ради від 24.12.2012 № 8 (зі змінами)</t>
  </si>
  <si>
    <t>Міська цільова програма впровадження та забезпечення працездатності систем об'єктивного відеоспостередження у м.Запоріжжі, затверджена рішенням міської ради від 24.12.2012 №15 (зі змінами)</t>
  </si>
  <si>
    <t>Програма реконструкція об'єктів соціальної сфери міста Запоріжжя на 2012-2014 роки, затверджена рішенням міської ради від 24.12.2012 № 43 (зі змінами)</t>
  </si>
  <si>
    <t>Програма розвитку та утримання житлово-комунального господарства м.Запоріжжя на 2013-2015 роки, затверджена рішенням міської ради від 30.01.2013 № 17 (зі змінами)</t>
  </si>
  <si>
    <t>Міська цільова програма запобігання та ліквідації надзвичайних ситуацій техногенного та природного характеру, організація рятування на водах на 2013-2015 роки, затверджена рішенням міської ради від 30.01.2013 № 16 (зі змінами)</t>
  </si>
  <si>
    <t>Міська цільова Програма "Будівництво, реконструкція та ліквідація аварійного стану об'єктів міста Запоріжжя на 2013-2015 роки", затверджена рішенням міської ради від 30.01.2013 № 6 (зі змінами)</t>
  </si>
  <si>
    <t>Програма "Організація та проведення заходів щодо відзначення загальнодержавних, міських та районних свят на 2013 рік", затверджена рішенням міської ради від 27.03.2013   № 8</t>
  </si>
  <si>
    <t>Програма "Освіта", затверджена рішенням міської ради від 25.02.2013 № 25 (зі змінами)</t>
  </si>
  <si>
    <t>Методична робота, інші заходи у сфері народної освіти</t>
  </si>
  <si>
    <t>070802</t>
  </si>
  <si>
    <t>070805</t>
  </si>
  <si>
    <t>Групи централізованого господарського обслуговування</t>
  </si>
  <si>
    <t>Програма "Оздоровлення та відпочинок", затверджена рішенням міської ради від 25.02.2013 № 25 (зі змінами)</t>
  </si>
  <si>
    <t>Програма  використання коштів цільового фонду міської ради на 2013 рік, затверджена рішенням міської ради від 24.12.2012 № 12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</si>
  <si>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</si>
  <si>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 13</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</si>
  <si>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</si>
  <si>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</si>
  <si>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</si>
  <si>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</si>
  <si>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100209</t>
  </si>
  <si>
    <r>
      <t>Заходи, пов</t>
    </r>
    <r>
      <rPr>
        <sz val="12"/>
        <rFont val="Arial"/>
        <family val="2"/>
      </rPr>
      <t>'</t>
    </r>
    <r>
      <rPr>
        <sz val="12"/>
        <rFont val="Times New Roman"/>
        <family val="1"/>
      </rPr>
      <t>язані з поліпшенням питної води</t>
    </r>
  </si>
  <si>
    <t>Інші субвенції</t>
  </si>
  <si>
    <t xml:space="preserve">Програма "Про забезпечення екологічної безпеки міста на 2013-2015 роки", затверджена рішенням міської ради від 24.12.2012 № 23 (зі змінами) </t>
  </si>
  <si>
    <t>Програма забезпечення проведення аукціонів з продажу права оренди та у власність земельних ділянок на території м.Запоріжжя на 2013-2015 роки, затверджена рішенням міської ради від 24.12.2012 № 84</t>
  </si>
  <si>
    <t>"Програма розвитку охорони здоров'я міста Запоріжжя" на період 2013-2015 роки, затверджена рішенням міської ради від 30.01.2013 № 21 (зі змінами)</t>
  </si>
  <si>
    <t>Програма "Розвитку ендопротезування великих суглобів в місті Запоріжжі на 2013-2017 роки"затверджена рішенням міської ради від 24.12.2012 № 54</t>
  </si>
  <si>
    <t>26</t>
  </si>
  <si>
    <t>Відділ охорони культурної спадщини Запорізької міської ради</t>
  </si>
  <si>
    <t>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25.02.2013 № 32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</si>
  <si>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№13</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</si>
  <si>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25.02.2013 №14</t>
  </si>
  <si>
    <t>Міська програма "Загальноміські святкові заходи та акції на 2013 рік" затверджена рішенням міської ради від 30.01.2013 №40</t>
  </si>
  <si>
    <t>Програма економічного і соціального розвитку м.Запоріжжя на 2013 рік, затверджена рішенням міської ради від 24.12.2012 №8 (зі змінами)</t>
  </si>
  <si>
    <t>Програма розвитку земельних відносин у місті Запоріжжя на 2013 рік, затверджена рішенням міської ради від 25.02.2013 №26</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</si>
  <si>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</si>
  <si>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</si>
  <si>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t>
  </si>
  <si>
    <t>Програма зайнятості населення міста Запоріжжя на період до 2017 року, затверджена рішенням міської ради від 29.05.2013 № 13</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</si>
  <si>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 (зі змінами)</t>
  </si>
  <si>
    <t xml:space="preserve">                                     ___________ № _________</t>
  </si>
  <si>
    <t>Програма "Фінансова підтримка КНВП "Екоцентр" на погашення податкового боргу на 2013 рік", затверджена рішенням міської ради від 27.03.2013 № 34</t>
  </si>
  <si>
    <t>Програма створення та ведення містобудівного кадастру міста Запоріжжя на 2013-2015 роки, затверджена рішенням міської ради від 25.02.2013 № 28 (зі змінами)</t>
  </si>
  <si>
    <t>Програма раціонального використання території та комплексного містобудівного розвитку міста на 2013-2015 роки, затверджена рішенням міської ради від 25.02.2013 № 27 (зі змінами)</t>
  </si>
  <si>
    <t>Програма обслуговування боргу бюджету міста та підтримки муніципального кредитного рейтингу, затверджена рішенням міської ради від 25.02.2013 № 11 (зі змінами)</t>
  </si>
  <si>
    <t>Програма розвитку та утримання житлово-комунального господарства м.Запоріжжя на 2014-2016 роки, затверджена рішенням міської ради від 31.01.2014 № 9 (зі змінами)</t>
  </si>
  <si>
    <t>Програма розвитку та утримання житлово-комунального господарства м.Запоріжжя на 2014-2016 роки, затверджена рішенням міської ради від 31.01.2014 №9 (зі змінами)</t>
  </si>
  <si>
    <t>Міська цільова програма надання фінансової підтримки комунальному підприємству "Центр управління інформаційними техннологіями на 2013 рік", затверджена рішенням міської ради від 29.11.2013 № 45</t>
  </si>
  <si>
    <t>Програма економічного і соціального розвитку м.Запоріжжя на 2014 рік (в тому числі погашення заборгованості минулого року)</t>
  </si>
  <si>
    <t>Міська цільова програма впровадження та забезпечення працездатності систем об'єктивного відеоспостередження у м.Запоріжжі (в тому числі погашення заборгованості минулого року)</t>
  </si>
  <si>
    <t>Програма використання коштів депутатського фонду ( в тому числі погашення заборгованості минулого року)</t>
  </si>
  <si>
    <t>Міська цільова програма роботи й розвитку газети Запорізької міської ради "Запорозька Січ" (в тому числі погашення заборгованості минулого року)</t>
  </si>
  <si>
    <t>Програма  використання коштів цільового фонду міської ради на 2014 рік (в тому числі погашення кредиторської заборгованості минулого року)</t>
  </si>
  <si>
    <t>Міська цільова програма надання автотранспортних та господарських послуг структурним підрозділам та виконавчому комітету міської ради ( в тому числі погашення кредиторської заборгованості)</t>
  </si>
  <si>
    <t>Програма "Освіта" (в тому числі погашення кредиторської заборгованості)</t>
  </si>
  <si>
    <t>Програма "Позашкільна освіта" (в тому числі погашення кредиторської заборгованості)</t>
  </si>
  <si>
    <t>Програма "Фізична культура та спорт" (в тому числі погашення заборгованості минулого року)</t>
  </si>
  <si>
    <t>Програма підтримки сім'ї та молоді м. Запоріжжя ( в тому числі погашення кредиторської заборгованості)</t>
  </si>
  <si>
    <t>Програма "Фізична культура та спорт"(в тому сичлі погашення кредиторської заборгованості)</t>
  </si>
  <si>
    <t>Програма "Про забезпечення екологічної безпеки міста на 2013-2015 роки" ( в тому числі погашення заборгованості минулого року)</t>
  </si>
  <si>
    <t>"Програма розвитку охорони здоров'я міста Запоріжжя" на період 2013-2015 років (в тому числі погашення заборгованості минулого року)</t>
  </si>
  <si>
    <t>Міська комплексна програма соціального захисту населення міста Запоріжжя (в тому числі погашення заборгованості минулого року)</t>
  </si>
  <si>
    <t>Програма "Здійснення соціальної роботи з дітьми, молоддю та сім'ями м. Запоріжжя, які опинились у складних життєвих обставинах та потребують сторонньої допомоги"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</si>
  <si>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</si>
  <si>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</si>
  <si>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Програма реконструкції ринку Соцміста КП "Запоріжринок" по вул.Рекордна, 2  у м.Запоріжжя на 2014 рік (в тому числі погашення забргованості минулого року)</t>
  </si>
  <si>
    <t xml:space="preserve"> Програма сприяння розвитку малого та середнього підприємництва у місті Запоріжжі на 2013-2015 роки ( в тому числі погашення заборгованості минулого року)</t>
  </si>
  <si>
    <t>Міська цільова програма житлового будівництва та придбання житла для окремих категорій населення на 2013-2015 роки ( в тому числі погашення заборгованості минулого року)</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</si>
  <si>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2013-2015 року ( в тому числі погашення заборгованості минулого року)</t>
  </si>
  <si>
    <t>Міська цільова програма підвищення ефективності та посилення контролю за станом громадського порядку (в тому числі погашення заборгованості минулого року)</t>
  </si>
  <si>
    <t>Перелік місцевих програм, які фінансуватимуться за рахунок коштів бюджету міста у 2014 році</t>
  </si>
  <si>
    <t xml:space="preserve">Програма "Організація та проведення заходів щодо відзначення загальнодержавних, міських та районних свят ", затверджена рішенням міської ради від     № </t>
  </si>
  <si>
    <t xml:space="preserve">Програма підтримки діяльності органів самоорганізації населення міста Запоріжжя, затверджена рішенням міської ради від       № </t>
  </si>
  <si>
    <t>Програма сприяння органів місцевого самоврядування призову громадян у 2013 році, затверджена рішенням міської ради від 23.02.2012 № 19 зі змінами (у тому числі погашення заборгованості за минулий рік)</t>
  </si>
  <si>
    <t>Програма проведення в м.Запоріжжі Покровського ярмарку, затверджена рішенням міської ради від 24.12.2012 № 35 зі змінами ( у тому числі погашення заборгованості за минулий рік)</t>
  </si>
  <si>
    <t>Програма зайнятості населення міста Запоріжжя на період до 2017 року, затверджена рішенням міської ради від 29.05.2013 № 13 (зі змінами)</t>
  </si>
  <si>
    <t>комітети</t>
  </si>
  <si>
    <t>призов</t>
  </si>
  <si>
    <t>свята</t>
  </si>
  <si>
    <t>дератизація</t>
  </si>
  <si>
    <t>інвентариз</t>
  </si>
  <si>
    <t>охорона</t>
  </si>
  <si>
    <t xml:space="preserve">Програма підтримки муніципального кредитного рейтингу, затверджена рішенням міської ради від   № </t>
  </si>
  <si>
    <t xml:space="preserve">Програма "Про забезпечення екологічної безпеки міста на 2014-2016 роки", затверджена рішенням міської ради від     № </t>
  </si>
  <si>
    <t>ярмарка</t>
  </si>
  <si>
    <t>зайнятість</t>
  </si>
  <si>
    <t xml:space="preserve">спец не считает </t>
  </si>
  <si>
    <t xml:space="preserve">рейтинг </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</si>
  <si>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  </t>
  </si>
  <si>
    <t>автогосп</t>
  </si>
  <si>
    <t xml:space="preserve">Програма  використання коштів цільового фонду міської ради на 2014 рік, затверджена рішенням міської ради від  № </t>
  </si>
  <si>
    <t xml:space="preserve">Програма  використання коштів цільового фонду міської ради на 2014 рік, затверджена рішенням міської ради від № </t>
  </si>
  <si>
    <t>газета СІЧ</t>
  </si>
  <si>
    <t>Міська цільова програма впровадження та забезпечення працездатності систем об'єктивного відео спостереження у м.Запоріжжі, затверджена рішенням міської ради від     №</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</si>
</sst>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0.0000"/>
    <numFmt numFmtId="198" formatCode="0.0"/>
    <numFmt numFmtId="199" formatCode="0.00000000"/>
    <numFmt numFmtId="200" formatCode="0.0000000"/>
    <numFmt numFmtId="201" formatCode="0.000000"/>
    <numFmt numFmtId="202" formatCode="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FC19]d\ mmmm\ yyyy\ &quot;г.&quot;"/>
    <numFmt numFmtId="208" formatCode="000000"/>
  </numFmts>
  <fonts count="66">
    <font>
      <sz val="10"/>
      <name val="Arial"/>
      <family val="0"/>
    </font>
    <font>
      <sz val="12"/>
      <name val="Times New Roman"/>
      <family val="1"/>
    </font>
    <font>
      <b/>
      <sz val="12"/>
      <name val="Times New Roman"/>
      <family val="1"/>
    </font>
    <font>
      <sz val="18"/>
      <name val="Times New Roman"/>
      <family val="1"/>
    </font>
    <font>
      <u val="single"/>
      <sz val="6"/>
      <color indexed="12"/>
      <name val="Arial"/>
      <family val="2"/>
    </font>
    <font>
      <u val="single"/>
      <sz val="6"/>
      <color indexed="36"/>
      <name val="Arial"/>
      <family val="2"/>
    </font>
    <font>
      <sz val="8"/>
      <name val="Times New Roman"/>
      <family val="1"/>
    </font>
    <font>
      <sz val="16"/>
      <name val="Arial Cyr"/>
      <family val="0"/>
    </font>
    <font>
      <sz val="10"/>
      <name val="Arial Cyr"/>
      <family val="0"/>
    </font>
    <font>
      <sz val="20"/>
      <name val="Times New Roman"/>
      <family val="1"/>
    </font>
    <font>
      <sz val="22"/>
      <name val="Times New Roman"/>
      <family val="1"/>
    </font>
    <font>
      <sz val="12"/>
      <color indexed="61"/>
      <name val="Times New Roman"/>
      <family val="1"/>
    </font>
    <font>
      <u val="single"/>
      <sz val="12"/>
      <name val="Times New Roman"/>
      <family val="1"/>
    </font>
    <font>
      <sz val="12"/>
      <color indexed="12"/>
      <name val="Times New Roman"/>
      <family val="1"/>
    </font>
    <font>
      <sz val="11"/>
      <name val="Times New Roman"/>
      <family val="1"/>
    </font>
    <font>
      <sz val="14"/>
      <name val="Times New Roman"/>
      <family val="1"/>
    </font>
    <font>
      <sz val="12"/>
      <name val="Arial"/>
      <family val="2"/>
    </font>
    <font>
      <b/>
      <sz val="14"/>
      <name val="Times New Roman"/>
      <family val="1"/>
    </font>
    <font>
      <sz val="12"/>
      <color indexed="10"/>
      <name val="Times New Roman"/>
      <family val="1"/>
    </font>
    <font>
      <b/>
      <sz val="22"/>
      <name val="Times New Roman"/>
      <family val="1"/>
    </font>
    <font>
      <sz val="24"/>
      <name val="Times New Roman"/>
      <family val="1"/>
    </font>
    <font>
      <sz val="12"/>
      <color indexed="56"/>
      <name val="Times New Roman"/>
      <family val="1"/>
    </font>
    <font>
      <sz val="12"/>
      <color indexed="14"/>
      <name val="Times New Roman"/>
      <family val="1"/>
    </font>
    <font>
      <sz val="12"/>
      <color indexed="18"/>
      <name val="Times New Roman"/>
      <family val="1"/>
    </font>
    <font>
      <sz val="12"/>
      <color indexed="62"/>
      <name val="Times New Roman"/>
      <family val="1"/>
    </font>
    <font>
      <sz val="8"/>
      <name val="Arial"/>
      <family val="2"/>
    </font>
    <font>
      <sz val="12"/>
      <color indexed="30"/>
      <name val="Times New Roman"/>
      <family val="1"/>
    </font>
    <font>
      <b/>
      <sz val="11"/>
      <name val="Times New Roman"/>
      <family val="1"/>
    </font>
    <font>
      <b/>
      <sz val="12"/>
      <color indexed="56"/>
      <name val="Times New Roman"/>
      <family val="1"/>
    </font>
    <font>
      <sz val="14"/>
      <color indexed="30"/>
      <name val="Times New Roman"/>
      <family val="1"/>
    </font>
    <font>
      <sz val="14"/>
      <color indexed="10"/>
      <name val="Times New Roman"/>
      <family val="1"/>
    </font>
    <font>
      <sz val="12"/>
      <color indexed="17"/>
      <name val="Times New Roman"/>
      <family val="1"/>
    </font>
    <font>
      <b/>
      <sz val="12"/>
      <color indexed="17"/>
      <name val="Times New Roman"/>
      <family val="1"/>
    </font>
    <font>
      <b/>
      <sz val="14"/>
      <color indexed="30"/>
      <name val="Times New Roman"/>
      <family val="1"/>
    </font>
    <font>
      <b/>
      <sz val="14"/>
      <color indexed="10"/>
      <name val="Times New Roman"/>
      <family val="1"/>
    </font>
    <font>
      <sz val="12"/>
      <color indexed="60"/>
      <name val="Times New Roman"/>
      <family val="1"/>
    </font>
    <font>
      <sz val="18"/>
      <name val="Arial Cyr"/>
      <family val="0"/>
    </font>
    <font>
      <b/>
      <sz val="18"/>
      <name val="Arial Cyr"/>
      <family val="0"/>
    </font>
    <font>
      <sz val="20"/>
      <name val="Arial"/>
      <family val="2"/>
    </font>
    <font>
      <b/>
      <sz val="14"/>
      <color indexed="17"/>
      <name val="Times New Roman"/>
      <family val="1"/>
    </font>
    <font>
      <b/>
      <sz val="12"/>
      <color indexed="10"/>
      <name val="Times New Roman"/>
      <family val="1"/>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40"/>
      <name val="Times New Roman"/>
      <family val="1"/>
    </font>
    <font>
      <b/>
      <sz val="12"/>
      <color indexed="30"/>
      <name val="Times New Roman"/>
      <family val="1"/>
    </font>
    <font>
      <sz val="12"/>
      <color indexed="48"/>
      <name val="Times New Roman"/>
      <family val="1"/>
    </font>
    <font>
      <sz val="12"/>
      <color indexed="8"/>
      <name val="Times New Roman"/>
      <family val="1"/>
    </font>
    <font>
      <sz val="12"/>
      <color indexed="9"/>
      <name val="Times New Roman"/>
      <family val="1"/>
    </font>
    <font>
      <sz val="8"/>
      <name val="Tahoma"/>
      <family val="2"/>
    </font>
    <font>
      <b/>
      <u val="single"/>
      <sz val="2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color indexed="9"/>
      </top>
      <bottom style="thin">
        <color indexed="9"/>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1" borderId="7" applyNumberFormat="0" applyAlignment="0" applyProtection="0"/>
    <xf numFmtId="0" fontId="52" fillId="0" borderId="0" applyNumberFormat="0" applyFill="0" applyBorder="0" applyAlignment="0" applyProtection="0"/>
    <xf numFmtId="0" fontId="53" fillId="22" borderId="0" applyNumberFormat="0" applyBorder="0" applyAlignment="0" applyProtection="0"/>
    <xf numFmtId="0" fontId="8" fillId="0" borderId="0">
      <alignment/>
      <protection/>
    </xf>
    <xf numFmtId="0" fontId="5" fillId="0" borderId="0" applyNumberFormat="0" applyFill="0" applyBorder="0" applyAlignment="0" applyProtection="0"/>
    <xf numFmtId="0" fontId="54" fillId="3"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4" borderId="0" applyNumberFormat="0" applyBorder="0" applyAlignment="0" applyProtection="0"/>
  </cellStyleXfs>
  <cellXfs count="285">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3" fillId="0" borderId="0" xfId="0" applyFont="1" applyAlignment="1">
      <alignment wrapText="1"/>
    </xf>
    <xf numFmtId="0" fontId="1" fillId="0" borderId="0" xfId="0" applyFont="1" applyAlignment="1">
      <alignment horizontal="right"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1" fontId="1" fillId="0" borderId="0" xfId="0" applyNumberFormat="1" applyFont="1" applyAlignment="1">
      <alignment wrapText="1"/>
    </xf>
    <xf numFmtId="0" fontId="7" fillId="0" borderId="0" xfId="0" applyFont="1" applyAlignment="1">
      <alignment/>
    </xf>
    <xf numFmtId="1" fontId="1" fillId="0" borderId="10" xfId="0" applyNumberFormat="1" applyFont="1" applyFill="1" applyBorder="1" applyAlignment="1">
      <alignment vertical="center"/>
    </xf>
    <xf numFmtId="0" fontId="9" fillId="0" borderId="0" xfId="0" applyFont="1" applyAlignment="1">
      <alignment/>
    </xf>
    <xf numFmtId="0" fontId="10" fillId="0" borderId="0" xfId="0" applyFont="1" applyAlignment="1">
      <alignment/>
    </xf>
    <xf numFmtId="0" fontId="1" fillId="0" borderId="10" xfId="0" applyFont="1" applyFill="1" applyBorder="1" applyAlignment="1">
      <alignment horizontal="right" vertical="center"/>
    </xf>
    <xf numFmtId="0" fontId="1" fillId="0" borderId="10" xfId="0" applyFont="1" applyFill="1" applyBorder="1" applyAlignment="1">
      <alignment vertical="center"/>
    </xf>
    <xf numFmtId="1"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vertical="center" wrapText="1"/>
    </xf>
    <xf numFmtId="0" fontId="1" fillId="0" borderId="0" xfId="0" applyFont="1" applyFill="1" applyAlignment="1">
      <alignment horizontal="center" vertical="center" wrapText="1"/>
    </xf>
    <xf numFmtId="1"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 fontId="2" fillId="0" borderId="10" xfId="0" applyNumberFormat="1" applyFont="1" applyFill="1" applyBorder="1" applyAlignment="1">
      <alignment vertical="center" wrapText="1"/>
    </xf>
    <xf numFmtId="0" fontId="0" fillId="0" borderId="10" xfId="0" applyFont="1" applyFill="1" applyBorder="1" applyAlignment="1">
      <alignment wrapText="1"/>
    </xf>
    <xf numFmtId="1" fontId="2" fillId="0" borderId="10" xfId="0" applyNumberFormat="1" applyFont="1" applyFill="1" applyBorder="1" applyAlignment="1">
      <alignment vertical="center"/>
    </xf>
    <xf numFmtId="196" fontId="1" fillId="0" borderId="10" xfId="0" applyNumberFormat="1" applyFont="1" applyFill="1" applyBorder="1" applyAlignment="1">
      <alignment vertical="center"/>
    </xf>
    <xf numFmtId="0" fontId="2" fillId="0" borderId="1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1" fillId="0" borderId="10" xfId="0" applyFont="1" applyFill="1" applyBorder="1" applyAlignment="1">
      <alignment horizontal="center" vertical="center" wrapText="1"/>
    </xf>
    <xf numFmtId="1"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1" fontId="11" fillId="0" borderId="10"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1" fillId="0" borderId="10" xfId="0" applyFont="1" applyFill="1" applyBorder="1" applyAlignment="1">
      <alignment wrapText="1"/>
    </xf>
    <xf numFmtId="1" fontId="12" fillId="0" borderId="10" xfId="0" applyNumberFormat="1" applyFont="1" applyBorder="1" applyAlignment="1">
      <alignment wrapText="1"/>
    </xf>
    <xf numFmtId="0" fontId="12" fillId="0" borderId="10" xfId="0" applyFont="1" applyBorder="1" applyAlignment="1">
      <alignment wrapText="1"/>
    </xf>
    <xf numFmtId="0" fontId="13" fillId="0" borderId="0" xfId="0" applyFont="1" applyAlignment="1">
      <alignment wrapText="1"/>
    </xf>
    <xf numFmtId="1" fontId="13" fillId="0" borderId="0" xfId="0" applyNumberFormat="1" applyFont="1" applyAlignment="1">
      <alignment wrapText="1"/>
    </xf>
    <xf numFmtId="1" fontId="1" fillId="0" borderId="0" xfId="0" applyNumberFormat="1" applyFont="1" applyFill="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 fillId="24" borderId="0" xfId="0" applyFont="1" applyFill="1" applyAlignment="1">
      <alignment horizontal="center" vertical="center" wrapText="1"/>
    </xf>
    <xf numFmtId="1" fontId="1" fillId="24" borderId="0" xfId="0" applyNumberFormat="1" applyFont="1" applyFill="1" applyAlignment="1">
      <alignment horizontal="center" vertical="center" wrapText="1"/>
    </xf>
    <xf numFmtId="0" fontId="1" fillId="25" borderId="0" xfId="0" applyFont="1" applyFill="1" applyAlignment="1">
      <alignment horizontal="center" vertical="center" wrapText="1"/>
    </xf>
    <xf numFmtId="0" fontId="20" fillId="0" borderId="0" xfId="0" applyFont="1" applyAlignment="1">
      <alignment/>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0" fontId="10" fillId="0" borderId="0" xfId="0" applyFont="1" applyAlignment="1">
      <alignment/>
    </xf>
    <xf numFmtId="0" fontId="21" fillId="0" borderId="10" xfId="0" applyFont="1" applyFill="1" applyBorder="1" applyAlignment="1">
      <alignment horizontal="center" vertical="center" wrapText="1"/>
    </xf>
    <xf numFmtId="1" fontId="2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0" fontId="1" fillId="0" borderId="0" xfId="0" applyFont="1" applyFill="1" applyAlignment="1">
      <alignment wrapText="1"/>
    </xf>
    <xf numFmtId="0" fontId="6" fillId="0" borderId="10" xfId="0" applyFont="1" applyFill="1" applyBorder="1" applyAlignment="1">
      <alignment horizontal="center" vertical="center" wrapText="1"/>
    </xf>
    <xf numFmtId="0" fontId="1" fillId="0" borderId="0" xfId="0" applyFont="1" applyFill="1" applyAlignment="1">
      <alignment horizontal="center" wrapText="1"/>
    </xf>
    <xf numFmtId="0" fontId="20" fillId="0" borderId="0" xfId="0" applyFont="1" applyFill="1" applyAlignment="1">
      <alignment wrapText="1"/>
    </xf>
    <xf numFmtId="196" fontId="20" fillId="0" borderId="0" xfId="0" applyNumberFormat="1" applyFont="1" applyFill="1" applyBorder="1" applyAlignment="1">
      <alignment/>
    </xf>
    <xf numFmtId="0" fontId="1" fillId="0" borderId="0" xfId="0" applyFont="1" applyFill="1" applyAlignment="1">
      <alignment horizontal="right" wrapText="1"/>
    </xf>
    <xf numFmtId="1" fontId="17"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8" fillId="24" borderId="0" xfId="0" applyNumberFormat="1" applyFont="1" applyFill="1" applyAlignment="1">
      <alignment horizontal="center" vertical="center" wrapText="1"/>
    </xf>
    <xf numFmtId="1" fontId="1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1" fillId="25" borderId="10" xfId="0" applyNumberFormat="1" applyFont="1" applyFill="1" applyBorder="1" applyAlignment="1">
      <alignment vertical="center" wrapText="1"/>
    </xf>
    <xf numFmtId="0" fontId="17" fillId="25" borderId="0" xfId="0" applyFont="1" applyFill="1" applyBorder="1" applyAlignment="1">
      <alignment wrapText="1"/>
    </xf>
    <xf numFmtId="1" fontId="1" fillId="25" borderId="10" xfId="0" applyNumberFormat="1" applyFont="1" applyFill="1" applyBorder="1" applyAlignment="1">
      <alignment horizontal="right" vertical="center"/>
    </xf>
    <xf numFmtId="1" fontId="1" fillId="25" borderId="10" xfId="0" applyNumberFormat="1" applyFont="1" applyFill="1" applyBorder="1" applyAlignment="1">
      <alignment horizontal="right" vertical="center" wrapText="1"/>
    </xf>
    <xf numFmtId="1" fontId="11" fillId="25" borderId="10" xfId="0" applyNumberFormat="1" applyFont="1" applyFill="1" applyBorder="1" applyAlignment="1">
      <alignment vertical="center" wrapText="1"/>
    </xf>
    <xf numFmtId="0" fontId="1" fillId="25" borderId="10" xfId="0" applyFont="1" applyFill="1" applyBorder="1" applyAlignment="1">
      <alignment horizontal="right" vertical="center" wrapText="1"/>
    </xf>
    <xf numFmtId="0" fontId="1" fillId="25" borderId="10" xfId="0" applyFont="1" applyFill="1" applyBorder="1" applyAlignment="1">
      <alignment horizontal="right" vertical="center"/>
    </xf>
    <xf numFmtId="1" fontId="2" fillId="25" borderId="10" xfId="0" applyNumberFormat="1" applyFont="1" applyFill="1" applyBorder="1" applyAlignment="1">
      <alignment horizontal="right" vertical="center" wrapText="1"/>
    </xf>
    <xf numFmtId="1" fontId="26" fillId="25" borderId="10" xfId="0" applyNumberFormat="1" applyFont="1" applyFill="1" applyBorder="1" applyAlignment="1">
      <alignment horizontal="right" vertical="center" wrapText="1"/>
    </xf>
    <xf numFmtId="1" fontId="26" fillId="25" borderId="10" xfId="0" applyNumberFormat="1" applyFont="1" applyFill="1" applyBorder="1" applyAlignment="1">
      <alignment vertical="center" wrapText="1"/>
    </xf>
    <xf numFmtId="1" fontId="2" fillId="25" borderId="10" xfId="0" applyNumberFormat="1" applyFont="1" applyFill="1" applyBorder="1" applyAlignment="1">
      <alignment vertical="center" wrapText="1"/>
    </xf>
    <xf numFmtId="0" fontId="26" fillId="25" borderId="10" xfId="0" applyFont="1" applyFill="1" applyBorder="1" applyAlignment="1">
      <alignment vertical="center" wrapText="1"/>
    </xf>
    <xf numFmtId="0" fontId="1" fillId="25" borderId="10" xfId="0" applyFont="1" applyFill="1" applyBorder="1" applyAlignment="1">
      <alignment vertical="center" wrapText="1"/>
    </xf>
    <xf numFmtId="0" fontId="26" fillId="25" borderId="10" xfId="0" applyFont="1" applyFill="1" applyBorder="1" applyAlignment="1">
      <alignment horizontal="right" vertical="center" wrapText="1"/>
    </xf>
    <xf numFmtId="0" fontId="26" fillId="25" borderId="10" xfId="0" applyFont="1" applyFill="1" applyBorder="1" applyAlignment="1">
      <alignment vertical="center" wrapText="1"/>
    </xf>
    <xf numFmtId="1" fontId="1" fillId="25" borderId="10" xfId="0" applyNumberFormat="1" applyFont="1" applyFill="1" applyBorder="1" applyAlignment="1">
      <alignment horizontal="center" vertical="center" wrapText="1"/>
    </xf>
    <xf numFmtId="1" fontId="1" fillId="25" borderId="10" xfId="0" applyNumberFormat="1" applyFont="1" applyFill="1" applyBorder="1" applyAlignment="1">
      <alignment vertical="center"/>
    </xf>
    <xf numFmtId="1" fontId="26" fillId="25" borderId="10" xfId="0" applyNumberFormat="1" applyFont="1" applyFill="1" applyBorder="1" applyAlignment="1">
      <alignment vertical="center" wrapText="1"/>
    </xf>
    <xf numFmtId="0" fontId="26" fillId="25" borderId="10" xfId="0" applyFont="1" applyFill="1" applyBorder="1" applyAlignment="1">
      <alignment horizontal="right" vertical="center" wrapText="1"/>
    </xf>
    <xf numFmtId="1" fontId="26" fillId="25" borderId="10" xfId="0" applyNumberFormat="1" applyFont="1" applyFill="1" applyBorder="1" applyAlignment="1">
      <alignment horizontal="right" vertical="center" wrapText="1"/>
    </xf>
    <xf numFmtId="0" fontId="1" fillId="25" borderId="0" xfId="0" applyFont="1" applyFill="1" applyAlignment="1">
      <alignment wrapText="1"/>
    </xf>
    <xf numFmtId="49" fontId="2" fillId="25" borderId="11" xfId="0" applyNumberFormat="1" applyFont="1" applyFill="1" applyBorder="1" applyAlignment="1">
      <alignment horizontal="center" vertical="center" wrapText="1"/>
    </xf>
    <xf numFmtId="0" fontId="11" fillId="25" borderId="10" xfId="0" applyFont="1" applyFill="1" applyBorder="1" applyAlignment="1">
      <alignment horizontal="center" vertical="center" wrapText="1"/>
    </xf>
    <xf numFmtId="49" fontId="2" fillId="25" borderId="10" xfId="0" applyNumberFormat="1"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6" fillId="25" borderId="10" xfId="0" applyFont="1" applyFill="1" applyBorder="1" applyAlignment="1">
      <alignment horizontal="center" vertical="center" wrapText="1"/>
    </xf>
    <xf numFmtId="1" fontId="26" fillId="25" borderId="10" xfId="0" applyNumberFormat="1" applyFont="1" applyFill="1" applyBorder="1" applyAlignment="1">
      <alignment vertical="center" wrapText="1"/>
    </xf>
    <xf numFmtId="1" fontId="26" fillId="25" borderId="10" xfId="0" applyNumberFormat="1" applyFont="1" applyFill="1" applyBorder="1" applyAlignment="1">
      <alignment vertical="center" wrapText="1"/>
    </xf>
    <xf numFmtId="0" fontId="1" fillId="25" borderId="10" xfId="0" applyFont="1" applyFill="1" applyBorder="1" applyAlignment="1">
      <alignment vertical="center"/>
    </xf>
    <xf numFmtId="49" fontId="1" fillId="25" borderId="10" xfId="0" applyNumberFormat="1" applyFont="1" applyFill="1" applyBorder="1" applyAlignment="1">
      <alignment horizontal="center" vertical="center"/>
    </xf>
    <xf numFmtId="0" fontId="0" fillId="25" borderId="11" xfId="0" applyFill="1" applyBorder="1" applyAlignment="1">
      <alignment horizontal="center" vertical="center" wrapText="1"/>
    </xf>
    <xf numFmtId="0" fontId="0" fillId="25" borderId="12" xfId="0" applyFill="1" applyBorder="1" applyAlignment="1">
      <alignment horizontal="center" vertical="center" wrapText="1"/>
    </xf>
    <xf numFmtId="49" fontId="1" fillId="25" borderId="13" xfId="0" applyNumberFormat="1" applyFont="1" applyFill="1" applyBorder="1" applyAlignment="1">
      <alignment vertical="center" wrapText="1"/>
    </xf>
    <xf numFmtId="49" fontId="2" fillId="25" borderId="13" xfId="0" applyNumberFormat="1" applyFont="1" applyFill="1" applyBorder="1" applyAlignment="1">
      <alignment horizontal="center" vertical="center" wrapText="1"/>
    </xf>
    <xf numFmtId="0" fontId="2" fillId="25" borderId="13" xfId="0" applyFont="1" applyFill="1" applyBorder="1" applyAlignment="1">
      <alignment horizontal="center" vertical="center" wrapText="1"/>
    </xf>
    <xf numFmtId="1" fontId="1" fillId="25" borderId="11" xfId="0" applyNumberFormat="1" applyFont="1" applyFill="1" applyBorder="1" applyAlignment="1">
      <alignment vertical="center" wrapText="1"/>
    </xf>
    <xf numFmtId="0" fontId="1" fillId="25" borderId="0" xfId="0" applyFont="1" applyFill="1" applyAlignment="1">
      <alignment horizontal="center" vertical="center" wrapText="1"/>
    </xf>
    <xf numFmtId="0" fontId="26" fillId="25" borderId="14" xfId="0" applyFont="1" applyFill="1" applyBorder="1" applyAlignment="1">
      <alignment horizontal="center" vertical="center" wrapText="1"/>
    </xf>
    <xf numFmtId="0" fontId="1" fillId="25" borderId="0" xfId="0" applyFont="1" applyFill="1" applyAlignment="1">
      <alignment horizontal="center" wrapText="1"/>
    </xf>
    <xf numFmtId="0" fontId="2" fillId="25" borderId="0" xfId="0" applyFont="1" applyFill="1" applyAlignment="1">
      <alignment horizontal="center" vertical="center" wrapText="1"/>
    </xf>
    <xf numFmtId="0" fontId="1" fillId="25" borderId="14" xfId="0" applyFont="1" applyFill="1" applyBorder="1" applyAlignment="1">
      <alignment vertical="center" wrapText="1"/>
    </xf>
    <xf numFmtId="0" fontId="38" fillId="25" borderId="0" xfId="0" applyFont="1" applyFill="1" applyAlignment="1">
      <alignment/>
    </xf>
    <xf numFmtId="0" fontId="2" fillId="25" borderId="0" xfId="0" applyFont="1" applyFill="1" applyAlignment="1">
      <alignment wrapText="1"/>
    </xf>
    <xf numFmtId="0" fontId="1" fillId="25" borderId="0" xfId="0" applyFont="1" applyFill="1" applyBorder="1" applyAlignment="1">
      <alignment wrapText="1"/>
    </xf>
    <xf numFmtId="0" fontId="27" fillId="25" borderId="0" xfId="0" applyFont="1" applyFill="1" applyAlignment="1">
      <alignment wrapText="1"/>
    </xf>
    <xf numFmtId="0" fontId="3" fillId="25" borderId="0" xfId="0" applyFont="1" applyFill="1" applyAlignment="1">
      <alignment wrapText="1"/>
    </xf>
    <xf numFmtId="0" fontId="3" fillId="25" borderId="0" xfId="0" applyFont="1" applyFill="1" applyBorder="1" applyAlignment="1">
      <alignment wrapText="1"/>
    </xf>
    <xf numFmtId="0" fontId="1" fillId="25" borderId="0" xfId="0" applyFont="1" applyFill="1" applyAlignment="1">
      <alignment horizontal="right" wrapText="1"/>
    </xf>
    <xf numFmtId="0" fontId="6" fillId="25" borderId="10" xfId="0" applyFont="1" applyFill="1" applyBorder="1" applyAlignment="1">
      <alignment horizontal="center" vertical="center" wrapText="1"/>
    </xf>
    <xf numFmtId="1" fontId="2" fillId="25" borderId="0" xfId="0" applyNumberFormat="1" applyFont="1" applyFill="1" applyAlignment="1">
      <alignment horizontal="center" vertical="center" wrapText="1"/>
    </xf>
    <xf numFmtId="1" fontId="1" fillId="25" borderId="0" xfId="0" applyNumberFormat="1" applyFont="1" applyFill="1" applyBorder="1" applyAlignment="1">
      <alignment horizontal="center" vertical="center" wrapText="1"/>
    </xf>
    <xf numFmtId="1" fontId="1" fillId="25" borderId="0" xfId="0" applyNumberFormat="1" applyFont="1" applyFill="1" applyAlignment="1">
      <alignment horizontal="center" vertical="center" wrapText="1"/>
    </xf>
    <xf numFmtId="0" fontId="28" fillId="25" borderId="0" xfId="0" applyFont="1" applyFill="1" applyAlignment="1">
      <alignment horizontal="center" vertical="center" wrapText="1"/>
    </xf>
    <xf numFmtId="0" fontId="21" fillId="25" borderId="0" xfId="0" applyFont="1" applyFill="1" applyAlignment="1">
      <alignment horizontal="center" vertical="center" wrapText="1"/>
    </xf>
    <xf numFmtId="0" fontId="21" fillId="25" borderId="0" xfId="0" applyFont="1" applyFill="1" applyBorder="1" applyAlignment="1">
      <alignment horizontal="center" vertical="center" wrapText="1"/>
    </xf>
    <xf numFmtId="1" fontId="60" fillId="25" borderId="0" xfId="0" applyNumberFormat="1" applyFont="1" applyFill="1" applyAlignment="1">
      <alignment horizontal="center" vertical="center" wrapText="1"/>
    </xf>
    <xf numFmtId="0" fontId="26" fillId="25" borderId="0" xfId="0" applyFont="1" applyFill="1" applyAlignment="1">
      <alignment horizontal="center" vertical="center" wrapText="1"/>
    </xf>
    <xf numFmtId="1" fontId="26" fillId="25" borderId="0" xfId="0" applyNumberFormat="1" applyFont="1" applyFill="1" applyAlignment="1">
      <alignment horizontal="center" vertical="center" wrapText="1"/>
    </xf>
    <xf numFmtId="0" fontId="26" fillId="25" borderId="0" xfId="0" applyFont="1" applyFill="1" applyBorder="1" applyAlignment="1">
      <alignment horizontal="center" vertical="center" wrapText="1"/>
    </xf>
    <xf numFmtId="0" fontId="2" fillId="25" borderId="0" xfId="0" applyFont="1" applyFill="1" applyBorder="1" applyAlignment="1">
      <alignment horizontal="center" vertical="center" wrapText="1"/>
    </xf>
    <xf numFmtId="1" fontId="2" fillId="25" borderId="0" xfId="0" applyNumberFormat="1" applyFont="1" applyFill="1" applyAlignment="1">
      <alignment vertical="center" wrapText="1"/>
    </xf>
    <xf numFmtId="1" fontId="1" fillId="25" borderId="0" xfId="0" applyNumberFormat="1" applyFont="1" applyFill="1" applyAlignment="1">
      <alignment vertical="center" wrapText="1"/>
    </xf>
    <xf numFmtId="0" fontId="1" fillId="25" borderId="0" xfId="0" applyFont="1" applyFill="1" applyAlignment="1">
      <alignment vertical="center" wrapText="1"/>
    </xf>
    <xf numFmtId="0" fontId="1" fillId="25" borderId="0" xfId="0" applyFont="1" applyFill="1" applyBorder="1" applyAlignment="1">
      <alignment vertical="center" wrapText="1"/>
    </xf>
    <xf numFmtId="1" fontId="1" fillId="25" borderId="0" xfId="0" applyNumberFormat="1" applyFont="1" applyFill="1" applyAlignment="1">
      <alignment horizontal="center" wrapText="1"/>
    </xf>
    <xf numFmtId="1" fontId="18" fillId="25" borderId="0" xfId="0" applyNumberFormat="1" applyFont="1" applyFill="1" applyAlignment="1">
      <alignment wrapText="1"/>
    </xf>
    <xf numFmtId="0" fontId="36" fillId="25" borderId="0" xfId="0" applyFont="1" applyFill="1" applyAlignment="1">
      <alignment/>
    </xf>
    <xf numFmtId="0" fontId="37" fillId="25" borderId="0" xfId="0" applyFont="1" applyFill="1" applyAlignment="1">
      <alignment/>
    </xf>
    <xf numFmtId="0" fontId="36" fillId="25" borderId="0" xfId="0" applyFont="1" applyFill="1" applyBorder="1" applyAlignment="1">
      <alignment/>
    </xf>
    <xf numFmtId="1" fontId="31" fillId="25" borderId="0" xfId="0" applyNumberFormat="1" applyFont="1" applyFill="1" applyAlignment="1">
      <alignment wrapText="1"/>
    </xf>
    <xf numFmtId="1" fontId="31" fillId="25" borderId="0" xfId="0" applyNumberFormat="1" applyFont="1" applyFill="1" applyAlignment="1">
      <alignment vertical="center" wrapText="1"/>
    </xf>
    <xf numFmtId="0" fontId="29" fillId="25" borderId="0" xfId="0" applyFont="1" applyFill="1" applyBorder="1" applyAlignment="1">
      <alignment wrapText="1"/>
    </xf>
    <xf numFmtId="0" fontId="30" fillId="25" borderId="0" xfId="0" applyFont="1" applyFill="1" applyBorder="1" applyAlignment="1">
      <alignment wrapText="1"/>
    </xf>
    <xf numFmtId="0" fontId="32" fillId="25" borderId="0" xfId="0" applyFont="1" applyFill="1" applyBorder="1" applyAlignment="1">
      <alignment wrapText="1"/>
    </xf>
    <xf numFmtId="1" fontId="31" fillId="25" borderId="10" xfId="0" applyNumberFormat="1" applyFont="1" applyFill="1" applyBorder="1" applyAlignment="1">
      <alignment horizontal="right" vertical="center" wrapText="1"/>
    </xf>
    <xf numFmtId="1" fontId="31" fillId="25" borderId="10" xfId="0" applyNumberFormat="1" applyFont="1" applyFill="1" applyBorder="1" applyAlignment="1">
      <alignment vertical="center" wrapText="1"/>
    </xf>
    <xf numFmtId="1" fontId="31" fillId="25" borderId="11" xfId="0" applyNumberFormat="1" applyFont="1" applyFill="1" applyBorder="1" applyAlignment="1">
      <alignment horizontal="right" vertical="center"/>
    </xf>
    <xf numFmtId="0" fontId="32" fillId="25" borderId="0" xfId="0" applyFont="1" applyFill="1" applyAlignment="1">
      <alignment horizontal="center" vertical="center" wrapText="1"/>
    </xf>
    <xf numFmtId="1" fontId="32" fillId="25" borderId="0" xfId="0" applyNumberFormat="1" applyFont="1" applyFill="1" applyAlignment="1">
      <alignment horizontal="center" vertical="center" wrapText="1"/>
    </xf>
    <xf numFmtId="0" fontId="31" fillId="25" borderId="0" xfId="0" applyFont="1" applyFill="1" applyAlignment="1">
      <alignment horizontal="center" vertical="center" wrapText="1"/>
    </xf>
    <xf numFmtId="0" fontId="31" fillId="25" borderId="0" xfId="0" applyFont="1" applyFill="1" applyBorder="1" applyAlignment="1">
      <alignment horizontal="center" vertical="center" wrapText="1"/>
    </xf>
    <xf numFmtId="1" fontId="31" fillId="25" borderId="10" xfId="0" applyNumberFormat="1" applyFont="1" applyFill="1" applyBorder="1" applyAlignment="1">
      <alignment vertical="center" wrapText="1"/>
    </xf>
    <xf numFmtId="49" fontId="31" fillId="25" borderId="10" xfId="0" applyNumberFormat="1" applyFont="1" applyFill="1" applyBorder="1" applyAlignment="1">
      <alignment horizontal="center" vertical="center" wrapText="1"/>
    </xf>
    <xf numFmtId="0" fontId="1" fillId="25" borderId="15" xfId="0" applyFont="1" applyFill="1" applyBorder="1" applyAlignment="1">
      <alignment horizontal="center" vertical="center" wrapText="1"/>
    </xf>
    <xf numFmtId="0" fontId="1" fillId="25" borderId="16" xfId="0" applyFont="1" applyFill="1" applyBorder="1" applyAlignment="1">
      <alignment horizontal="center" vertical="center" wrapText="1"/>
    </xf>
    <xf numFmtId="9" fontId="1" fillId="25" borderId="10" xfId="58" applyFont="1" applyFill="1" applyBorder="1" applyAlignment="1">
      <alignment vertical="center" wrapText="1"/>
    </xf>
    <xf numFmtId="0" fontId="32" fillId="25" borderId="0" xfId="0" applyFont="1" applyFill="1" applyBorder="1" applyAlignment="1">
      <alignment horizontal="center" vertical="center" wrapText="1"/>
    </xf>
    <xf numFmtId="1" fontId="2" fillId="25" borderId="0" xfId="0" applyNumberFormat="1" applyFont="1" applyFill="1" applyBorder="1" applyAlignment="1">
      <alignment vertical="center" wrapText="1"/>
    </xf>
    <xf numFmtId="1" fontId="2" fillId="25" borderId="13" xfId="0" applyNumberFormat="1" applyFont="1" applyFill="1" applyBorder="1" applyAlignment="1">
      <alignment horizontal="right" vertical="center" wrapText="1"/>
    </xf>
    <xf numFmtId="1" fontId="1" fillId="25" borderId="13" xfId="0" applyNumberFormat="1" applyFont="1" applyFill="1" applyBorder="1" applyAlignment="1">
      <alignment vertical="center" wrapText="1"/>
    </xf>
    <xf numFmtId="49" fontId="1" fillId="25" borderId="11" xfId="0" applyNumberFormat="1" applyFont="1" applyFill="1" applyBorder="1" applyAlignment="1">
      <alignment vertical="center" wrapText="1"/>
    </xf>
    <xf numFmtId="0" fontId="1" fillId="25" borderId="0" xfId="0" applyFont="1" applyFill="1" applyBorder="1" applyAlignment="1">
      <alignment horizontal="center" vertical="center" wrapText="1"/>
    </xf>
    <xf numFmtId="1" fontId="18" fillId="25" borderId="13" xfId="0" applyNumberFormat="1" applyFont="1" applyFill="1" applyBorder="1" applyAlignment="1">
      <alignment vertical="center"/>
    </xf>
    <xf numFmtId="0" fontId="1" fillId="25" borderId="17" xfId="0" applyFont="1" applyFill="1" applyBorder="1" applyAlignment="1">
      <alignment horizontal="center" vertical="center"/>
    </xf>
    <xf numFmtId="1" fontId="1" fillId="25" borderId="11" xfId="0" applyNumberFormat="1" applyFont="1" applyFill="1" applyBorder="1" applyAlignment="1">
      <alignment horizontal="right" vertical="center" wrapText="1"/>
    </xf>
    <xf numFmtId="1" fontId="1" fillId="25" borderId="11" xfId="0" applyNumberFormat="1" applyFont="1" applyFill="1" applyBorder="1" applyAlignment="1">
      <alignment horizontal="center" vertical="center" wrapText="1"/>
    </xf>
    <xf numFmtId="49" fontId="1" fillId="25" borderId="18" xfId="0" applyNumberFormat="1" applyFont="1" applyFill="1" applyBorder="1" applyAlignment="1">
      <alignment horizontal="center" vertical="center" wrapText="1"/>
    </xf>
    <xf numFmtId="0" fontId="1" fillId="25" borderId="14" xfId="0" applyFont="1" applyFill="1" applyBorder="1" applyAlignment="1">
      <alignment horizontal="center" vertical="center"/>
    </xf>
    <xf numFmtId="0" fontId="1" fillId="25" borderId="11" xfId="0" applyFont="1" applyFill="1" applyBorder="1" applyAlignment="1">
      <alignment vertical="center" wrapText="1"/>
    </xf>
    <xf numFmtId="1" fontId="1" fillId="25" borderId="13" xfId="0" applyNumberFormat="1" applyFont="1" applyFill="1" applyBorder="1" applyAlignment="1">
      <alignment horizontal="right" vertical="center"/>
    </xf>
    <xf numFmtId="0" fontId="18" fillId="25" borderId="10" xfId="0" applyFont="1" applyFill="1" applyBorder="1" applyAlignment="1">
      <alignment horizontal="right" vertical="center" wrapText="1"/>
    </xf>
    <xf numFmtId="49" fontId="18" fillId="25" borderId="10" xfId="0" applyNumberFormat="1" applyFont="1" applyFill="1" applyBorder="1" applyAlignment="1">
      <alignment horizontal="center" vertical="center" wrapText="1"/>
    </xf>
    <xf numFmtId="0" fontId="40" fillId="25" borderId="0" xfId="0" applyFont="1" applyFill="1" applyAlignment="1">
      <alignment horizontal="center" vertical="center" wrapText="1"/>
    </xf>
    <xf numFmtId="0" fontId="18" fillId="25" borderId="0" xfId="0" applyFont="1" applyFill="1" applyAlignment="1">
      <alignment horizontal="center" vertical="center" wrapText="1"/>
    </xf>
    <xf numFmtId="0" fontId="18" fillId="25" borderId="0"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41" fillId="25" borderId="19" xfId="0" applyFont="1" applyFill="1" applyBorder="1" applyAlignment="1">
      <alignment horizontal="left"/>
    </xf>
    <xf numFmtId="0" fontId="61" fillId="25" borderId="10" xfId="0" applyFont="1" applyFill="1" applyBorder="1" applyAlignment="1">
      <alignment horizontal="center" vertical="center" wrapText="1"/>
    </xf>
    <xf numFmtId="0" fontId="1" fillId="25" borderId="13" xfId="0" applyFont="1" applyFill="1" applyBorder="1" applyAlignment="1">
      <alignment vertical="center" wrapText="1"/>
    </xf>
    <xf numFmtId="0" fontId="1" fillId="25" borderId="20" xfId="0" applyFont="1" applyFill="1" applyBorder="1" applyAlignment="1">
      <alignment horizontal="center" vertical="center"/>
    </xf>
    <xf numFmtId="0" fontId="1" fillId="25" borderId="13" xfId="0" applyFont="1" applyFill="1" applyBorder="1" applyAlignment="1">
      <alignment horizontal="center" vertical="center"/>
    </xf>
    <xf numFmtId="49" fontId="1" fillId="25" borderId="21" xfId="0" applyNumberFormat="1" applyFont="1" applyFill="1" applyBorder="1" applyAlignment="1">
      <alignment horizontal="center" vertical="center" wrapText="1"/>
    </xf>
    <xf numFmtId="49" fontId="1" fillId="25" borderId="0" xfId="0" applyNumberFormat="1" applyFont="1" applyFill="1" applyBorder="1" applyAlignment="1">
      <alignment horizontal="center" vertical="center" wrapText="1"/>
    </xf>
    <xf numFmtId="49" fontId="1" fillId="25" borderId="20" xfId="0" applyNumberFormat="1" applyFont="1" applyFill="1" applyBorder="1" applyAlignment="1">
      <alignment horizontal="center" vertical="center" wrapText="1"/>
    </xf>
    <xf numFmtId="49" fontId="1" fillId="25" borderId="13" xfId="0" applyNumberFormat="1" applyFont="1" applyFill="1" applyBorder="1" applyAlignment="1">
      <alignment horizontal="center" vertical="center" wrapText="1"/>
    </xf>
    <xf numFmtId="49" fontId="1" fillId="25" borderId="10" xfId="0" applyNumberFormat="1" applyFont="1" applyFill="1" applyBorder="1" applyAlignment="1">
      <alignment horizontal="center" vertical="center" wrapText="1"/>
    </xf>
    <xf numFmtId="49" fontId="1" fillId="25" borderId="11" xfId="0" applyNumberFormat="1" applyFont="1" applyFill="1" applyBorder="1" applyAlignment="1">
      <alignment horizontal="center" vertical="center" wrapText="1"/>
    </xf>
    <xf numFmtId="49" fontId="1" fillId="25" borderId="17" xfId="0" applyNumberFormat="1" applyFont="1" applyFill="1" applyBorder="1" applyAlignment="1">
      <alignment horizontal="center" vertical="center" wrapText="1"/>
    </xf>
    <xf numFmtId="0" fontId="1" fillId="25" borderId="14"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20" xfId="0" applyFont="1" applyFill="1" applyBorder="1" applyAlignment="1">
      <alignment horizontal="center" vertical="center" wrapText="1"/>
    </xf>
    <xf numFmtId="0" fontId="1" fillId="25" borderId="10" xfId="0" applyFont="1" applyFill="1" applyBorder="1" applyAlignment="1">
      <alignment horizontal="center" vertical="center"/>
    </xf>
    <xf numFmtId="49" fontId="1" fillId="25" borderId="22" xfId="0" applyNumberFormat="1" applyFont="1" applyFill="1" applyBorder="1" applyAlignment="1">
      <alignment horizontal="center" vertical="center" wrapText="1"/>
    </xf>
    <xf numFmtId="49" fontId="1" fillId="25" borderId="23" xfId="0" applyNumberFormat="1" applyFont="1" applyFill="1" applyBorder="1" applyAlignment="1">
      <alignment horizontal="center" vertical="center" wrapText="1"/>
    </xf>
    <xf numFmtId="0" fontId="1" fillId="25" borderId="24"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61" fillId="25" borderId="10" xfId="0" applyFont="1" applyFill="1" applyBorder="1" applyAlignment="1">
      <alignment horizontal="right" vertical="center" wrapText="1"/>
    </xf>
    <xf numFmtId="1" fontId="2" fillId="24" borderId="0" xfId="0" applyNumberFormat="1" applyFont="1" applyFill="1" applyAlignment="1">
      <alignment horizontal="center" vertical="center" wrapText="1"/>
    </xf>
    <xf numFmtId="0" fontId="1" fillId="24" borderId="0" xfId="0" applyFont="1" applyFill="1" applyAlignment="1">
      <alignment horizontal="center" vertical="center" wrapText="1"/>
    </xf>
    <xf numFmtId="0" fontId="1" fillId="24" borderId="0" xfId="0" applyFont="1" applyFill="1" applyBorder="1" applyAlignment="1">
      <alignment horizontal="center" vertical="center" wrapText="1"/>
    </xf>
    <xf numFmtId="1" fontId="1" fillId="24" borderId="0" xfId="0" applyNumberFormat="1" applyFont="1" applyFill="1" applyAlignment="1">
      <alignment horizontal="center" vertical="center" wrapText="1"/>
    </xf>
    <xf numFmtId="1" fontId="1" fillId="25" borderId="0" xfId="0" applyNumberFormat="1" applyFont="1" applyFill="1" applyAlignment="1">
      <alignment wrapText="1"/>
    </xf>
    <xf numFmtId="49" fontId="1" fillId="25" borderId="24" xfId="0" applyNumberFormat="1" applyFont="1" applyFill="1" applyBorder="1" applyAlignment="1">
      <alignment horizontal="center" vertical="center" wrapText="1"/>
    </xf>
    <xf numFmtId="1" fontId="62" fillId="25" borderId="10" xfId="0" applyNumberFormat="1" applyFont="1" applyFill="1" applyBorder="1" applyAlignment="1">
      <alignment horizontal="right" vertical="center" wrapText="1"/>
    </xf>
    <xf numFmtId="1" fontId="62" fillId="25" borderId="10" xfId="0" applyNumberFormat="1" applyFont="1" applyFill="1" applyBorder="1" applyAlignment="1">
      <alignment vertical="center" wrapText="1"/>
    </xf>
    <xf numFmtId="1" fontId="1" fillId="25" borderId="13" xfId="0" applyNumberFormat="1" applyFont="1" applyFill="1" applyBorder="1" applyAlignment="1">
      <alignment horizontal="right" vertical="center" wrapText="1"/>
    </xf>
    <xf numFmtId="0" fontId="11" fillId="25" borderId="13" xfId="0" applyFont="1" applyFill="1" applyBorder="1" applyAlignment="1">
      <alignment horizontal="right" vertical="center" wrapText="1"/>
    </xf>
    <xf numFmtId="0" fontId="2" fillId="25" borderId="13" xfId="0" applyFont="1" applyFill="1" applyBorder="1" applyAlignment="1">
      <alignment vertical="center" wrapText="1"/>
    </xf>
    <xf numFmtId="0" fontId="0" fillId="25" borderId="13" xfId="0" applyFill="1" applyBorder="1" applyAlignment="1">
      <alignment horizontal="center" vertical="center" wrapText="1"/>
    </xf>
    <xf numFmtId="0" fontId="0" fillId="25" borderId="10" xfId="0" applyFill="1" applyBorder="1" applyAlignment="1">
      <alignment horizontal="center" vertical="center" wrapText="1"/>
    </xf>
    <xf numFmtId="0" fontId="1" fillId="25" borderId="10" xfId="0" applyNumberFormat="1" applyFont="1" applyFill="1" applyBorder="1" applyAlignment="1">
      <alignment horizontal="center" vertical="center" wrapText="1"/>
    </xf>
    <xf numFmtId="0" fontId="62" fillId="25" borderId="10" xfId="0" applyFont="1" applyFill="1" applyBorder="1" applyAlignment="1">
      <alignment vertical="center" wrapText="1"/>
    </xf>
    <xf numFmtId="49" fontId="1" fillId="25" borderId="24" xfId="0" applyNumberFormat="1" applyFont="1" applyFill="1" applyBorder="1" applyAlignment="1">
      <alignment horizontal="center" vertical="center" wrapText="1"/>
    </xf>
    <xf numFmtId="49" fontId="1" fillId="25" borderId="15" xfId="0" applyNumberFormat="1" applyFont="1" applyFill="1" applyBorder="1" applyAlignment="1">
      <alignment horizontal="center" vertical="center" wrapText="1"/>
    </xf>
    <xf numFmtId="0" fontId="0" fillId="25" borderId="15" xfId="0"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0" fillId="0" borderId="0" xfId="0" applyFont="1" applyFill="1" applyAlignment="1">
      <alignment horizontal="left"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19" fillId="0" borderId="0" xfId="0" applyFont="1" applyAlignment="1">
      <alignment horizontal="center" wrapText="1"/>
    </xf>
    <xf numFmtId="0" fontId="65" fillId="25" borderId="0" xfId="0" applyFont="1" applyFill="1" applyAlignment="1">
      <alignment horizontal="left"/>
    </xf>
    <xf numFmtId="1" fontId="40" fillId="25" borderId="0" xfId="0" applyNumberFormat="1" applyFont="1" applyFill="1" applyBorder="1" applyAlignment="1">
      <alignment wrapText="1"/>
    </xf>
    <xf numFmtId="1" fontId="1" fillId="25" borderId="0" xfId="0" applyNumberFormat="1" applyFont="1" applyFill="1" applyBorder="1" applyAlignment="1">
      <alignment wrapText="1"/>
    </xf>
    <xf numFmtId="0" fontId="63" fillId="25" borderId="0" xfId="0" applyFont="1" applyFill="1" applyBorder="1" applyAlignment="1">
      <alignment wrapText="1"/>
    </xf>
    <xf numFmtId="1" fontId="63" fillId="25" borderId="0" xfId="0" applyNumberFormat="1" applyFont="1" applyFill="1" applyBorder="1" applyAlignment="1">
      <alignment wrapText="1"/>
    </xf>
    <xf numFmtId="0" fontId="2" fillId="25" borderId="0" xfId="0" applyFont="1" applyFill="1" applyBorder="1" applyAlignment="1">
      <alignment wrapText="1"/>
    </xf>
    <xf numFmtId="0" fontId="15" fillId="25" borderId="0" xfId="0" applyFont="1" applyFill="1" applyBorder="1" applyAlignment="1">
      <alignment wrapText="1"/>
    </xf>
    <xf numFmtId="1" fontId="29" fillId="25" borderId="0" xfId="0" applyNumberFormat="1" applyFont="1" applyFill="1" applyBorder="1" applyAlignment="1">
      <alignment wrapText="1"/>
    </xf>
    <xf numFmtId="0" fontId="33" fillId="25" borderId="0" xfId="0" applyFont="1" applyFill="1" applyBorder="1" applyAlignment="1">
      <alignment wrapText="1"/>
    </xf>
    <xf numFmtId="0" fontId="0" fillId="25" borderId="10" xfId="0" applyFill="1" applyBorder="1" applyAlignment="1">
      <alignment horizontal="center" vertical="center" wrapText="1"/>
    </xf>
    <xf numFmtId="0" fontId="1" fillId="25" borderId="11" xfId="0" applyFont="1" applyFill="1" applyBorder="1" applyAlignment="1">
      <alignment horizontal="center" vertical="center"/>
    </xf>
    <xf numFmtId="0" fontId="1" fillId="25" borderId="13" xfId="0" applyFont="1" applyFill="1" applyBorder="1" applyAlignment="1">
      <alignment horizontal="center" vertical="center"/>
    </xf>
    <xf numFmtId="0" fontId="1" fillId="25" borderId="10" xfId="0" applyFont="1" applyFill="1" applyBorder="1" applyAlignment="1">
      <alignment horizontal="center" vertical="center"/>
    </xf>
    <xf numFmtId="0" fontId="1" fillId="25" borderId="20" xfId="0" applyFont="1" applyFill="1" applyBorder="1" applyAlignment="1">
      <alignment horizontal="center" vertical="center"/>
    </xf>
    <xf numFmtId="49" fontId="1" fillId="25" borderId="0" xfId="0" applyNumberFormat="1" applyFont="1" applyFill="1" applyBorder="1" applyAlignment="1">
      <alignment horizontal="center" vertical="center" wrapText="1"/>
    </xf>
    <xf numFmtId="0" fontId="19" fillId="25" borderId="0" xfId="0" applyFont="1" applyFill="1" applyAlignment="1">
      <alignment horizontal="center" wrapText="1"/>
    </xf>
    <xf numFmtId="49" fontId="1" fillId="25" borderId="23" xfId="0" applyNumberFormat="1" applyFont="1" applyFill="1" applyBorder="1" applyAlignment="1">
      <alignment horizontal="center" vertical="center" wrapText="1"/>
    </xf>
    <xf numFmtId="1" fontId="30" fillId="25" borderId="0" xfId="0" applyNumberFormat="1" applyFont="1" applyFill="1" applyBorder="1" applyAlignment="1">
      <alignment wrapText="1"/>
    </xf>
    <xf numFmtId="0" fontId="34" fillId="25" borderId="0" xfId="0" applyFont="1" applyFill="1" applyBorder="1" applyAlignment="1">
      <alignment wrapText="1"/>
    </xf>
    <xf numFmtId="1" fontId="32" fillId="25" borderId="0" xfId="0" applyNumberFormat="1" applyFont="1" applyFill="1" applyBorder="1" applyAlignment="1">
      <alignment wrapText="1"/>
    </xf>
    <xf numFmtId="0" fontId="31" fillId="25" borderId="0" xfId="0" applyFont="1" applyFill="1" applyBorder="1" applyAlignment="1">
      <alignment wrapText="1"/>
    </xf>
    <xf numFmtId="1" fontId="59" fillId="25" borderId="0" xfId="0" applyNumberFormat="1" applyFont="1" applyFill="1" applyBorder="1" applyAlignment="1">
      <alignment wrapText="1"/>
    </xf>
    <xf numFmtId="0" fontId="17" fillId="25" borderId="0" xfId="0" applyFont="1" applyFill="1" applyBorder="1" applyAlignment="1">
      <alignment horizontal="left" wrapText="1"/>
    </xf>
    <xf numFmtId="1" fontId="15" fillId="25" borderId="0" xfId="0" applyNumberFormat="1" applyFont="1" applyFill="1" applyBorder="1" applyAlignment="1">
      <alignment wrapText="1"/>
    </xf>
    <xf numFmtId="1" fontId="2" fillId="25" borderId="0" xfId="0" applyNumberFormat="1" applyFont="1" applyFill="1" applyBorder="1" applyAlignment="1">
      <alignment wrapText="1"/>
    </xf>
    <xf numFmtId="1" fontId="15" fillId="24" borderId="0" xfId="0" applyNumberFormat="1" applyFont="1" applyFill="1" applyBorder="1" applyAlignment="1">
      <alignment wrapText="1"/>
    </xf>
    <xf numFmtId="1" fontId="17" fillId="25" borderId="0" xfId="0" applyNumberFormat="1" applyFont="1" applyFill="1" applyBorder="1" applyAlignment="1">
      <alignment wrapText="1"/>
    </xf>
    <xf numFmtId="0" fontId="39" fillId="25" borderId="0" xfId="0" applyFont="1" applyFill="1" applyBorder="1" applyAlignment="1">
      <alignment wrapText="1"/>
    </xf>
    <xf numFmtId="49" fontId="1" fillId="25" borderId="10" xfId="0" applyNumberFormat="1" applyFont="1" applyFill="1" applyBorder="1" applyAlignment="1">
      <alignment horizontal="center" vertical="center" wrapText="1"/>
    </xf>
    <xf numFmtId="49" fontId="1" fillId="25" borderId="11" xfId="0" applyNumberFormat="1" applyFont="1" applyFill="1" applyBorder="1" applyAlignment="1">
      <alignment horizontal="center" vertical="center" wrapText="1"/>
    </xf>
    <xf numFmtId="49" fontId="1" fillId="25" borderId="13" xfId="0" applyNumberFormat="1" applyFont="1" applyFill="1" applyBorder="1" applyAlignment="1">
      <alignment horizontal="center" vertical="center" wrapText="1"/>
    </xf>
    <xf numFmtId="49" fontId="1" fillId="25" borderId="22" xfId="0" applyNumberFormat="1" applyFont="1" applyFill="1" applyBorder="1" applyAlignment="1">
      <alignment horizontal="center" vertical="center" wrapText="1"/>
    </xf>
    <xf numFmtId="49" fontId="1" fillId="25" borderId="25" xfId="0" applyNumberFormat="1" applyFont="1" applyFill="1" applyBorder="1" applyAlignment="1">
      <alignment horizontal="center" vertical="center" wrapText="1"/>
    </xf>
    <xf numFmtId="0" fontId="1" fillId="25" borderId="14"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20" xfId="0" applyFont="1" applyFill="1" applyBorder="1" applyAlignment="1">
      <alignment horizontal="center" vertical="center" wrapText="1"/>
    </xf>
    <xf numFmtId="49" fontId="1" fillId="25" borderId="20" xfId="0" applyNumberFormat="1" applyFont="1" applyFill="1" applyBorder="1" applyAlignment="1">
      <alignment horizontal="center" vertical="center" wrapText="1"/>
    </xf>
    <xf numFmtId="0" fontId="0" fillId="25" borderId="13" xfId="0" applyFill="1" applyBorder="1" applyAlignment="1">
      <alignment horizontal="center" vertical="center" wrapText="1"/>
    </xf>
    <xf numFmtId="0" fontId="0" fillId="25" borderId="25" xfId="0" applyFill="1" applyBorder="1" applyAlignment="1">
      <alignment horizontal="center" vertical="center" wrapText="1"/>
    </xf>
    <xf numFmtId="49" fontId="1" fillId="25" borderId="21" xfId="0" applyNumberFormat="1" applyFont="1" applyFill="1" applyBorder="1" applyAlignment="1">
      <alignment horizontal="center" vertical="center" wrapText="1"/>
    </xf>
    <xf numFmtId="49" fontId="1" fillId="25" borderId="16" xfId="0" applyNumberFormat="1" applyFont="1" applyFill="1" applyBorder="1" applyAlignment="1">
      <alignment horizontal="center" vertical="center" wrapText="1"/>
    </xf>
    <xf numFmtId="49" fontId="1" fillId="25" borderId="17" xfId="0" applyNumberFormat="1" applyFont="1" applyFill="1" applyBorder="1" applyAlignment="1">
      <alignment horizontal="center" vertical="center" wrapText="1"/>
    </xf>
    <xf numFmtId="0" fontId="1" fillId="25" borderId="10"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0" fillId="25" borderId="10" xfId="0" applyFill="1" applyBorder="1" applyAlignment="1">
      <alignment wrapText="1"/>
    </xf>
    <xf numFmtId="0" fontId="0" fillId="25" borderId="11" xfId="0" applyFill="1" applyBorder="1" applyAlignment="1">
      <alignment horizontal="center" vertical="center" wrapText="1"/>
    </xf>
    <xf numFmtId="0" fontId="0" fillId="25" borderId="20" xfId="0"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77"/>
  <sheetViews>
    <sheetView tabSelected="1" view="pageBreakPreview" zoomScale="80" zoomScaleSheetLayoutView="80" zoomScalePageLayoutView="0" workbookViewId="0" topLeftCell="A1">
      <selection activeCell="F4" sqref="F4"/>
    </sheetView>
  </sheetViews>
  <sheetFormatPr defaultColWidth="9.140625" defaultRowHeight="12.75"/>
  <cols>
    <col min="1" max="1" width="10.8515625" style="95" customWidth="1"/>
    <col min="2" max="2" width="10.57421875" style="95" customWidth="1"/>
    <col min="3" max="3" width="12.140625" style="95" customWidth="1"/>
    <col min="4" max="4" width="51.28125" style="95" customWidth="1"/>
    <col min="5" max="5" width="67.140625" style="95" customWidth="1"/>
    <col min="6" max="6" width="20.28125" style="95" customWidth="1"/>
    <col min="7" max="7" width="23.421875" style="95" customWidth="1"/>
    <col min="8" max="8" width="23.7109375" style="95" customWidth="1"/>
    <col min="9" max="9" width="14.421875" style="117" customWidth="1"/>
    <col min="10" max="10" width="12.140625" style="95" customWidth="1"/>
    <col min="11" max="11" width="13.7109375" style="95" customWidth="1"/>
    <col min="12" max="12" width="11.57421875" style="118" customWidth="1"/>
    <col min="13" max="13" width="12.7109375" style="95" customWidth="1"/>
    <col min="14" max="16384" width="9.140625" style="95" customWidth="1"/>
  </cols>
  <sheetData>
    <row r="1" spans="6:8" ht="41.25" customHeight="1">
      <c r="F1" s="182" t="s">
        <v>355</v>
      </c>
      <c r="G1" s="116"/>
      <c r="H1" s="116"/>
    </row>
    <row r="2" spans="6:8" ht="30" customHeight="1">
      <c r="F2" s="182" t="s">
        <v>354</v>
      </c>
      <c r="G2" s="116"/>
      <c r="H2" s="116"/>
    </row>
    <row r="3" spans="6:8" ht="28.5" customHeight="1">
      <c r="F3" s="236" t="s">
        <v>221</v>
      </c>
      <c r="G3" s="116"/>
      <c r="H3" s="116"/>
    </row>
    <row r="4" spans="5:8" ht="27" customHeight="1">
      <c r="E4" s="166"/>
      <c r="H4" s="116"/>
    </row>
    <row r="6" spans="1:12" s="120" customFormat="1" ht="51.75" customHeight="1">
      <c r="A6" s="251" t="s">
        <v>134</v>
      </c>
      <c r="B6" s="251"/>
      <c r="C6" s="251"/>
      <c r="D6" s="251"/>
      <c r="E6" s="251"/>
      <c r="F6" s="251"/>
      <c r="G6" s="251"/>
      <c r="H6" s="251"/>
      <c r="I6" s="119"/>
      <c r="L6" s="121"/>
    </row>
    <row r="7" ht="20.25" customHeight="1"/>
    <row r="8" ht="16.5" customHeight="1">
      <c r="H8" s="122" t="s">
        <v>200</v>
      </c>
    </row>
    <row r="9" spans="1:12" s="111" customFormat="1" ht="98.25" customHeight="1">
      <c r="A9" s="123" t="s">
        <v>348</v>
      </c>
      <c r="B9" s="123" t="s">
        <v>349</v>
      </c>
      <c r="C9" s="123" t="s">
        <v>350</v>
      </c>
      <c r="D9" s="181" t="s">
        <v>351</v>
      </c>
      <c r="E9" s="181" t="s">
        <v>352</v>
      </c>
      <c r="F9" s="115" t="s">
        <v>285</v>
      </c>
      <c r="G9" s="115" t="s">
        <v>288</v>
      </c>
      <c r="H9" s="181" t="s">
        <v>353</v>
      </c>
      <c r="L9" s="166"/>
    </row>
    <row r="10" spans="1:12" s="111" customFormat="1" ht="16.5" customHeight="1">
      <c r="A10" s="180">
        <v>1</v>
      </c>
      <c r="B10" s="181">
        <v>2</v>
      </c>
      <c r="C10" s="181">
        <v>3</v>
      </c>
      <c r="D10" s="181">
        <v>4</v>
      </c>
      <c r="E10" s="181">
        <v>5</v>
      </c>
      <c r="F10" s="181">
        <v>6</v>
      </c>
      <c r="G10" s="181">
        <v>7</v>
      </c>
      <c r="H10" s="181">
        <v>8</v>
      </c>
      <c r="I10" s="114"/>
      <c r="L10" s="166"/>
    </row>
    <row r="11" spans="1:12" s="111" customFormat="1" ht="15.75">
      <c r="A11" s="96"/>
      <c r="B11" s="96" t="s">
        <v>370</v>
      </c>
      <c r="C11" s="96"/>
      <c r="D11" s="99" t="s">
        <v>204</v>
      </c>
      <c r="E11" s="181"/>
      <c r="F11" s="82">
        <f>F12+F13+F14+F15+F16+F17+F18+F19+F20+F21</f>
        <v>7554823</v>
      </c>
      <c r="G11" s="82">
        <f>G12+G13+G14+G15+G16+G17+G18+G19+G20+G21</f>
        <v>2960235</v>
      </c>
      <c r="H11" s="82">
        <f>H12+H13+H14+H15+H16+H17+H18+H19+H20+H21</f>
        <v>10515058</v>
      </c>
      <c r="I11" s="124"/>
      <c r="L11" s="166"/>
    </row>
    <row r="12" spans="1:12" s="111" customFormat="1" ht="48.75" customHeight="1">
      <c r="A12" s="96"/>
      <c r="B12" s="192" t="s">
        <v>402</v>
      </c>
      <c r="C12" s="192" t="s">
        <v>83</v>
      </c>
      <c r="D12" s="195" t="s">
        <v>403</v>
      </c>
      <c r="E12" s="194" t="s">
        <v>213</v>
      </c>
      <c r="F12" s="82"/>
      <c r="G12" s="75">
        <f>2257571+180000-16431</f>
        <v>2421140</v>
      </c>
      <c r="H12" s="75">
        <f>G12+F12</f>
        <v>2421140</v>
      </c>
      <c r="I12" s="124"/>
      <c r="L12" s="166"/>
    </row>
    <row r="13" spans="1:12" s="111" customFormat="1" ht="47.25">
      <c r="A13" s="191"/>
      <c r="B13" s="191" t="s">
        <v>303</v>
      </c>
      <c r="C13" s="191" t="s">
        <v>84</v>
      </c>
      <c r="D13" s="181" t="s">
        <v>329</v>
      </c>
      <c r="E13" s="194" t="s">
        <v>157</v>
      </c>
      <c r="F13" s="78">
        <f>200000+678904</f>
        <v>878904</v>
      </c>
      <c r="G13" s="78"/>
      <c r="H13" s="75">
        <f aca="true" t="shared" si="0" ref="H13:H21">G13+F13</f>
        <v>878904</v>
      </c>
      <c r="I13" s="114"/>
      <c r="L13" s="166"/>
    </row>
    <row r="14" spans="1:12" s="111" customFormat="1" ht="72" customHeight="1" hidden="1">
      <c r="A14" s="191"/>
      <c r="B14" s="191" t="s">
        <v>323</v>
      </c>
      <c r="C14" s="191" t="s">
        <v>85</v>
      </c>
      <c r="D14" s="181" t="s">
        <v>464</v>
      </c>
      <c r="E14" s="200" t="s">
        <v>363</v>
      </c>
      <c r="F14" s="78"/>
      <c r="G14" s="75"/>
      <c r="H14" s="80">
        <f t="shared" si="0"/>
        <v>0</v>
      </c>
      <c r="I14" s="124"/>
      <c r="L14" s="166"/>
    </row>
    <row r="15" spans="1:12" s="111" customFormat="1" ht="66" customHeight="1">
      <c r="A15" s="197"/>
      <c r="B15" s="197">
        <v>240900</v>
      </c>
      <c r="C15" s="191" t="s">
        <v>86</v>
      </c>
      <c r="D15" s="181" t="s">
        <v>461</v>
      </c>
      <c r="E15" s="181" t="s">
        <v>219</v>
      </c>
      <c r="F15" s="81"/>
      <c r="G15" s="75">
        <f>160000+104095</f>
        <v>264095</v>
      </c>
      <c r="H15" s="75">
        <f t="shared" si="0"/>
        <v>264095</v>
      </c>
      <c r="I15" s="124"/>
      <c r="L15" s="166"/>
    </row>
    <row r="16" spans="1:13" s="111" customFormat="1" ht="48.75" customHeight="1">
      <c r="A16" s="246"/>
      <c r="B16" s="246">
        <v>250404</v>
      </c>
      <c r="C16" s="265" t="s">
        <v>86</v>
      </c>
      <c r="D16" s="270" t="s">
        <v>317</v>
      </c>
      <c r="E16" s="180" t="s">
        <v>158</v>
      </c>
      <c r="F16" s="174">
        <v>364797</v>
      </c>
      <c r="G16" s="167"/>
      <c r="H16" s="164">
        <f t="shared" si="0"/>
        <v>364797</v>
      </c>
      <c r="I16" s="114"/>
      <c r="L16" s="125"/>
      <c r="M16" s="126"/>
    </row>
    <row r="17" spans="1:12" s="111" customFormat="1" ht="47.25">
      <c r="A17" s="249"/>
      <c r="B17" s="249"/>
      <c r="C17" s="273"/>
      <c r="D17" s="272"/>
      <c r="E17" s="181" t="s">
        <v>159</v>
      </c>
      <c r="F17" s="78">
        <v>320052</v>
      </c>
      <c r="G17" s="78"/>
      <c r="H17" s="75">
        <f t="shared" si="0"/>
        <v>320052</v>
      </c>
      <c r="I17" s="114"/>
      <c r="L17" s="166"/>
    </row>
    <row r="18" spans="1:12" s="111" customFormat="1" ht="70.5" customHeight="1">
      <c r="A18" s="249"/>
      <c r="B18" s="249"/>
      <c r="C18" s="273"/>
      <c r="D18" s="272"/>
      <c r="E18" s="181" t="s">
        <v>161</v>
      </c>
      <c r="F18" s="78">
        <f>5944170-242900</f>
        <v>5701270</v>
      </c>
      <c r="G18" s="78"/>
      <c r="H18" s="75">
        <f t="shared" si="0"/>
        <v>5701270</v>
      </c>
      <c r="I18" s="114"/>
      <c r="L18" s="166"/>
    </row>
    <row r="19" spans="1:12" s="111" customFormat="1" ht="55.5" customHeight="1" hidden="1">
      <c r="A19" s="249"/>
      <c r="B19" s="249"/>
      <c r="C19" s="273"/>
      <c r="D19" s="272"/>
      <c r="E19" s="181" t="s">
        <v>62</v>
      </c>
      <c r="F19" s="78"/>
      <c r="G19" s="75"/>
      <c r="H19" s="75">
        <f t="shared" si="0"/>
        <v>0</v>
      </c>
      <c r="I19" s="114"/>
      <c r="L19" s="166"/>
    </row>
    <row r="20" spans="1:12" s="111" customFormat="1" ht="55.5" customHeight="1">
      <c r="A20" s="249"/>
      <c r="B20" s="249"/>
      <c r="C20" s="273"/>
      <c r="D20" s="272"/>
      <c r="E20" s="181" t="s">
        <v>160</v>
      </c>
      <c r="F20" s="78">
        <v>49800</v>
      </c>
      <c r="G20" s="75"/>
      <c r="H20" s="75">
        <f t="shared" si="0"/>
        <v>49800</v>
      </c>
      <c r="I20" s="114"/>
      <c r="L20" s="166"/>
    </row>
    <row r="21" spans="1:12" s="111" customFormat="1" ht="55.5" customHeight="1">
      <c r="A21" s="247"/>
      <c r="B21" s="247"/>
      <c r="C21" s="266"/>
      <c r="D21" s="271"/>
      <c r="E21" s="181" t="s">
        <v>172</v>
      </c>
      <c r="F21" s="78">
        <v>240000</v>
      </c>
      <c r="G21" s="75">
        <v>275000</v>
      </c>
      <c r="H21" s="75">
        <f t="shared" si="0"/>
        <v>515000</v>
      </c>
      <c r="I21" s="114"/>
      <c r="L21" s="166"/>
    </row>
    <row r="22" spans="1:12" s="111" customFormat="1" ht="31.5">
      <c r="A22" s="98"/>
      <c r="B22" s="98" t="s">
        <v>378</v>
      </c>
      <c r="C22" s="98"/>
      <c r="D22" s="99" t="s">
        <v>274</v>
      </c>
      <c r="E22" s="181"/>
      <c r="F22" s="82">
        <f>F24+F25+F27+F28+F29+F31+F32+F33+F34+F36+F37+F38+F39+F45+F46+F47+F48+F50+F51+F52+F53+F54+F56+F57+F58+F59+F60+F62+F63+F64+F65+F66+F26+F30+F35++F61+F41+F42+F49+F43+F44</f>
        <v>172160449</v>
      </c>
      <c r="G22" s="82">
        <f>G24+G25+G27+G28+G29+G31+G32+G33+G34+G36+G37+G38+G39+G45+G46+G47+G48+G50+G51+G52+G53+G54+G56+G57+G58+G59+G60+G62+G63+G64+G65+G66+G26+G30+G35++G61+G41+G42+G49+G43+G44</f>
        <v>133351246</v>
      </c>
      <c r="H22" s="82">
        <f>H24+H25+H27+H28+H29+H31+H32+H33+H34+H36+H37+H38+H39+H45+H46+H47+H48+H50+H51+H52+H53+H54+H56+H57+H58+H59+H60+H62+H63+H64+H65+H66+H26+H30+H35++H61+H41+H42+H49+H43+H44</f>
        <v>305511695</v>
      </c>
      <c r="I22" s="124"/>
      <c r="L22" s="166"/>
    </row>
    <row r="23" spans="1:12" s="111" customFormat="1" ht="43.5" customHeight="1" hidden="1">
      <c r="A23" s="165"/>
      <c r="B23" s="165" t="s">
        <v>402</v>
      </c>
      <c r="C23" s="192"/>
      <c r="D23" s="270" t="s">
        <v>403</v>
      </c>
      <c r="E23" s="194" t="s">
        <v>356</v>
      </c>
      <c r="F23" s="78"/>
      <c r="G23" s="75"/>
      <c r="H23" s="75">
        <f aca="true" t="shared" si="1" ref="H23:H68">F23+G23</f>
        <v>0</v>
      </c>
      <c r="I23" s="114"/>
      <c r="L23" s="166"/>
    </row>
    <row r="24" spans="1:12" s="111" customFormat="1" ht="51.75" customHeight="1">
      <c r="A24" s="190"/>
      <c r="B24" s="192" t="s">
        <v>402</v>
      </c>
      <c r="C24" s="189" t="s">
        <v>83</v>
      </c>
      <c r="D24" s="271"/>
      <c r="E24" s="181" t="s">
        <v>178</v>
      </c>
      <c r="F24" s="78"/>
      <c r="G24" s="80">
        <v>90000</v>
      </c>
      <c r="H24" s="75">
        <f t="shared" si="1"/>
        <v>90000</v>
      </c>
      <c r="I24" s="124"/>
      <c r="L24" s="166"/>
    </row>
    <row r="25" spans="1:12" s="111" customFormat="1" ht="33" customHeight="1">
      <c r="A25" s="278"/>
      <c r="B25" s="267" t="s">
        <v>292</v>
      </c>
      <c r="C25" s="265" t="s">
        <v>87</v>
      </c>
      <c r="D25" s="269" t="s">
        <v>332</v>
      </c>
      <c r="E25" s="181" t="s">
        <v>178</v>
      </c>
      <c r="F25" s="78">
        <f>32782294+819641+1433539+42024</f>
        <v>35077498</v>
      </c>
      <c r="G25" s="78">
        <f>3907580+19960709+3393363-554020+657290</f>
        <v>27364922</v>
      </c>
      <c r="H25" s="75">
        <f t="shared" si="1"/>
        <v>62442420</v>
      </c>
      <c r="I25" s="124"/>
      <c r="K25" s="126"/>
      <c r="L25" s="125"/>
    </row>
    <row r="26" spans="1:12" s="111" customFormat="1" ht="70.5" customHeight="1" hidden="1">
      <c r="A26" s="278"/>
      <c r="B26" s="252"/>
      <c r="C26" s="273"/>
      <c r="D26" s="269"/>
      <c r="E26" s="181" t="s">
        <v>135</v>
      </c>
      <c r="F26" s="78"/>
      <c r="G26" s="78"/>
      <c r="H26" s="75">
        <f t="shared" si="1"/>
        <v>0</v>
      </c>
      <c r="I26" s="124"/>
      <c r="K26" s="126"/>
      <c r="L26" s="125"/>
    </row>
    <row r="27" spans="1:12" s="111" customFormat="1" ht="47.25">
      <c r="A27" s="278"/>
      <c r="B27" s="252"/>
      <c r="C27" s="273"/>
      <c r="D27" s="269"/>
      <c r="E27" s="100" t="s">
        <v>185</v>
      </c>
      <c r="F27" s="83">
        <f>107000+51500+20000+2000+14000+19000+76000+4500+10000</f>
        <v>304000</v>
      </c>
      <c r="G27" s="83">
        <f>36000+37300+9000+9000+47000+9000</f>
        <v>147300</v>
      </c>
      <c r="H27" s="83">
        <f t="shared" si="1"/>
        <v>451300</v>
      </c>
      <c r="I27" s="114"/>
      <c r="L27" s="166"/>
    </row>
    <row r="28" spans="1:12" s="111" customFormat="1" ht="36.75" customHeight="1">
      <c r="A28" s="278"/>
      <c r="B28" s="265" t="s">
        <v>293</v>
      </c>
      <c r="C28" s="265" t="s">
        <v>88</v>
      </c>
      <c r="D28" s="264" t="s">
        <v>333</v>
      </c>
      <c r="E28" s="181" t="s">
        <v>178</v>
      </c>
      <c r="F28" s="78">
        <f>59625947+720875+1150221</f>
        <v>61497043</v>
      </c>
      <c r="G28" s="78">
        <f>6431668+302811+8291922+7846611+554020-262229</f>
        <v>23164803</v>
      </c>
      <c r="H28" s="75">
        <f t="shared" si="1"/>
        <v>84661846</v>
      </c>
      <c r="I28" s="124"/>
      <c r="J28" s="126"/>
      <c r="K28" s="126"/>
      <c r="L28" s="166"/>
    </row>
    <row r="29" spans="1:12" s="111" customFormat="1" ht="45" customHeight="1">
      <c r="A29" s="278"/>
      <c r="B29" s="273"/>
      <c r="C29" s="273"/>
      <c r="D29" s="264"/>
      <c r="E29" s="181" t="s">
        <v>162</v>
      </c>
      <c r="F29" s="78">
        <v>773619</v>
      </c>
      <c r="G29" s="75">
        <v>169486</v>
      </c>
      <c r="H29" s="75">
        <f t="shared" si="1"/>
        <v>943105</v>
      </c>
      <c r="I29" s="114"/>
      <c r="L29" s="166"/>
    </row>
    <row r="30" spans="1:12" s="111" customFormat="1" ht="75.75" customHeight="1" hidden="1">
      <c r="A30" s="278"/>
      <c r="B30" s="273"/>
      <c r="C30" s="273"/>
      <c r="D30" s="264"/>
      <c r="E30" s="181" t="s">
        <v>135</v>
      </c>
      <c r="F30" s="78"/>
      <c r="G30" s="75"/>
      <c r="H30" s="75">
        <f t="shared" si="1"/>
        <v>0</v>
      </c>
      <c r="I30" s="114"/>
      <c r="L30" s="166"/>
    </row>
    <row r="31" spans="1:12" s="111" customFormat="1" ht="47.25">
      <c r="A31" s="278"/>
      <c r="B31" s="266"/>
      <c r="C31" s="266"/>
      <c r="D31" s="264"/>
      <c r="E31" s="100" t="s">
        <v>185</v>
      </c>
      <c r="F31" s="83">
        <f>159500+60000+10000+53165+11000+111500+176000+85000+1000+3000+10000</f>
        <v>680165</v>
      </c>
      <c r="G31" s="102">
        <f>49500+123000+20000+7000+30000+102400+21000+9000+20000</f>
        <v>381900</v>
      </c>
      <c r="H31" s="75">
        <f t="shared" si="1"/>
        <v>1062065</v>
      </c>
      <c r="I31" s="114"/>
      <c r="L31" s="166"/>
    </row>
    <row r="32" spans="1:12" s="111" customFormat="1" ht="35.25" customHeight="1">
      <c r="A32" s="165"/>
      <c r="B32" s="265" t="s">
        <v>294</v>
      </c>
      <c r="C32" s="265" t="s">
        <v>88</v>
      </c>
      <c r="D32" s="270" t="s">
        <v>334</v>
      </c>
      <c r="E32" s="181" t="s">
        <v>178</v>
      </c>
      <c r="F32" s="78">
        <f>39268+12213</f>
        <v>51481</v>
      </c>
      <c r="G32" s="75">
        <f>29500-29500</f>
        <v>0</v>
      </c>
      <c r="H32" s="75">
        <f t="shared" si="1"/>
        <v>51481</v>
      </c>
      <c r="I32" s="124"/>
      <c r="K32" s="126"/>
      <c r="L32" s="166"/>
    </row>
    <row r="33" spans="1:12" s="111" customFormat="1" ht="47.25" customHeight="1">
      <c r="A33" s="107"/>
      <c r="B33" s="266"/>
      <c r="C33" s="266"/>
      <c r="D33" s="271"/>
      <c r="E33" s="100" t="s">
        <v>185</v>
      </c>
      <c r="F33" s="83"/>
      <c r="G33" s="102">
        <v>20000</v>
      </c>
      <c r="H33" s="75">
        <f t="shared" si="1"/>
        <v>20000</v>
      </c>
      <c r="I33" s="124"/>
      <c r="L33" s="166"/>
    </row>
    <row r="34" spans="1:12" s="111" customFormat="1" ht="39" customHeight="1">
      <c r="A34" s="264"/>
      <c r="B34" s="265" t="s">
        <v>251</v>
      </c>
      <c r="C34" s="265" t="s">
        <v>89</v>
      </c>
      <c r="D34" s="279" t="s">
        <v>252</v>
      </c>
      <c r="E34" s="181" t="s">
        <v>178</v>
      </c>
      <c r="F34" s="78">
        <f>876904+70400+384900</f>
        <v>1332204</v>
      </c>
      <c r="G34" s="78">
        <f>27600-27600</f>
        <v>0</v>
      </c>
      <c r="H34" s="75">
        <f t="shared" si="1"/>
        <v>1332204</v>
      </c>
      <c r="I34" s="124"/>
      <c r="L34" s="166"/>
    </row>
    <row r="35" spans="1:12" s="111" customFormat="1" ht="72" customHeight="1" hidden="1">
      <c r="A35" s="264"/>
      <c r="B35" s="273"/>
      <c r="C35" s="273"/>
      <c r="D35" s="279"/>
      <c r="E35" s="181" t="s">
        <v>135</v>
      </c>
      <c r="F35" s="78"/>
      <c r="G35" s="78"/>
      <c r="H35" s="75">
        <f t="shared" si="1"/>
        <v>0</v>
      </c>
      <c r="I35" s="124"/>
      <c r="L35" s="166"/>
    </row>
    <row r="36" spans="1:13" s="111" customFormat="1" ht="47.25">
      <c r="A36" s="264"/>
      <c r="B36" s="273"/>
      <c r="C36" s="273"/>
      <c r="D36" s="279"/>
      <c r="E36" s="100" t="s">
        <v>185</v>
      </c>
      <c r="F36" s="92">
        <f>1000+2000+7000</f>
        <v>10000</v>
      </c>
      <c r="G36" s="92">
        <f>1000+1000+4900+4000</f>
        <v>10900</v>
      </c>
      <c r="H36" s="75">
        <f t="shared" si="1"/>
        <v>20900</v>
      </c>
      <c r="I36" s="114"/>
      <c r="L36" s="125"/>
      <c r="M36" s="126"/>
    </row>
    <row r="37" spans="1:13" s="111" customFormat="1" ht="54.75" customHeight="1" hidden="1">
      <c r="A37" s="264"/>
      <c r="B37" s="266"/>
      <c r="C37" s="266"/>
      <c r="D37" s="279"/>
      <c r="E37" s="181" t="s">
        <v>238</v>
      </c>
      <c r="F37" s="75"/>
      <c r="G37" s="156"/>
      <c r="H37" s="75">
        <f t="shared" si="1"/>
        <v>0</v>
      </c>
      <c r="I37" s="114"/>
      <c r="L37" s="125"/>
      <c r="M37" s="126"/>
    </row>
    <row r="38" spans="1:12" s="111" customFormat="1" ht="33" customHeight="1" hidden="1">
      <c r="A38" s="191"/>
      <c r="B38" s="192" t="s">
        <v>517</v>
      </c>
      <c r="C38" s="192" t="s">
        <v>90</v>
      </c>
      <c r="D38" s="195" t="s">
        <v>516</v>
      </c>
      <c r="E38" s="181" t="s">
        <v>138</v>
      </c>
      <c r="F38" s="80"/>
      <c r="G38" s="75"/>
      <c r="H38" s="75">
        <f t="shared" si="1"/>
        <v>0</v>
      </c>
      <c r="I38" s="124"/>
      <c r="L38" s="166"/>
    </row>
    <row r="39" spans="1:12" s="111" customFormat="1" ht="39" customHeight="1" hidden="1">
      <c r="A39" s="265"/>
      <c r="B39" s="265" t="s">
        <v>8</v>
      </c>
      <c r="C39" s="192" t="s">
        <v>90</v>
      </c>
      <c r="D39" s="270" t="s">
        <v>75</v>
      </c>
      <c r="E39" s="181" t="s">
        <v>138</v>
      </c>
      <c r="F39" s="75"/>
      <c r="G39" s="75"/>
      <c r="H39" s="75">
        <f t="shared" si="1"/>
        <v>0</v>
      </c>
      <c r="I39" s="124"/>
      <c r="L39" s="166"/>
    </row>
    <row r="40" spans="1:12" s="111" customFormat="1" ht="63.75" customHeight="1" hidden="1">
      <c r="A40" s="266"/>
      <c r="B40" s="266"/>
      <c r="C40" s="190"/>
      <c r="D40" s="271"/>
      <c r="E40" s="181" t="s">
        <v>346</v>
      </c>
      <c r="F40" s="75"/>
      <c r="G40" s="75"/>
      <c r="H40" s="75">
        <f t="shared" si="1"/>
        <v>0</v>
      </c>
      <c r="I40" s="114"/>
      <c r="L40" s="166"/>
    </row>
    <row r="41" spans="1:12" s="111" customFormat="1" ht="49.5" customHeight="1">
      <c r="A41" s="265"/>
      <c r="B41" s="265" t="s">
        <v>153</v>
      </c>
      <c r="C41" s="265" t="s">
        <v>154</v>
      </c>
      <c r="D41" s="270" t="s">
        <v>155</v>
      </c>
      <c r="E41" s="181" t="s">
        <v>180</v>
      </c>
      <c r="F41" s="75">
        <v>50289342</v>
      </c>
      <c r="G41" s="75"/>
      <c r="H41" s="75">
        <f t="shared" si="1"/>
        <v>50289342</v>
      </c>
      <c r="I41" s="114"/>
      <c r="L41" s="166"/>
    </row>
    <row r="42" spans="1:12" s="111" customFormat="1" ht="48" customHeight="1">
      <c r="A42" s="266"/>
      <c r="B42" s="264"/>
      <c r="C42" s="264"/>
      <c r="D42" s="279"/>
      <c r="E42" s="100" t="s">
        <v>185</v>
      </c>
      <c r="F42" s="92">
        <v>35000</v>
      </c>
      <c r="G42" s="92">
        <f>25000+7000+4000</f>
        <v>36000</v>
      </c>
      <c r="H42" s="92">
        <f t="shared" si="1"/>
        <v>71000</v>
      </c>
      <c r="I42" s="114"/>
      <c r="L42" s="166"/>
    </row>
    <row r="43" spans="1:12" s="111" customFormat="1" ht="41.25" customHeight="1" hidden="1">
      <c r="A43" s="189"/>
      <c r="B43" s="189" t="s">
        <v>517</v>
      </c>
      <c r="C43" s="192" t="s">
        <v>90</v>
      </c>
      <c r="D43" s="196" t="s">
        <v>516</v>
      </c>
      <c r="E43" s="181" t="s">
        <v>178</v>
      </c>
      <c r="F43" s="75"/>
      <c r="G43" s="75">
        <f>23961-23961</f>
        <v>0</v>
      </c>
      <c r="H43" s="75">
        <f t="shared" si="1"/>
        <v>0</v>
      </c>
      <c r="I43" s="114"/>
      <c r="L43" s="166"/>
    </row>
    <row r="44" spans="1:12" s="111" customFormat="1" ht="41.25" customHeight="1" hidden="1">
      <c r="A44" s="191"/>
      <c r="B44" s="191" t="s">
        <v>8</v>
      </c>
      <c r="C44" s="192" t="s">
        <v>90</v>
      </c>
      <c r="D44" s="181" t="s">
        <v>75</v>
      </c>
      <c r="E44" s="181" t="s">
        <v>178</v>
      </c>
      <c r="F44" s="75"/>
      <c r="G44" s="75">
        <f>54000-54000</f>
        <v>0</v>
      </c>
      <c r="H44" s="75">
        <f t="shared" si="1"/>
        <v>0</v>
      </c>
      <c r="I44" s="114"/>
      <c r="L44" s="166"/>
    </row>
    <row r="45" spans="1:12" s="111" customFormat="1" ht="31.5" customHeight="1">
      <c r="A45" s="192"/>
      <c r="B45" s="192" t="s">
        <v>524</v>
      </c>
      <c r="C45" s="192" t="s">
        <v>90</v>
      </c>
      <c r="D45" s="195" t="s">
        <v>525</v>
      </c>
      <c r="E45" s="181" t="s">
        <v>178</v>
      </c>
      <c r="F45" s="75">
        <v>199900</v>
      </c>
      <c r="G45" s="75">
        <v>598910</v>
      </c>
      <c r="H45" s="75">
        <f t="shared" si="1"/>
        <v>798810</v>
      </c>
      <c r="I45" s="124"/>
      <c r="K45" s="126"/>
      <c r="L45" s="166"/>
    </row>
    <row r="46" spans="1:12" s="111" customFormat="1" ht="36" customHeight="1">
      <c r="A46" s="193"/>
      <c r="B46" s="191" t="s">
        <v>518</v>
      </c>
      <c r="C46" s="191" t="s">
        <v>90</v>
      </c>
      <c r="D46" s="181" t="s">
        <v>519</v>
      </c>
      <c r="E46" s="181" t="s">
        <v>178</v>
      </c>
      <c r="F46" s="75">
        <f>39497+193314</f>
        <v>232811</v>
      </c>
      <c r="G46" s="75">
        <f>16000+260000-260000</f>
        <v>16000</v>
      </c>
      <c r="H46" s="75">
        <f t="shared" si="1"/>
        <v>248811</v>
      </c>
      <c r="I46" s="114"/>
      <c r="L46" s="166"/>
    </row>
    <row r="47" spans="1:12" s="111" customFormat="1" ht="33.75" customHeight="1">
      <c r="A47" s="191"/>
      <c r="B47" s="276" t="s">
        <v>357</v>
      </c>
      <c r="C47" s="265" t="s">
        <v>90</v>
      </c>
      <c r="D47" s="270" t="s">
        <v>344</v>
      </c>
      <c r="E47" s="181" t="s">
        <v>178</v>
      </c>
      <c r="F47" s="75">
        <v>153000</v>
      </c>
      <c r="G47" s="75"/>
      <c r="H47" s="75">
        <f t="shared" si="1"/>
        <v>153000</v>
      </c>
      <c r="I47" s="114"/>
      <c r="L47" s="166"/>
    </row>
    <row r="48" spans="1:12" s="111" customFormat="1" ht="51" customHeight="1" hidden="1">
      <c r="A48" s="189"/>
      <c r="B48" s="250"/>
      <c r="C48" s="273"/>
      <c r="D48" s="272"/>
      <c r="E48" s="100" t="s">
        <v>125</v>
      </c>
      <c r="F48" s="75"/>
      <c r="G48" s="92"/>
      <c r="H48" s="75">
        <f t="shared" si="1"/>
        <v>0</v>
      </c>
      <c r="I48" s="114"/>
      <c r="L48" s="166"/>
    </row>
    <row r="49" spans="1:12" s="111" customFormat="1" ht="51" customHeight="1">
      <c r="A49" s="189"/>
      <c r="B49" s="191" t="s">
        <v>174</v>
      </c>
      <c r="C49" s="191" t="s">
        <v>175</v>
      </c>
      <c r="D49" s="181" t="s">
        <v>176</v>
      </c>
      <c r="E49" s="181" t="s">
        <v>238</v>
      </c>
      <c r="F49" s="75">
        <v>61873</v>
      </c>
      <c r="G49" s="92"/>
      <c r="H49" s="75">
        <f t="shared" si="1"/>
        <v>61873</v>
      </c>
      <c r="I49" s="114"/>
      <c r="L49" s="166"/>
    </row>
    <row r="50" spans="1:12" s="111" customFormat="1" ht="31.5">
      <c r="A50" s="104"/>
      <c r="B50" s="104" t="s">
        <v>306</v>
      </c>
      <c r="C50" s="104" t="s">
        <v>91</v>
      </c>
      <c r="D50" s="181" t="s">
        <v>253</v>
      </c>
      <c r="E50" s="181" t="s">
        <v>163</v>
      </c>
      <c r="F50" s="77">
        <v>441109</v>
      </c>
      <c r="G50" s="77"/>
      <c r="H50" s="75">
        <f t="shared" si="1"/>
        <v>441109</v>
      </c>
      <c r="I50" s="114"/>
      <c r="L50" s="166"/>
    </row>
    <row r="51" spans="1:13" s="111" customFormat="1" ht="78.75">
      <c r="A51" s="191"/>
      <c r="B51" s="191" t="s">
        <v>295</v>
      </c>
      <c r="C51" s="191" t="s">
        <v>91</v>
      </c>
      <c r="D51" s="181" t="s">
        <v>328</v>
      </c>
      <c r="E51" s="181" t="s">
        <v>162</v>
      </c>
      <c r="F51" s="78">
        <v>9996158</v>
      </c>
      <c r="G51" s="87"/>
      <c r="H51" s="75">
        <f t="shared" si="1"/>
        <v>9996158</v>
      </c>
      <c r="I51" s="114"/>
      <c r="L51" s="125"/>
      <c r="M51" s="126"/>
    </row>
    <row r="52" spans="1:12" s="111" customFormat="1" ht="31.5">
      <c r="A52" s="192"/>
      <c r="B52" s="187" t="s">
        <v>394</v>
      </c>
      <c r="C52" s="192" t="s">
        <v>92</v>
      </c>
      <c r="D52" s="200" t="s">
        <v>395</v>
      </c>
      <c r="E52" s="194" t="s">
        <v>164</v>
      </c>
      <c r="F52" s="78">
        <v>221182</v>
      </c>
      <c r="G52" s="87"/>
      <c r="H52" s="75">
        <f t="shared" si="1"/>
        <v>221182</v>
      </c>
      <c r="I52" s="114"/>
      <c r="L52" s="166"/>
    </row>
    <row r="53" spans="1:12" s="111" customFormat="1" ht="31.5">
      <c r="A53" s="191"/>
      <c r="B53" s="191" t="s">
        <v>478</v>
      </c>
      <c r="C53" s="191" t="s">
        <v>92</v>
      </c>
      <c r="D53" s="181" t="s">
        <v>479</v>
      </c>
      <c r="E53" s="194" t="s">
        <v>164</v>
      </c>
      <c r="F53" s="78">
        <v>73322</v>
      </c>
      <c r="G53" s="75"/>
      <c r="H53" s="75">
        <f t="shared" si="1"/>
        <v>73322</v>
      </c>
      <c r="I53" s="114"/>
      <c r="L53" s="166"/>
    </row>
    <row r="54" spans="1:12" s="111" customFormat="1" ht="31.5" customHeight="1">
      <c r="A54" s="273"/>
      <c r="B54" s="192">
        <v>130107</v>
      </c>
      <c r="C54" s="192" t="s">
        <v>92</v>
      </c>
      <c r="D54" s="173" t="s">
        <v>428</v>
      </c>
      <c r="E54" s="194" t="s">
        <v>164</v>
      </c>
      <c r="F54" s="78">
        <f>645610+687463+76270+971759</f>
        <v>2381102</v>
      </c>
      <c r="G54" s="78">
        <f>522008+3358128</f>
        <v>3880136</v>
      </c>
      <c r="H54" s="75">
        <f t="shared" si="1"/>
        <v>6261238</v>
      </c>
      <c r="I54" s="124"/>
      <c r="K54" s="126"/>
      <c r="L54" s="166"/>
    </row>
    <row r="55" spans="1:12" s="111" customFormat="1" ht="45" customHeight="1" hidden="1">
      <c r="A55" s="266"/>
      <c r="B55" s="107"/>
      <c r="C55" s="107"/>
      <c r="D55" s="184"/>
      <c r="E55" s="100" t="s">
        <v>80</v>
      </c>
      <c r="F55" s="79"/>
      <c r="G55" s="79"/>
      <c r="H55" s="79"/>
      <c r="I55" s="124"/>
      <c r="L55" s="166"/>
    </row>
    <row r="56" spans="1:12" s="111" customFormat="1" ht="31.5">
      <c r="A56" s="191"/>
      <c r="B56" s="191" t="s">
        <v>392</v>
      </c>
      <c r="C56" s="191" t="s">
        <v>92</v>
      </c>
      <c r="D56" s="181" t="s">
        <v>393</v>
      </c>
      <c r="E56" s="194" t="s">
        <v>164</v>
      </c>
      <c r="F56" s="78">
        <f>1367676+193827</f>
        <v>1561503</v>
      </c>
      <c r="G56" s="75"/>
      <c r="H56" s="75">
        <f>F56+G56</f>
        <v>1561503</v>
      </c>
      <c r="I56" s="114"/>
      <c r="L56" s="166"/>
    </row>
    <row r="57" spans="1:12" s="111" customFormat="1" ht="37.5" customHeight="1">
      <c r="A57" s="197"/>
      <c r="B57" s="172">
        <v>130112</v>
      </c>
      <c r="C57" s="191" t="s">
        <v>92</v>
      </c>
      <c r="D57" s="181" t="s">
        <v>317</v>
      </c>
      <c r="E57" s="194" t="s">
        <v>164</v>
      </c>
      <c r="F57" s="77">
        <f>80000+2643200+605445</f>
        <v>3328645</v>
      </c>
      <c r="G57" s="77">
        <v>65880</v>
      </c>
      <c r="H57" s="75">
        <f t="shared" si="1"/>
        <v>3394525</v>
      </c>
      <c r="I57" s="124"/>
      <c r="L57" s="166"/>
    </row>
    <row r="58" spans="1:12" s="111" customFormat="1" ht="34.5" customHeight="1">
      <c r="A58" s="265"/>
      <c r="B58" s="276" t="s">
        <v>309</v>
      </c>
      <c r="C58" s="265" t="s">
        <v>85</v>
      </c>
      <c r="D58" s="280" t="s">
        <v>310</v>
      </c>
      <c r="E58" s="181" t="s">
        <v>178</v>
      </c>
      <c r="F58" s="80"/>
      <c r="G58" s="91">
        <f>39202905+6220254-578+20094271-13860467-745237-5060000</f>
        <v>45851148</v>
      </c>
      <c r="H58" s="75">
        <f t="shared" si="1"/>
        <v>45851148</v>
      </c>
      <c r="I58" s="124"/>
      <c r="L58" s="166"/>
    </row>
    <row r="59" spans="1:12" s="111" customFormat="1" ht="34.5" customHeight="1">
      <c r="A59" s="273"/>
      <c r="B59" s="250"/>
      <c r="C59" s="273"/>
      <c r="D59" s="281"/>
      <c r="E59" s="194" t="s">
        <v>164</v>
      </c>
      <c r="F59" s="80"/>
      <c r="G59" s="80">
        <f>2393223+578+30000000-10000000-20000000+158110-124410</f>
        <v>2427501</v>
      </c>
      <c r="H59" s="75">
        <f t="shared" si="1"/>
        <v>2427501</v>
      </c>
      <c r="I59" s="114"/>
      <c r="L59" s="166"/>
    </row>
    <row r="60" spans="1:12" s="111" customFormat="1" ht="54" customHeight="1">
      <c r="A60" s="191"/>
      <c r="B60" s="191" t="s">
        <v>121</v>
      </c>
      <c r="C60" s="191" t="s">
        <v>88</v>
      </c>
      <c r="D60" s="181" t="s">
        <v>122</v>
      </c>
      <c r="E60" s="181" t="s">
        <v>178</v>
      </c>
      <c r="F60" s="80"/>
      <c r="G60" s="80">
        <f>20487424-2250000+2250000+999545</f>
        <v>21486969</v>
      </c>
      <c r="H60" s="75">
        <f>G60+F60</f>
        <v>21486969</v>
      </c>
      <c r="I60" s="114"/>
      <c r="L60" s="166"/>
    </row>
    <row r="61" spans="1:12" s="178" customFormat="1" ht="58.5" customHeight="1">
      <c r="A61" s="176"/>
      <c r="B61" s="191" t="s">
        <v>141</v>
      </c>
      <c r="C61" s="191" t="s">
        <v>89</v>
      </c>
      <c r="D61" s="181" t="s">
        <v>142</v>
      </c>
      <c r="E61" s="181" t="s">
        <v>178</v>
      </c>
      <c r="F61" s="175"/>
      <c r="G61" s="80">
        <v>6407552</v>
      </c>
      <c r="H61" s="75">
        <f>G61+F61</f>
        <v>6407552</v>
      </c>
      <c r="I61" s="177"/>
      <c r="L61" s="179"/>
    </row>
    <row r="62" spans="1:12" s="111" customFormat="1" ht="52.5" customHeight="1" hidden="1">
      <c r="A62" s="191"/>
      <c r="B62" s="191" t="s">
        <v>444</v>
      </c>
      <c r="C62" s="191" t="s">
        <v>93</v>
      </c>
      <c r="D62" s="181" t="s">
        <v>445</v>
      </c>
      <c r="E62" s="194" t="s">
        <v>78</v>
      </c>
      <c r="F62" s="80"/>
      <c r="G62" s="80"/>
      <c r="H62" s="75">
        <f t="shared" si="1"/>
        <v>0</v>
      </c>
      <c r="I62" s="114"/>
      <c r="L62" s="166"/>
    </row>
    <row r="63" spans="1:12" s="111" customFormat="1" ht="52.5" customHeight="1" hidden="1">
      <c r="A63" s="181"/>
      <c r="B63" s="181">
        <v>200700</v>
      </c>
      <c r="C63" s="191" t="s">
        <v>94</v>
      </c>
      <c r="D63" s="181" t="s">
        <v>362</v>
      </c>
      <c r="E63" s="181" t="s">
        <v>127</v>
      </c>
      <c r="F63" s="80"/>
      <c r="G63" s="78"/>
      <c r="H63" s="75">
        <f t="shared" si="1"/>
        <v>0</v>
      </c>
      <c r="I63" s="124"/>
      <c r="L63" s="166"/>
    </row>
    <row r="64" spans="1:12" s="111" customFormat="1" ht="52.5" customHeight="1">
      <c r="A64" s="180"/>
      <c r="B64" s="180">
        <v>240601</v>
      </c>
      <c r="C64" s="191" t="s">
        <v>95</v>
      </c>
      <c r="D64" s="180" t="s">
        <v>331</v>
      </c>
      <c r="E64" s="181" t="s">
        <v>190</v>
      </c>
      <c r="F64" s="80"/>
      <c r="G64" s="78">
        <f>70000+856110-856110+98000+758110</f>
        <v>926110</v>
      </c>
      <c r="H64" s="75">
        <f t="shared" si="1"/>
        <v>926110</v>
      </c>
      <c r="I64" s="124"/>
      <c r="L64" s="166"/>
    </row>
    <row r="65" spans="1:12" s="111" customFormat="1" ht="47.25">
      <c r="A65" s="104"/>
      <c r="B65" s="104" t="s">
        <v>249</v>
      </c>
      <c r="C65" s="104" t="s">
        <v>96</v>
      </c>
      <c r="D65" s="181" t="s">
        <v>250</v>
      </c>
      <c r="E65" s="270" t="s">
        <v>191</v>
      </c>
      <c r="F65" s="81">
        <v>3347492</v>
      </c>
      <c r="G65" s="103">
        <f>128259+177470</f>
        <v>305729</v>
      </c>
      <c r="H65" s="75">
        <f t="shared" si="1"/>
        <v>3653221</v>
      </c>
      <c r="I65" s="114"/>
      <c r="L65" s="166"/>
    </row>
    <row r="66" spans="1:13" s="111" customFormat="1" ht="63">
      <c r="A66" s="104"/>
      <c r="B66" s="104" t="s">
        <v>543</v>
      </c>
      <c r="C66" s="104" t="s">
        <v>96</v>
      </c>
      <c r="D66" s="181" t="s">
        <v>544</v>
      </c>
      <c r="E66" s="271"/>
      <c r="F66" s="81">
        <v>112000</v>
      </c>
      <c r="G66" s="103"/>
      <c r="H66" s="75">
        <f t="shared" si="1"/>
        <v>112000</v>
      </c>
      <c r="I66" s="114"/>
      <c r="L66" s="125"/>
      <c r="M66" s="126"/>
    </row>
    <row r="67" spans="1:13" s="111" customFormat="1" ht="31.5" hidden="1">
      <c r="A67" s="104"/>
      <c r="B67" s="98" t="s">
        <v>205</v>
      </c>
      <c r="C67" s="104"/>
      <c r="D67" s="99" t="s">
        <v>206</v>
      </c>
      <c r="E67" s="180"/>
      <c r="F67" s="82">
        <f>F68</f>
        <v>0</v>
      </c>
      <c r="G67" s="82">
        <f>G68</f>
        <v>0</v>
      </c>
      <c r="H67" s="82">
        <f>H68</f>
        <v>0</v>
      </c>
      <c r="I67" s="114"/>
      <c r="L67" s="125"/>
      <c r="M67" s="126"/>
    </row>
    <row r="68" spans="1:13" s="111" customFormat="1" ht="31.5" hidden="1">
      <c r="A68" s="104"/>
      <c r="B68" s="104" t="s">
        <v>402</v>
      </c>
      <c r="C68" s="104" t="s">
        <v>83</v>
      </c>
      <c r="D68" s="181" t="s">
        <v>403</v>
      </c>
      <c r="E68" s="194" t="s">
        <v>213</v>
      </c>
      <c r="F68" s="81"/>
      <c r="G68" s="103">
        <f>124340-124340</f>
        <v>0</v>
      </c>
      <c r="H68" s="75">
        <f t="shared" si="1"/>
        <v>0</v>
      </c>
      <c r="I68" s="114"/>
      <c r="L68" s="125"/>
      <c r="M68" s="126"/>
    </row>
    <row r="69" spans="1:12" s="111" customFormat="1" ht="46.5" customHeight="1">
      <c r="A69" s="98"/>
      <c r="B69" s="98" t="s">
        <v>379</v>
      </c>
      <c r="C69" s="98"/>
      <c r="D69" s="99" t="s">
        <v>207</v>
      </c>
      <c r="E69" s="181"/>
      <c r="F69" s="82">
        <f>F70+F71+F73+F74+F75+F76+F78+F79+F81+F82+F87+F86+F72+F88+F84+F85</f>
        <v>82278313</v>
      </c>
      <c r="G69" s="82">
        <f>G70+G71+G73+G74+G75+G76+G78+G79+G81+G82+G87+G86+G72+G88+G84+G85</f>
        <v>140698165</v>
      </c>
      <c r="H69" s="82">
        <f>H70+H71+H73+H74+H75+H76+H78+H79+H81+H82+H87+H86+H72+H88+H84+H85</f>
        <v>222976478</v>
      </c>
      <c r="I69" s="124"/>
      <c r="L69" s="166"/>
    </row>
    <row r="70" spans="1:12" s="111" customFormat="1" ht="48" customHeight="1">
      <c r="A70" s="192"/>
      <c r="B70" s="192" t="s">
        <v>402</v>
      </c>
      <c r="C70" s="192" t="s">
        <v>83</v>
      </c>
      <c r="D70" s="195" t="s">
        <v>403</v>
      </c>
      <c r="E70" s="181" t="s">
        <v>199</v>
      </c>
      <c r="F70" s="82"/>
      <c r="G70" s="75">
        <f>112054+88380</f>
        <v>200434</v>
      </c>
      <c r="H70" s="75">
        <f>G70+F70</f>
        <v>200434</v>
      </c>
      <c r="I70" s="124"/>
      <c r="L70" s="166"/>
    </row>
    <row r="71" spans="1:12" s="111" customFormat="1" ht="52.5" customHeight="1">
      <c r="A71" s="264"/>
      <c r="B71" s="278" t="s">
        <v>297</v>
      </c>
      <c r="C71" s="265" t="s">
        <v>97</v>
      </c>
      <c r="D71" s="269" t="s">
        <v>244</v>
      </c>
      <c r="E71" s="181" t="s">
        <v>199</v>
      </c>
      <c r="F71" s="78">
        <f>27068643+1988626-686574+1510860</f>
        <v>29881555</v>
      </c>
      <c r="G71" s="78">
        <f>5498507+1101562+35355288-2608567-1999900</f>
        <v>37346890</v>
      </c>
      <c r="H71" s="75">
        <f>G71+F71</f>
        <v>67228445</v>
      </c>
      <c r="I71" s="124"/>
      <c r="J71" s="126"/>
      <c r="K71" s="126"/>
      <c r="L71" s="166"/>
    </row>
    <row r="72" spans="1:12" s="111" customFormat="1" ht="52.5" customHeight="1">
      <c r="A72" s="264"/>
      <c r="B72" s="278"/>
      <c r="C72" s="273"/>
      <c r="D72" s="269"/>
      <c r="E72" s="181" t="s">
        <v>193</v>
      </c>
      <c r="F72" s="78">
        <f>332535+686574+3800+4662</f>
        <v>1027571</v>
      </c>
      <c r="G72" s="78">
        <f>280256-3800</f>
        <v>276456</v>
      </c>
      <c r="H72" s="75">
        <f aca="true" t="shared" si="2" ref="H72:H88">G72+F72</f>
        <v>1304027</v>
      </c>
      <c r="I72" s="124"/>
      <c r="J72" s="126"/>
      <c r="K72" s="126"/>
      <c r="L72" s="166"/>
    </row>
    <row r="73" spans="1:14" s="111" customFormat="1" ht="48" customHeight="1">
      <c r="A73" s="264"/>
      <c r="B73" s="278"/>
      <c r="C73" s="266"/>
      <c r="D73" s="269"/>
      <c r="E73" s="100" t="s">
        <v>185</v>
      </c>
      <c r="F73" s="88">
        <f>26000+5040</f>
        <v>31040</v>
      </c>
      <c r="G73" s="88">
        <f>20000+6700-6700+27000+9000+9000+9960</f>
        <v>74960</v>
      </c>
      <c r="H73" s="88">
        <f t="shared" si="2"/>
        <v>106000</v>
      </c>
      <c r="I73" s="127"/>
      <c r="J73" s="128"/>
      <c r="K73" s="128"/>
      <c r="L73" s="129"/>
      <c r="M73" s="128"/>
      <c r="N73" s="128"/>
    </row>
    <row r="74" spans="1:12" s="111" customFormat="1" ht="50.25" customHeight="1">
      <c r="A74" s="265"/>
      <c r="B74" s="264" t="s">
        <v>336</v>
      </c>
      <c r="C74" s="264" t="s">
        <v>98</v>
      </c>
      <c r="D74" s="279" t="s">
        <v>469</v>
      </c>
      <c r="E74" s="181" t="s">
        <v>181</v>
      </c>
      <c r="F74" s="78">
        <v>1977969</v>
      </c>
      <c r="G74" s="78">
        <f>1622997+5271580-392392</f>
        <v>6502185</v>
      </c>
      <c r="H74" s="75">
        <f t="shared" si="2"/>
        <v>8480154</v>
      </c>
      <c r="I74" s="124"/>
      <c r="K74" s="126"/>
      <c r="L74" s="166"/>
    </row>
    <row r="75" spans="1:12" s="111" customFormat="1" ht="50.25" customHeight="1">
      <c r="A75" s="273"/>
      <c r="B75" s="264"/>
      <c r="C75" s="264"/>
      <c r="D75" s="279"/>
      <c r="E75" s="100" t="s">
        <v>185</v>
      </c>
      <c r="F75" s="83">
        <f>10000+5000</f>
        <v>15000</v>
      </c>
      <c r="G75" s="101">
        <v>15000</v>
      </c>
      <c r="H75" s="83">
        <f t="shared" si="2"/>
        <v>30000</v>
      </c>
      <c r="I75" s="124"/>
      <c r="K75" s="126"/>
      <c r="L75" s="166"/>
    </row>
    <row r="76" spans="1:12" s="111" customFormat="1" ht="52.5" customHeight="1">
      <c r="A76" s="265"/>
      <c r="B76" s="265" t="s">
        <v>298</v>
      </c>
      <c r="C76" s="265" t="s">
        <v>99</v>
      </c>
      <c r="D76" s="270" t="s">
        <v>76</v>
      </c>
      <c r="E76" s="181" t="s">
        <v>199</v>
      </c>
      <c r="F76" s="78">
        <v>613924</v>
      </c>
      <c r="G76" s="75"/>
      <c r="H76" s="75">
        <f t="shared" si="2"/>
        <v>613924</v>
      </c>
      <c r="I76" s="124"/>
      <c r="L76" s="166"/>
    </row>
    <row r="77" spans="1:12" s="111" customFormat="1" ht="54" customHeight="1" hidden="1">
      <c r="A77" s="266"/>
      <c r="B77" s="266"/>
      <c r="C77" s="266"/>
      <c r="D77" s="271"/>
      <c r="E77" s="100" t="s">
        <v>80</v>
      </c>
      <c r="F77" s="84"/>
      <c r="G77" s="84"/>
      <c r="H77" s="75">
        <f t="shared" si="2"/>
        <v>0</v>
      </c>
      <c r="I77" s="114"/>
      <c r="L77" s="166"/>
    </row>
    <row r="78" spans="1:12" s="111" customFormat="1" ht="50.25" customHeight="1">
      <c r="A78" s="265"/>
      <c r="B78" s="265" t="s">
        <v>299</v>
      </c>
      <c r="C78" s="265" t="s">
        <v>100</v>
      </c>
      <c r="D78" s="270" t="s">
        <v>77</v>
      </c>
      <c r="E78" s="181" t="s">
        <v>199</v>
      </c>
      <c r="F78" s="78">
        <v>3174772</v>
      </c>
      <c r="G78" s="78">
        <f>1025287+188750</f>
        <v>1214037</v>
      </c>
      <c r="H78" s="75">
        <f t="shared" si="2"/>
        <v>4388809</v>
      </c>
      <c r="I78" s="124"/>
      <c r="K78" s="126"/>
      <c r="L78" s="166"/>
    </row>
    <row r="79" spans="1:12" s="111" customFormat="1" ht="47.25" customHeight="1" hidden="1">
      <c r="A79" s="274"/>
      <c r="B79" s="274"/>
      <c r="C79" s="266"/>
      <c r="D79" s="274"/>
      <c r="E79" s="100" t="s">
        <v>125</v>
      </c>
      <c r="F79" s="78"/>
      <c r="G79" s="75"/>
      <c r="H79" s="75">
        <f t="shared" si="2"/>
        <v>0</v>
      </c>
      <c r="I79" s="114"/>
      <c r="L79" s="166"/>
    </row>
    <row r="80" spans="1:12" s="111" customFormat="1" ht="75.75" customHeight="1" hidden="1">
      <c r="A80" s="105"/>
      <c r="B80" s="104">
        <v>80704</v>
      </c>
      <c r="C80" s="106"/>
      <c r="D80" s="192" t="s">
        <v>358</v>
      </c>
      <c r="E80" s="181" t="s">
        <v>359</v>
      </c>
      <c r="F80" s="78"/>
      <c r="G80" s="78"/>
      <c r="H80" s="75">
        <f t="shared" si="2"/>
        <v>0</v>
      </c>
      <c r="I80" s="114"/>
      <c r="L80" s="166"/>
    </row>
    <row r="81" spans="1:12" s="204" customFormat="1" ht="50.25" customHeight="1">
      <c r="A81" s="265"/>
      <c r="B81" s="265" t="s">
        <v>526</v>
      </c>
      <c r="C81" s="265" t="s">
        <v>101</v>
      </c>
      <c r="D81" s="270" t="s">
        <v>527</v>
      </c>
      <c r="E81" s="181" t="s">
        <v>193</v>
      </c>
      <c r="F81" s="78">
        <f>22541816+15792183+15200-4662-1065672</f>
        <v>37278865</v>
      </c>
      <c r="G81" s="78">
        <f>25901113-280256-15200+576421+1065672-576421</f>
        <v>26671329</v>
      </c>
      <c r="H81" s="75">
        <f t="shared" si="2"/>
        <v>63950194</v>
      </c>
      <c r="I81" s="203"/>
      <c r="J81" s="206"/>
      <c r="K81" s="206"/>
      <c r="L81" s="205"/>
    </row>
    <row r="82" spans="1:12" s="111" customFormat="1" ht="57" customHeight="1">
      <c r="A82" s="266"/>
      <c r="B82" s="273"/>
      <c r="C82" s="273"/>
      <c r="D82" s="272"/>
      <c r="E82" s="100" t="s">
        <v>185</v>
      </c>
      <c r="F82" s="83">
        <f>10000+10000</f>
        <v>20000</v>
      </c>
      <c r="G82" s="83">
        <v>6700</v>
      </c>
      <c r="H82" s="83">
        <f t="shared" si="2"/>
        <v>26700</v>
      </c>
      <c r="I82" s="124"/>
      <c r="L82" s="166"/>
    </row>
    <row r="83" spans="1:12" s="111" customFormat="1" ht="63.75" customHeight="1" hidden="1">
      <c r="A83" s="190"/>
      <c r="B83" s="266"/>
      <c r="C83" s="266"/>
      <c r="D83" s="271"/>
      <c r="E83" s="181" t="s">
        <v>79</v>
      </c>
      <c r="F83" s="149">
        <f>4581-4581</f>
        <v>0</v>
      </c>
      <c r="G83" s="75"/>
      <c r="H83" s="75">
        <f t="shared" si="2"/>
        <v>0</v>
      </c>
      <c r="I83" s="124"/>
      <c r="L83" s="166"/>
    </row>
    <row r="84" spans="1:12" s="111" customFormat="1" ht="46.5" customHeight="1">
      <c r="A84" s="190"/>
      <c r="B84" s="191" t="s">
        <v>337</v>
      </c>
      <c r="C84" s="192" t="s">
        <v>102</v>
      </c>
      <c r="D84" s="195" t="s">
        <v>338</v>
      </c>
      <c r="E84" s="181" t="s">
        <v>199</v>
      </c>
      <c r="F84" s="149"/>
      <c r="G84" s="75">
        <v>39000</v>
      </c>
      <c r="H84" s="75">
        <f t="shared" si="2"/>
        <v>39000</v>
      </c>
      <c r="I84" s="124"/>
      <c r="L84" s="166"/>
    </row>
    <row r="85" spans="1:12" s="111" customFormat="1" ht="63.75" customHeight="1">
      <c r="A85" s="191"/>
      <c r="B85" s="191" t="s">
        <v>39</v>
      </c>
      <c r="C85" s="191" t="s">
        <v>102</v>
      </c>
      <c r="D85" s="181" t="s">
        <v>40</v>
      </c>
      <c r="E85" s="181" t="s">
        <v>199</v>
      </c>
      <c r="F85" s="78"/>
      <c r="G85" s="78">
        <v>37749</v>
      </c>
      <c r="H85" s="75">
        <f t="shared" si="2"/>
        <v>37749</v>
      </c>
      <c r="I85" s="124"/>
      <c r="L85" s="166"/>
    </row>
    <row r="86" spans="1:12" s="111" customFormat="1" ht="46.5" customHeight="1">
      <c r="A86" s="191"/>
      <c r="B86" s="192" t="s">
        <v>301</v>
      </c>
      <c r="C86" s="192" t="s">
        <v>102</v>
      </c>
      <c r="D86" s="195" t="s">
        <v>470</v>
      </c>
      <c r="E86" s="181" t="s">
        <v>199</v>
      </c>
      <c r="F86" s="78">
        <v>8257617</v>
      </c>
      <c r="G86" s="87"/>
      <c r="H86" s="75">
        <f t="shared" si="2"/>
        <v>8257617</v>
      </c>
      <c r="I86" s="114"/>
      <c r="L86" s="166"/>
    </row>
    <row r="87" spans="1:12" s="111" customFormat="1" ht="50.25" customHeight="1">
      <c r="A87" s="265"/>
      <c r="B87" s="265" t="s">
        <v>309</v>
      </c>
      <c r="C87" s="265" t="s">
        <v>85</v>
      </c>
      <c r="D87" s="195" t="s">
        <v>310</v>
      </c>
      <c r="E87" s="181" t="s">
        <v>199</v>
      </c>
      <c r="F87" s="75"/>
      <c r="G87" s="75">
        <f>30839960+18999747-10297824-30839960+2043451+5799473+8630894+1999900</f>
        <v>27175641</v>
      </c>
      <c r="H87" s="75">
        <f t="shared" si="2"/>
        <v>27175641</v>
      </c>
      <c r="I87" s="124"/>
      <c r="L87" s="166"/>
    </row>
    <row r="88" spans="1:12" s="111" customFormat="1" ht="47.25" customHeight="1">
      <c r="A88" s="266"/>
      <c r="B88" s="266"/>
      <c r="C88" s="266"/>
      <c r="D88" s="195" t="s">
        <v>310</v>
      </c>
      <c r="E88" s="181" t="s">
        <v>192</v>
      </c>
      <c r="F88" s="75"/>
      <c r="G88" s="75">
        <f>10297824+30839960+8630894-8630894</f>
        <v>41137784</v>
      </c>
      <c r="H88" s="75">
        <f t="shared" si="2"/>
        <v>41137784</v>
      </c>
      <c r="I88" s="124"/>
      <c r="L88" s="166"/>
    </row>
    <row r="89" spans="1:12" s="111" customFormat="1" ht="49.5" customHeight="1">
      <c r="A89" s="98"/>
      <c r="B89" s="98" t="s">
        <v>380</v>
      </c>
      <c r="C89" s="98"/>
      <c r="D89" s="99" t="s">
        <v>276</v>
      </c>
      <c r="E89" s="181"/>
      <c r="F89" s="85">
        <f>F90+F92+F93+F94+F95+F96+F97+F98+F100+F102+F103+F104+F105+F106+F99+F101</f>
        <v>114803363</v>
      </c>
      <c r="G89" s="85">
        <f>G90+G92+G93+G94+G95+G96+G97+G98+G100+G102+G103+G104+G105+G106+G99+G101</f>
        <v>12372239</v>
      </c>
      <c r="H89" s="85">
        <f>H90+H92+H93+H94+H95+H96+H97+H98+H100+H102+H103+H104+H105+H106+H99+H101</f>
        <v>127175602</v>
      </c>
      <c r="I89" s="124"/>
      <c r="L89" s="166"/>
    </row>
    <row r="90" spans="1:12" s="111" customFormat="1" ht="47.25" customHeight="1">
      <c r="A90" s="278"/>
      <c r="B90" s="267" t="s">
        <v>402</v>
      </c>
      <c r="C90" s="265" t="s">
        <v>83</v>
      </c>
      <c r="D90" s="269" t="s">
        <v>403</v>
      </c>
      <c r="E90" s="194" t="s">
        <v>198</v>
      </c>
      <c r="F90" s="160"/>
      <c r="G90" s="75">
        <f>85230+3658163+3248939-650008</f>
        <v>6342324</v>
      </c>
      <c r="H90" s="75">
        <f aca="true" t="shared" si="3" ref="H90:H108">F90+G90</f>
        <v>6342324</v>
      </c>
      <c r="I90" s="124"/>
      <c r="L90" s="166"/>
    </row>
    <row r="91" spans="1:12" s="111" customFormat="1" ht="63.75" customHeight="1" hidden="1">
      <c r="A91" s="278"/>
      <c r="B91" s="268"/>
      <c r="C91" s="266"/>
      <c r="D91" s="269"/>
      <c r="E91" s="181" t="s">
        <v>79</v>
      </c>
      <c r="F91" s="75">
        <f>478-478</f>
        <v>0</v>
      </c>
      <c r="G91" s="87"/>
      <c r="H91" s="75">
        <f t="shared" si="3"/>
        <v>0</v>
      </c>
      <c r="I91" s="114"/>
      <c r="L91" s="166"/>
    </row>
    <row r="92" spans="1:12" s="111" customFormat="1" ht="223.5" customHeight="1">
      <c r="A92" s="191"/>
      <c r="B92" s="191" t="s">
        <v>145</v>
      </c>
      <c r="C92" s="191" t="s">
        <v>104</v>
      </c>
      <c r="D92" s="216" t="s">
        <v>149</v>
      </c>
      <c r="E92" s="194" t="s">
        <v>198</v>
      </c>
      <c r="F92" s="75">
        <f>1104818-975934+926322</f>
        <v>1055206</v>
      </c>
      <c r="G92" s="87">
        <v>40000</v>
      </c>
      <c r="H92" s="75">
        <f t="shared" si="3"/>
        <v>1095206</v>
      </c>
      <c r="I92" s="114"/>
      <c r="L92" s="166"/>
    </row>
    <row r="93" spans="1:12" s="111" customFormat="1" ht="81.75" customHeight="1">
      <c r="A93" s="198"/>
      <c r="B93" s="198" t="s">
        <v>146</v>
      </c>
      <c r="C93" s="192" t="s">
        <v>106</v>
      </c>
      <c r="D93" s="200" t="s">
        <v>150</v>
      </c>
      <c r="E93" s="194" t="s">
        <v>198</v>
      </c>
      <c r="F93" s="75">
        <f>31224-19088+17933</f>
        <v>30069</v>
      </c>
      <c r="G93" s="87"/>
      <c r="H93" s="75">
        <f t="shared" si="3"/>
        <v>30069</v>
      </c>
      <c r="I93" s="114"/>
      <c r="L93" s="166"/>
    </row>
    <row r="94" spans="1:12" s="111" customFormat="1" ht="52.5" customHeight="1">
      <c r="A94" s="198"/>
      <c r="B94" s="198" t="s">
        <v>147</v>
      </c>
      <c r="C94" s="192" t="s">
        <v>106</v>
      </c>
      <c r="D94" s="200" t="s">
        <v>151</v>
      </c>
      <c r="E94" s="194" t="s">
        <v>198</v>
      </c>
      <c r="F94" s="75">
        <f>3972991-1769670+1661036</f>
        <v>3864357</v>
      </c>
      <c r="G94" s="87"/>
      <c r="H94" s="75">
        <f t="shared" si="3"/>
        <v>3864357</v>
      </c>
      <c r="I94" s="114"/>
      <c r="L94" s="166"/>
    </row>
    <row r="95" spans="1:12" s="111" customFormat="1" ht="51" customHeight="1">
      <c r="A95" s="265"/>
      <c r="B95" s="278" t="s">
        <v>311</v>
      </c>
      <c r="C95" s="265" t="s">
        <v>105</v>
      </c>
      <c r="D95" s="269" t="s">
        <v>318</v>
      </c>
      <c r="E95" s="194" t="s">
        <v>198</v>
      </c>
      <c r="F95" s="78">
        <f>14431093+3688680+78400</f>
        <v>18198173</v>
      </c>
      <c r="G95" s="87"/>
      <c r="H95" s="75">
        <f t="shared" si="3"/>
        <v>18198173</v>
      </c>
      <c r="I95" s="114"/>
      <c r="L95" s="166"/>
    </row>
    <row r="96" spans="1:12" s="111" customFormat="1" ht="50.25" customHeight="1">
      <c r="A96" s="266"/>
      <c r="B96" s="278"/>
      <c r="C96" s="266"/>
      <c r="D96" s="269"/>
      <c r="E96" s="100" t="s">
        <v>185</v>
      </c>
      <c r="F96" s="202">
        <f>7680000-602500-386500-39000-24450-88165-71900-58000-163500-40000-14000-16000+5120000-322400-347000-159000-14000-50000</f>
        <v>10403585</v>
      </c>
      <c r="G96" s="183"/>
      <c r="H96" s="202">
        <f t="shared" si="3"/>
        <v>10403585</v>
      </c>
      <c r="I96" s="114"/>
      <c r="L96" s="166"/>
    </row>
    <row r="97" spans="1:12" s="111" customFormat="1" ht="51.75" customHeight="1">
      <c r="A97" s="199"/>
      <c r="B97" s="199" t="s">
        <v>305</v>
      </c>
      <c r="C97" s="189" t="s">
        <v>91</v>
      </c>
      <c r="D97" s="196" t="s">
        <v>475</v>
      </c>
      <c r="E97" s="194" t="s">
        <v>198</v>
      </c>
      <c r="F97" s="78">
        <f>241392+3795</f>
        <v>245187</v>
      </c>
      <c r="G97" s="78"/>
      <c r="H97" s="75">
        <f t="shared" si="3"/>
        <v>245187</v>
      </c>
      <c r="I97" s="114"/>
      <c r="L97" s="166"/>
    </row>
    <row r="98" spans="1:12" s="111" customFormat="1" ht="51.75" customHeight="1">
      <c r="A98" s="264"/>
      <c r="B98" s="278" t="s">
        <v>400</v>
      </c>
      <c r="C98" s="265" t="s">
        <v>103</v>
      </c>
      <c r="D98" s="269" t="s">
        <v>401</v>
      </c>
      <c r="E98" s="194" t="s">
        <v>198</v>
      </c>
      <c r="F98" s="78">
        <f>24282162-1962420+422135+515486</f>
        <v>23257363</v>
      </c>
      <c r="G98" s="78">
        <f>530597+1104952</f>
        <v>1635549</v>
      </c>
      <c r="H98" s="75">
        <f t="shared" si="3"/>
        <v>24892912</v>
      </c>
      <c r="I98" s="124"/>
      <c r="K98" s="126"/>
      <c r="L98" s="166"/>
    </row>
    <row r="99" spans="1:12" s="111" customFormat="1" ht="51" customHeight="1">
      <c r="A99" s="264"/>
      <c r="B99" s="278"/>
      <c r="C99" s="266"/>
      <c r="D99" s="269"/>
      <c r="E99" s="100" t="s">
        <v>185</v>
      </c>
      <c r="F99" s="86">
        <v>2000</v>
      </c>
      <c r="G99" s="89">
        <f>9000+10000+5000+7000+4000+10000</f>
        <v>45000</v>
      </c>
      <c r="H99" s="92">
        <f t="shared" si="3"/>
        <v>47000</v>
      </c>
      <c r="I99" s="114"/>
      <c r="L99" s="166"/>
    </row>
    <row r="100" spans="1:13" s="111" customFormat="1" ht="55.5" customHeight="1">
      <c r="A100" s="265"/>
      <c r="B100" s="265" t="s">
        <v>248</v>
      </c>
      <c r="C100" s="265" t="s">
        <v>104</v>
      </c>
      <c r="D100" s="270" t="s">
        <v>242</v>
      </c>
      <c r="E100" s="194" t="s">
        <v>198</v>
      </c>
      <c r="F100" s="78">
        <f>1756555+120000</f>
        <v>1876555</v>
      </c>
      <c r="G100" s="87"/>
      <c r="H100" s="75">
        <f t="shared" si="3"/>
        <v>1876555</v>
      </c>
      <c r="I100" s="114"/>
      <c r="L100" s="125"/>
      <c r="M100" s="126"/>
    </row>
    <row r="101" spans="1:13" s="111" customFormat="1" ht="55.5" customHeight="1">
      <c r="A101" s="266"/>
      <c r="B101" s="266"/>
      <c r="C101" s="266"/>
      <c r="D101" s="271"/>
      <c r="E101" s="100" t="s">
        <v>185</v>
      </c>
      <c r="F101" s="78">
        <f>2000+5000+1000</f>
        <v>8000</v>
      </c>
      <c r="G101" s="87">
        <f>7000+5000</f>
        <v>12000</v>
      </c>
      <c r="H101" s="75">
        <f t="shared" si="3"/>
        <v>20000</v>
      </c>
      <c r="I101" s="114"/>
      <c r="L101" s="125"/>
      <c r="M101" s="126"/>
    </row>
    <row r="102" spans="1:12" s="111" customFormat="1" ht="51.75" customHeight="1">
      <c r="A102" s="191"/>
      <c r="B102" s="191" t="s">
        <v>309</v>
      </c>
      <c r="C102" s="191" t="s">
        <v>85</v>
      </c>
      <c r="D102" s="181" t="s">
        <v>310</v>
      </c>
      <c r="E102" s="194" t="s">
        <v>198</v>
      </c>
      <c r="F102" s="80"/>
      <c r="G102" s="91">
        <f>342900+584067+3370399</f>
        <v>4297366</v>
      </c>
      <c r="H102" s="75">
        <f t="shared" si="3"/>
        <v>4297366</v>
      </c>
      <c r="I102" s="124"/>
      <c r="L102" s="166"/>
    </row>
    <row r="103" spans="1:13" s="111" customFormat="1" ht="55.5" customHeight="1">
      <c r="A103" s="191"/>
      <c r="B103" s="191" t="s">
        <v>258</v>
      </c>
      <c r="C103" s="191" t="s">
        <v>106</v>
      </c>
      <c r="D103" s="181" t="s">
        <v>472</v>
      </c>
      <c r="E103" s="194" t="s">
        <v>198</v>
      </c>
      <c r="F103" s="78">
        <f>440100+4633716-3475290+3717116</f>
        <v>5315642</v>
      </c>
      <c r="G103" s="103"/>
      <c r="H103" s="75">
        <f t="shared" si="3"/>
        <v>5315642</v>
      </c>
      <c r="I103" s="114"/>
      <c r="L103" s="125"/>
      <c r="M103" s="126"/>
    </row>
    <row r="104" spans="1:13" s="111" customFormat="1" ht="50.25" customHeight="1">
      <c r="A104" s="191"/>
      <c r="B104" s="191" t="s">
        <v>312</v>
      </c>
      <c r="C104" s="191" t="s">
        <v>106</v>
      </c>
      <c r="D104" s="181" t="s">
        <v>473</v>
      </c>
      <c r="E104" s="194" t="s">
        <v>198</v>
      </c>
      <c r="F104" s="78">
        <f>1073287-1073287+2147630</f>
        <v>2147630</v>
      </c>
      <c r="G104" s="103"/>
      <c r="H104" s="75">
        <f t="shared" si="3"/>
        <v>2147630</v>
      </c>
      <c r="I104" s="114"/>
      <c r="L104" s="125"/>
      <c r="M104" s="126"/>
    </row>
    <row r="105" spans="1:13" s="111" customFormat="1" ht="52.5" customHeight="1">
      <c r="A105" s="191"/>
      <c r="B105" s="191" t="s">
        <v>148</v>
      </c>
      <c r="C105" s="191" t="s">
        <v>106</v>
      </c>
      <c r="D105" s="181" t="s">
        <v>152</v>
      </c>
      <c r="E105" s="194" t="s">
        <v>198</v>
      </c>
      <c r="F105" s="78">
        <f>3895736-2840933+3268018</f>
        <v>4322821</v>
      </c>
      <c r="G105" s="103"/>
      <c r="H105" s="75">
        <f t="shared" si="3"/>
        <v>4322821</v>
      </c>
      <c r="I105" s="114"/>
      <c r="L105" s="125"/>
      <c r="M105" s="126"/>
    </row>
    <row r="106" spans="1:13" s="111" customFormat="1" ht="54.75" customHeight="1">
      <c r="A106" s="191"/>
      <c r="B106" s="191" t="s">
        <v>342</v>
      </c>
      <c r="C106" s="191" t="s">
        <v>106</v>
      </c>
      <c r="D106" s="181" t="s">
        <v>239</v>
      </c>
      <c r="E106" s="194" t="s">
        <v>198</v>
      </c>
      <c r="F106" s="78">
        <f>1760400+43900228-32925170+31341317</f>
        <v>44076775</v>
      </c>
      <c r="G106" s="103"/>
      <c r="H106" s="75">
        <f t="shared" si="3"/>
        <v>44076775</v>
      </c>
      <c r="I106" s="114"/>
      <c r="L106" s="125"/>
      <c r="M106" s="126"/>
    </row>
    <row r="107" spans="1:12" s="111" customFormat="1" ht="36.75" customHeight="1">
      <c r="A107" s="98"/>
      <c r="B107" s="98" t="s">
        <v>413</v>
      </c>
      <c r="C107" s="98"/>
      <c r="D107" s="99" t="s">
        <v>417</v>
      </c>
      <c r="E107" s="181"/>
      <c r="F107" s="82">
        <f>F108</f>
        <v>0</v>
      </c>
      <c r="G107" s="82">
        <f>G108</f>
        <v>168971</v>
      </c>
      <c r="H107" s="82">
        <f>H108</f>
        <v>168971</v>
      </c>
      <c r="I107" s="114"/>
      <c r="L107" s="166"/>
    </row>
    <row r="108" spans="1:12" s="111" customFormat="1" ht="39.75" customHeight="1">
      <c r="A108" s="191"/>
      <c r="B108" s="104" t="s">
        <v>402</v>
      </c>
      <c r="C108" s="191" t="s">
        <v>83</v>
      </c>
      <c r="D108" s="181" t="s">
        <v>403</v>
      </c>
      <c r="E108" s="194" t="s">
        <v>213</v>
      </c>
      <c r="F108" s="78"/>
      <c r="G108" s="91">
        <v>168971</v>
      </c>
      <c r="H108" s="75">
        <f t="shared" si="3"/>
        <v>168971</v>
      </c>
      <c r="I108" s="114"/>
      <c r="L108" s="166"/>
    </row>
    <row r="109" spans="1:12" s="111" customFormat="1" ht="47.25" customHeight="1" hidden="1">
      <c r="A109" s="98"/>
      <c r="B109" s="98" t="s">
        <v>424</v>
      </c>
      <c r="C109" s="98"/>
      <c r="D109" s="99" t="s">
        <v>425</v>
      </c>
      <c r="E109" s="194"/>
      <c r="F109" s="82">
        <f>F110</f>
        <v>0</v>
      </c>
      <c r="G109" s="82">
        <f>G110</f>
        <v>0</v>
      </c>
      <c r="H109" s="82">
        <f>H110</f>
        <v>0</v>
      </c>
      <c r="I109" s="114"/>
      <c r="L109" s="166"/>
    </row>
    <row r="110" spans="1:12" s="111" customFormat="1" ht="55.5" customHeight="1" hidden="1">
      <c r="A110" s="191"/>
      <c r="B110" s="191" t="s">
        <v>402</v>
      </c>
      <c r="C110" s="191" t="s">
        <v>83</v>
      </c>
      <c r="D110" s="181" t="s">
        <v>403</v>
      </c>
      <c r="E110" s="194" t="s">
        <v>137</v>
      </c>
      <c r="F110" s="78"/>
      <c r="G110" s="91"/>
      <c r="H110" s="75">
        <f>F110+G110</f>
        <v>0</v>
      </c>
      <c r="I110" s="124"/>
      <c r="L110" s="166"/>
    </row>
    <row r="111" spans="1:12" s="111" customFormat="1" ht="36.75" customHeight="1">
      <c r="A111" s="98"/>
      <c r="B111" s="98" t="s">
        <v>385</v>
      </c>
      <c r="C111" s="96"/>
      <c r="D111" s="99" t="s">
        <v>208</v>
      </c>
      <c r="E111" s="181"/>
      <c r="F111" s="82">
        <f>F113+F115+F116+F118+F119+F120+F121+F123+F125+F128+F129+F112</f>
        <v>5055572</v>
      </c>
      <c r="G111" s="82">
        <f>G113+G115+G116+G118+G119+G120+G121+G123+G125+G128+G129+G112</f>
        <v>11229271</v>
      </c>
      <c r="H111" s="82">
        <f>H113+H115+H116+H118+H119+H120+H121+H123+H125+H128+H129+H112</f>
        <v>16284843</v>
      </c>
      <c r="I111" s="124"/>
      <c r="J111" s="126"/>
      <c r="L111" s="166"/>
    </row>
    <row r="112" spans="1:12" s="111" customFormat="1" ht="51" customHeight="1">
      <c r="A112" s="98"/>
      <c r="B112" s="278" t="s">
        <v>402</v>
      </c>
      <c r="C112" s="265" t="s">
        <v>83</v>
      </c>
      <c r="D112" s="269" t="s">
        <v>403</v>
      </c>
      <c r="E112" s="181" t="s">
        <v>177</v>
      </c>
      <c r="F112" s="82"/>
      <c r="G112" s="78">
        <f>41908+152797</f>
        <v>194705</v>
      </c>
      <c r="H112" s="91">
        <f aca="true" t="shared" si="4" ref="H112:H128">G112+F112</f>
        <v>194705</v>
      </c>
      <c r="I112" s="124"/>
      <c r="L112" s="166"/>
    </row>
    <row r="113" spans="1:12" s="111" customFormat="1" ht="31.5" customHeight="1" hidden="1">
      <c r="A113" s="264"/>
      <c r="B113" s="278" t="s">
        <v>396</v>
      </c>
      <c r="C113" s="273" t="s">
        <v>107</v>
      </c>
      <c r="D113" s="269" t="s">
        <v>397</v>
      </c>
      <c r="E113" s="181" t="s">
        <v>139</v>
      </c>
      <c r="F113" s="78"/>
      <c r="G113" s="75"/>
      <c r="H113" s="91">
        <f t="shared" si="4"/>
        <v>0</v>
      </c>
      <c r="I113" s="124"/>
      <c r="L113" s="166"/>
    </row>
    <row r="114" spans="1:12" s="111" customFormat="1" ht="65.25" customHeight="1" hidden="1">
      <c r="A114" s="264"/>
      <c r="B114" s="278"/>
      <c r="C114" s="266"/>
      <c r="D114" s="269"/>
      <c r="E114" s="181" t="s">
        <v>360</v>
      </c>
      <c r="F114" s="78"/>
      <c r="G114" s="75"/>
      <c r="H114" s="91">
        <f t="shared" si="4"/>
        <v>0</v>
      </c>
      <c r="I114" s="114"/>
      <c r="L114" s="166"/>
    </row>
    <row r="115" spans="1:12" s="111" customFormat="1" ht="53.25" customHeight="1">
      <c r="A115" s="264"/>
      <c r="B115" s="278" t="s">
        <v>398</v>
      </c>
      <c r="C115" s="265" t="s">
        <v>108</v>
      </c>
      <c r="D115" s="269" t="s">
        <v>399</v>
      </c>
      <c r="E115" s="181" t="s">
        <v>177</v>
      </c>
      <c r="F115" s="78">
        <f>1010838-143449</f>
        <v>867389</v>
      </c>
      <c r="G115" s="78">
        <f>827309+269015</f>
        <v>1096324</v>
      </c>
      <c r="H115" s="91">
        <f t="shared" si="4"/>
        <v>1963713</v>
      </c>
      <c r="I115" s="124"/>
      <c r="K115" s="126"/>
      <c r="L115" s="166"/>
    </row>
    <row r="116" spans="1:12" s="111" customFormat="1" ht="57.75" customHeight="1">
      <c r="A116" s="264"/>
      <c r="B116" s="278"/>
      <c r="C116" s="273"/>
      <c r="D116" s="269"/>
      <c r="E116" s="100" t="s">
        <v>185</v>
      </c>
      <c r="F116" s="84">
        <v>6000</v>
      </c>
      <c r="G116" s="101">
        <f>10000+10000+12000</f>
        <v>32000</v>
      </c>
      <c r="H116" s="101">
        <f t="shared" si="4"/>
        <v>38000</v>
      </c>
      <c r="I116" s="114"/>
      <c r="L116" s="166"/>
    </row>
    <row r="117" spans="1:12" s="111" customFormat="1" ht="62.25" customHeight="1" hidden="1">
      <c r="A117" s="264"/>
      <c r="B117" s="278"/>
      <c r="C117" s="266"/>
      <c r="D117" s="269"/>
      <c r="E117" s="181" t="s">
        <v>79</v>
      </c>
      <c r="F117" s="150"/>
      <c r="G117" s="79"/>
      <c r="H117" s="91">
        <f t="shared" si="4"/>
        <v>0</v>
      </c>
      <c r="I117" s="114"/>
      <c r="L117" s="166"/>
    </row>
    <row r="118" spans="1:12" s="111" customFormat="1" ht="60" customHeight="1">
      <c r="A118" s="265"/>
      <c r="B118" s="267" t="s">
        <v>406</v>
      </c>
      <c r="C118" s="265" t="s">
        <v>109</v>
      </c>
      <c r="D118" s="280" t="s">
        <v>407</v>
      </c>
      <c r="E118" s="181" t="s">
        <v>177</v>
      </c>
      <c r="F118" s="78"/>
      <c r="G118" s="78">
        <f>70689+1177500+245130</f>
        <v>1493319</v>
      </c>
      <c r="H118" s="91">
        <f t="shared" si="4"/>
        <v>1493319</v>
      </c>
      <c r="I118" s="124"/>
      <c r="J118" s="126"/>
      <c r="K118" s="126"/>
      <c r="L118" s="166"/>
    </row>
    <row r="119" spans="1:12" s="111" customFormat="1" ht="47.25">
      <c r="A119" s="274"/>
      <c r="B119" s="275"/>
      <c r="C119" s="266"/>
      <c r="D119" s="220"/>
      <c r="E119" s="100" t="s">
        <v>185</v>
      </c>
      <c r="F119" s="88">
        <v>15000</v>
      </c>
      <c r="G119" s="101"/>
      <c r="H119" s="91">
        <f t="shared" si="4"/>
        <v>15000</v>
      </c>
      <c r="I119" s="114"/>
      <c r="L119" s="166"/>
    </row>
    <row r="120" spans="1:12" s="111" customFormat="1" ht="63" customHeight="1">
      <c r="A120" s="265"/>
      <c r="B120" s="265" t="s">
        <v>404</v>
      </c>
      <c r="C120" s="265" t="s">
        <v>89</v>
      </c>
      <c r="D120" s="270" t="s">
        <v>405</v>
      </c>
      <c r="E120" s="181" t="s">
        <v>177</v>
      </c>
      <c r="F120" s="78">
        <f>208398+113010</f>
        <v>321408</v>
      </c>
      <c r="G120" s="78">
        <v>5898984</v>
      </c>
      <c r="H120" s="91">
        <f t="shared" si="4"/>
        <v>6220392</v>
      </c>
      <c r="I120" s="124"/>
      <c r="K120" s="126"/>
      <c r="L120" s="166"/>
    </row>
    <row r="121" spans="1:12" s="131" customFormat="1" ht="52.5" customHeight="1">
      <c r="A121" s="273"/>
      <c r="B121" s="273"/>
      <c r="C121" s="273"/>
      <c r="D121" s="272"/>
      <c r="E121" s="100" t="s">
        <v>185</v>
      </c>
      <c r="F121" s="93"/>
      <c r="G121" s="93">
        <v>15000</v>
      </c>
      <c r="H121" s="93">
        <f>G121+F121</f>
        <v>15000</v>
      </c>
      <c r="I121" s="130"/>
      <c r="K121" s="132"/>
      <c r="L121" s="133"/>
    </row>
    <row r="122" spans="1:12" s="111" customFormat="1" ht="62.25" customHeight="1" hidden="1">
      <c r="A122" s="273"/>
      <c r="B122" s="273"/>
      <c r="C122" s="266"/>
      <c r="D122" s="272"/>
      <c r="E122" s="181" t="s">
        <v>79</v>
      </c>
      <c r="F122" s="149"/>
      <c r="G122" s="79"/>
      <c r="H122" s="91">
        <f t="shared" si="4"/>
        <v>0</v>
      </c>
      <c r="I122" s="114"/>
      <c r="L122" s="166"/>
    </row>
    <row r="123" spans="1:13" s="111" customFormat="1" ht="60.75" customHeight="1">
      <c r="A123" s="246"/>
      <c r="B123" s="246">
        <v>110300</v>
      </c>
      <c r="C123" s="192" t="s">
        <v>111</v>
      </c>
      <c r="D123" s="270" t="s">
        <v>255</v>
      </c>
      <c r="E123" s="181" t="s">
        <v>177</v>
      </c>
      <c r="F123" s="77">
        <v>1892351</v>
      </c>
      <c r="G123" s="79"/>
      <c r="H123" s="91">
        <f t="shared" si="4"/>
        <v>1892351</v>
      </c>
      <c r="I123" s="114"/>
      <c r="L123" s="125"/>
      <c r="M123" s="126"/>
    </row>
    <row r="124" spans="1:12" s="111" customFormat="1" ht="63" customHeight="1" hidden="1">
      <c r="A124" s="247"/>
      <c r="B124" s="247"/>
      <c r="C124" s="185"/>
      <c r="D124" s="271"/>
      <c r="E124" s="181" t="s">
        <v>236</v>
      </c>
      <c r="F124" s="77"/>
      <c r="G124" s="79"/>
      <c r="H124" s="91">
        <f t="shared" si="4"/>
        <v>0</v>
      </c>
      <c r="I124" s="114"/>
      <c r="L124" s="166"/>
    </row>
    <row r="125" spans="1:12" s="111" customFormat="1" ht="60" customHeight="1">
      <c r="A125" s="248"/>
      <c r="B125" s="168">
        <v>110502</v>
      </c>
      <c r="C125" s="192" t="s">
        <v>110</v>
      </c>
      <c r="D125" s="194" t="s">
        <v>243</v>
      </c>
      <c r="E125" s="181" t="s">
        <v>177</v>
      </c>
      <c r="F125" s="81">
        <f>1127787+825637</f>
        <v>1953424</v>
      </c>
      <c r="G125" s="81"/>
      <c r="H125" s="91">
        <f t="shared" si="4"/>
        <v>1953424</v>
      </c>
      <c r="I125" s="114"/>
      <c r="L125" s="166"/>
    </row>
    <row r="126" spans="1:12" s="111" customFormat="1" ht="55.5" customHeight="1" hidden="1">
      <c r="A126" s="248"/>
      <c r="B126" s="168"/>
      <c r="C126" s="186"/>
      <c r="D126" s="194"/>
      <c r="E126" s="181" t="s">
        <v>361</v>
      </c>
      <c r="F126" s="81"/>
      <c r="G126" s="103"/>
      <c r="H126" s="91">
        <f t="shared" si="4"/>
        <v>0</v>
      </c>
      <c r="I126" s="114"/>
      <c r="L126" s="166"/>
    </row>
    <row r="127" spans="1:12" s="111" customFormat="1" ht="68.25" customHeight="1" hidden="1">
      <c r="A127" s="248"/>
      <c r="B127" s="168"/>
      <c r="C127" s="186"/>
      <c r="D127" s="194"/>
      <c r="E127" s="181" t="s">
        <v>360</v>
      </c>
      <c r="F127" s="81"/>
      <c r="G127" s="103"/>
      <c r="H127" s="91">
        <f t="shared" si="4"/>
        <v>0</v>
      </c>
      <c r="I127" s="114"/>
      <c r="L127" s="166"/>
    </row>
    <row r="128" spans="1:12" s="111" customFormat="1" ht="56.25" customHeight="1">
      <c r="A128" s="191"/>
      <c r="B128" s="191" t="s">
        <v>309</v>
      </c>
      <c r="C128" s="191" t="s">
        <v>85</v>
      </c>
      <c r="D128" s="181" t="s">
        <v>310</v>
      </c>
      <c r="E128" s="181" t="s">
        <v>177</v>
      </c>
      <c r="F128" s="80"/>
      <c r="G128" s="75">
        <v>2498939</v>
      </c>
      <c r="H128" s="91">
        <f t="shared" si="4"/>
        <v>2498939</v>
      </c>
      <c r="I128" s="124"/>
      <c r="L128" s="166"/>
    </row>
    <row r="129" spans="1:12" s="111" customFormat="1" ht="66.75" customHeight="1" hidden="1">
      <c r="A129" s="191"/>
      <c r="B129" s="191" t="s">
        <v>296</v>
      </c>
      <c r="C129" s="191" t="s">
        <v>86</v>
      </c>
      <c r="D129" s="181" t="s">
        <v>461</v>
      </c>
      <c r="E129" s="181" t="s">
        <v>156</v>
      </c>
      <c r="F129" s="80"/>
      <c r="G129" s="75"/>
      <c r="H129" s="91">
        <f>G129+F129</f>
        <v>0</v>
      </c>
      <c r="I129" s="124"/>
      <c r="L129" s="166"/>
    </row>
    <row r="130" spans="1:12" s="111" customFormat="1" ht="54" customHeight="1">
      <c r="A130" s="98"/>
      <c r="B130" s="98" t="s">
        <v>384</v>
      </c>
      <c r="C130" s="98"/>
      <c r="D130" s="99" t="s">
        <v>211</v>
      </c>
      <c r="E130" s="181"/>
      <c r="F130" s="82">
        <f>F131+F132+F133+F135+F134</f>
        <v>4314321</v>
      </c>
      <c r="G130" s="82">
        <f>G131+G132+G133+G135+G134</f>
        <v>7194428</v>
      </c>
      <c r="H130" s="82">
        <f>H131+H132+H133+H135+H134</f>
        <v>11508749</v>
      </c>
      <c r="I130" s="124"/>
      <c r="L130" s="166"/>
    </row>
    <row r="131" spans="1:12" s="111" customFormat="1" ht="57.75" customHeight="1">
      <c r="A131" s="191"/>
      <c r="B131" s="191" t="s">
        <v>402</v>
      </c>
      <c r="C131" s="191" t="s">
        <v>83</v>
      </c>
      <c r="D131" s="181" t="s">
        <v>403</v>
      </c>
      <c r="E131" s="194" t="s">
        <v>194</v>
      </c>
      <c r="F131" s="78">
        <f>3085987</f>
        <v>3085987</v>
      </c>
      <c r="G131" s="75">
        <v>3265882</v>
      </c>
      <c r="H131" s="75">
        <f aca="true" t="shared" si="5" ref="H131:H142">F131+G131</f>
        <v>6351869</v>
      </c>
      <c r="I131" s="124"/>
      <c r="L131" s="166"/>
    </row>
    <row r="132" spans="1:12" s="111" customFormat="1" ht="26.25" customHeight="1" hidden="1">
      <c r="A132" s="192"/>
      <c r="B132" s="276" t="s">
        <v>309</v>
      </c>
      <c r="C132" s="267" t="s">
        <v>85</v>
      </c>
      <c r="D132" s="270" t="s">
        <v>310</v>
      </c>
      <c r="E132" s="194"/>
      <c r="F132" s="80"/>
      <c r="G132" s="75"/>
      <c r="H132" s="75">
        <f t="shared" si="5"/>
        <v>0</v>
      </c>
      <c r="I132" s="124"/>
      <c r="L132" s="166"/>
    </row>
    <row r="133" spans="1:12" s="111" customFormat="1" ht="72" customHeight="1">
      <c r="A133" s="190"/>
      <c r="B133" s="277"/>
      <c r="C133" s="268"/>
      <c r="D133" s="271"/>
      <c r="E133" s="194" t="s">
        <v>194</v>
      </c>
      <c r="F133" s="80"/>
      <c r="G133" s="87">
        <f>10280415-6351869</f>
        <v>3928546</v>
      </c>
      <c r="H133" s="75">
        <f>G133+F133</f>
        <v>3928546</v>
      </c>
      <c r="I133" s="124"/>
      <c r="L133" s="166"/>
    </row>
    <row r="134" spans="1:13" s="111" customFormat="1" ht="60.75" customHeight="1">
      <c r="A134" s="198"/>
      <c r="B134" s="191" t="s">
        <v>327</v>
      </c>
      <c r="C134" s="192" t="s">
        <v>93</v>
      </c>
      <c r="D134" s="195" t="s">
        <v>458</v>
      </c>
      <c r="E134" s="194" t="s">
        <v>218</v>
      </c>
      <c r="F134" s="78">
        <f>492000-7000</f>
        <v>485000</v>
      </c>
      <c r="G134" s="78"/>
      <c r="H134" s="75">
        <f t="shared" si="5"/>
        <v>485000</v>
      </c>
      <c r="I134" s="114"/>
      <c r="L134" s="125"/>
      <c r="M134" s="126"/>
    </row>
    <row r="135" spans="1:13" s="111" customFormat="1" ht="57" customHeight="1">
      <c r="A135" s="193"/>
      <c r="B135" s="190" t="s">
        <v>302</v>
      </c>
      <c r="C135" s="191" t="s">
        <v>86</v>
      </c>
      <c r="D135" s="181" t="s">
        <v>317</v>
      </c>
      <c r="E135" s="90" t="s">
        <v>217</v>
      </c>
      <c r="F135" s="78">
        <f>831939-88605</f>
        <v>743334</v>
      </c>
      <c r="G135" s="87"/>
      <c r="H135" s="75">
        <f>G135+F135</f>
        <v>743334</v>
      </c>
      <c r="I135" s="114"/>
      <c r="L135" s="125"/>
      <c r="M135" s="126"/>
    </row>
    <row r="136" spans="1:13" s="111" customFormat="1" ht="42.75" customHeight="1">
      <c r="A136" s="193"/>
      <c r="B136" s="98" t="s">
        <v>419</v>
      </c>
      <c r="C136" s="191"/>
      <c r="D136" s="99" t="s">
        <v>203</v>
      </c>
      <c r="E136" s="90"/>
      <c r="F136" s="213">
        <f>F137</f>
        <v>0</v>
      </c>
      <c r="G136" s="213">
        <f>G137</f>
        <v>1752000</v>
      </c>
      <c r="H136" s="213">
        <f>H137</f>
        <v>1752000</v>
      </c>
      <c r="I136" s="114"/>
      <c r="L136" s="125"/>
      <c r="M136" s="126"/>
    </row>
    <row r="137" spans="1:13" s="111" customFormat="1" ht="48" customHeight="1">
      <c r="A137" s="193"/>
      <c r="B137" s="191" t="s">
        <v>402</v>
      </c>
      <c r="C137" s="191" t="s">
        <v>83</v>
      </c>
      <c r="D137" s="181" t="s">
        <v>403</v>
      </c>
      <c r="E137" s="194" t="s">
        <v>213</v>
      </c>
      <c r="F137" s="211"/>
      <c r="G137" s="184">
        <v>1752000</v>
      </c>
      <c r="H137" s="164">
        <f>G137+F137</f>
        <v>1752000</v>
      </c>
      <c r="I137" s="114"/>
      <c r="L137" s="125"/>
      <c r="M137" s="126"/>
    </row>
    <row r="138" spans="1:12" s="111" customFormat="1" ht="60.75" customHeight="1">
      <c r="A138" s="98"/>
      <c r="B138" s="98" t="s">
        <v>382</v>
      </c>
      <c r="C138" s="98"/>
      <c r="D138" s="99" t="s">
        <v>465</v>
      </c>
      <c r="E138" s="181"/>
      <c r="F138" s="163">
        <f>F139+F141+F143+F144+F145+F147+F149+F150+F151+F154+F159+F160+F161+F162+F163+F164+F165+F166+F167+F142+F140+F146+F152+F153</f>
        <v>113145402</v>
      </c>
      <c r="G138" s="163">
        <f>G139+G141+G143+G144+G145+G147+G149+G150+G151+G154+G159+G160+G161+G162+G163+G164+G165+G166+G167+G142+G140+G146+G152+G153</f>
        <v>450573210</v>
      </c>
      <c r="H138" s="163">
        <f>H139+H141+H143+H144+H145+H147+H149+H150+H151+H154+H159+H160+H161+H162+H163+H164+H165+H166+H167+H142+H140+H146+H152+H153</f>
        <v>563718612</v>
      </c>
      <c r="I138" s="124"/>
      <c r="L138" s="166"/>
    </row>
    <row r="139" spans="1:12" s="154" customFormat="1" ht="49.5" customHeight="1" hidden="1">
      <c r="A139" s="265"/>
      <c r="B139" s="265" t="s">
        <v>402</v>
      </c>
      <c r="C139" s="191" t="s">
        <v>83</v>
      </c>
      <c r="D139" s="270" t="s">
        <v>403</v>
      </c>
      <c r="E139" s="194" t="s">
        <v>137</v>
      </c>
      <c r="F139" s="82"/>
      <c r="G139" s="75"/>
      <c r="H139" s="75">
        <f t="shared" si="5"/>
        <v>0</v>
      </c>
      <c r="I139" s="153"/>
      <c r="L139" s="155"/>
    </row>
    <row r="140" spans="1:12" s="111" customFormat="1" ht="61.5" customHeight="1">
      <c r="A140" s="266"/>
      <c r="B140" s="266"/>
      <c r="C140" s="191" t="s">
        <v>83</v>
      </c>
      <c r="D140" s="271"/>
      <c r="E140" s="194" t="s">
        <v>195</v>
      </c>
      <c r="F140" s="149"/>
      <c r="G140" s="75">
        <v>109041</v>
      </c>
      <c r="H140" s="75">
        <f t="shared" si="5"/>
        <v>109041</v>
      </c>
      <c r="I140" s="114"/>
      <c r="L140" s="166"/>
    </row>
    <row r="141" spans="1:13" s="111" customFormat="1" ht="54" customHeight="1" hidden="1">
      <c r="A141" s="192"/>
      <c r="B141" s="192" t="s">
        <v>311</v>
      </c>
      <c r="C141" s="189" t="s">
        <v>105</v>
      </c>
      <c r="D141" s="192" t="s">
        <v>318</v>
      </c>
      <c r="E141" s="194" t="s">
        <v>195</v>
      </c>
      <c r="F141" s="78"/>
      <c r="G141" s="87"/>
      <c r="H141" s="75">
        <f t="shared" si="5"/>
        <v>0</v>
      </c>
      <c r="I141" s="114"/>
      <c r="L141" s="125"/>
      <c r="M141" s="126"/>
    </row>
    <row r="142" spans="1:13" s="111" customFormat="1" ht="47.25" hidden="1">
      <c r="A142" s="192"/>
      <c r="B142" s="208" t="s">
        <v>174</v>
      </c>
      <c r="C142" s="191" t="s">
        <v>175</v>
      </c>
      <c r="D142" s="181" t="s">
        <v>176</v>
      </c>
      <c r="E142" s="181" t="s">
        <v>238</v>
      </c>
      <c r="F142" s="78"/>
      <c r="G142" s="87"/>
      <c r="H142" s="75">
        <f t="shared" si="5"/>
        <v>0</v>
      </c>
      <c r="I142" s="114"/>
      <c r="L142" s="125"/>
      <c r="M142" s="126"/>
    </row>
    <row r="143" spans="1:13" s="111" customFormat="1" ht="47.25">
      <c r="A143" s="192"/>
      <c r="B143" s="218" t="s">
        <v>456</v>
      </c>
      <c r="C143" s="265" t="s">
        <v>112</v>
      </c>
      <c r="D143" s="270" t="s">
        <v>457</v>
      </c>
      <c r="E143" s="194" t="s">
        <v>195</v>
      </c>
      <c r="F143" s="78">
        <f>34949374-25760374+997512+324401-95000-211000-297000-87000-541000+750+485745+2776424</f>
        <v>12542832</v>
      </c>
      <c r="G143" s="87"/>
      <c r="H143" s="75">
        <f aca="true" t="shared" si="6" ref="H143:H160">F143+G143</f>
        <v>12542832</v>
      </c>
      <c r="I143" s="114"/>
      <c r="L143" s="125"/>
      <c r="M143" s="126"/>
    </row>
    <row r="144" spans="1:13" s="111" customFormat="1" ht="47.25">
      <c r="A144" s="190"/>
      <c r="B144" s="219"/>
      <c r="C144" s="266"/>
      <c r="D144" s="271"/>
      <c r="E144" s="100" t="s">
        <v>185</v>
      </c>
      <c r="F144" s="83">
        <f>123123+15000+60000+12000+16000+5000+4000+25500-12000</f>
        <v>248623</v>
      </c>
      <c r="G144" s="87"/>
      <c r="H144" s="83">
        <f>F144+G144</f>
        <v>248623</v>
      </c>
      <c r="I144" s="114"/>
      <c r="L144" s="125"/>
      <c r="M144" s="126"/>
    </row>
    <row r="145" spans="1:12" s="111" customFormat="1" ht="47.25">
      <c r="A145" s="265"/>
      <c r="B145" s="265" t="s">
        <v>339</v>
      </c>
      <c r="C145" s="265" t="s">
        <v>112</v>
      </c>
      <c r="D145" s="270" t="s">
        <v>340</v>
      </c>
      <c r="E145" s="194" t="s">
        <v>195</v>
      </c>
      <c r="F145" s="78"/>
      <c r="G145" s="75">
        <f>192105143-17156862+17156862+18325168-3431000+106299409+164955-28209242-1225302</f>
        <v>284029131</v>
      </c>
      <c r="H145" s="75">
        <f t="shared" si="6"/>
        <v>284029131</v>
      </c>
      <c r="I145" s="124"/>
      <c r="L145" s="166"/>
    </row>
    <row r="146" spans="1:12" s="111" customFormat="1" ht="63">
      <c r="A146" s="273"/>
      <c r="B146" s="273"/>
      <c r="C146" s="273"/>
      <c r="D146" s="272"/>
      <c r="E146" s="194" t="s">
        <v>216</v>
      </c>
      <c r="F146" s="78"/>
      <c r="G146" s="75">
        <f>3458227+20000</f>
        <v>3478227</v>
      </c>
      <c r="H146" s="75">
        <f t="shared" si="6"/>
        <v>3478227</v>
      </c>
      <c r="I146" s="124"/>
      <c r="L146" s="166"/>
    </row>
    <row r="147" spans="1:12" s="111" customFormat="1" ht="47.25">
      <c r="A147" s="266"/>
      <c r="B147" s="266"/>
      <c r="C147" s="266"/>
      <c r="D147" s="271"/>
      <c r="E147" s="100" t="s">
        <v>185</v>
      </c>
      <c r="F147" s="78"/>
      <c r="G147" s="83">
        <f>70377+60000+12000</f>
        <v>142377</v>
      </c>
      <c r="H147" s="83">
        <f>F147+G147</f>
        <v>142377</v>
      </c>
      <c r="I147" s="114"/>
      <c r="L147" s="166"/>
    </row>
    <row r="148" spans="1:13" s="111" customFormat="1" ht="47.25" customHeight="1" hidden="1">
      <c r="A148" s="192"/>
      <c r="B148" s="192" t="s">
        <v>42</v>
      </c>
      <c r="C148" s="192"/>
      <c r="D148" s="195" t="s">
        <v>240</v>
      </c>
      <c r="E148" s="181" t="s">
        <v>554</v>
      </c>
      <c r="F148" s="78"/>
      <c r="G148" s="87"/>
      <c r="H148" s="75">
        <f t="shared" si="6"/>
        <v>0</v>
      </c>
      <c r="I148" s="114"/>
      <c r="L148" s="125"/>
      <c r="M148" s="126"/>
    </row>
    <row r="149" spans="1:12" s="111" customFormat="1" ht="51.75" customHeight="1">
      <c r="A149" s="192"/>
      <c r="B149" s="187" t="s">
        <v>500</v>
      </c>
      <c r="C149" s="192" t="s">
        <v>112</v>
      </c>
      <c r="D149" s="195" t="s">
        <v>501</v>
      </c>
      <c r="E149" s="194" t="s">
        <v>195</v>
      </c>
      <c r="F149" s="78"/>
      <c r="G149" s="75">
        <f>15000000+17156862-17156862</f>
        <v>15000000</v>
      </c>
      <c r="H149" s="75">
        <f t="shared" si="6"/>
        <v>15000000</v>
      </c>
      <c r="I149" s="124"/>
      <c r="L149" s="166"/>
    </row>
    <row r="150" spans="1:13" s="111" customFormat="1" ht="51" customHeight="1" hidden="1">
      <c r="A150" s="265"/>
      <c r="B150" s="265" t="s">
        <v>319</v>
      </c>
      <c r="C150" s="265" t="s">
        <v>113</v>
      </c>
      <c r="D150" s="270" t="s">
        <v>341</v>
      </c>
      <c r="E150" s="194" t="s">
        <v>195</v>
      </c>
      <c r="F150" s="209"/>
      <c r="G150" s="209"/>
      <c r="H150" s="210">
        <f t="shared" si="6"/>
        <v>0</v>
      </c>
      <c r="I150" s="124"/>
      <c r="L150" s="125"/>
      <c r="M150" s="126"/>
    </row>
    <row r="151" spans="1:13" s="111" customFormat="1" ht="48.75" customHeight="1" hidden="1">
      <c r="A151" s="273"/>
      <c r="B151" s="273"/>
      <c r="C151" s="273"/>
      <c r="D151" s="272"/>
      <c r="E151" s="100" t="s">
        <v>185</v>
      </c>
      <c r="F151" s="83"/>
      <c r="G151" s="101"/>
      <c r="H151" s="101">
        <f>F151+G151</f>
        <v>0</v>
      </c>
      <c r="I151" s="124"/>
      <c r="L151" s="125"/>
      <c r="M151" s="126"/>
    </row>
    <row r="152" spans="1:13" s="111" customFormat="1" ht="48.75" customHeight="1" hidden="1">
      <c r="A152" s="189"/>
      <c r="B152" s="266"/>
      <c r="C152" s="266"/>
      <c r="D152" s="271"/>
      <c r="E152" s="90" t="s">
        <v>183</v>
      </c>
      <c r="F152" s="78"/>
      <c r="G152" s="101"/>
      <c r="H152" s="75">
        <f>F152+G152</f>
        <v>0</v>
      </c>
      <c r="I152" s="124"/>
      <c r="L152" s="125"/>
      <c r="M152" s="126"/>
    </row>
    <row r="153" spans="1:13" s="111" customFormat="1" ht="48.75" customHeight="1">
      <c r="A153" s="191"/>
      <c r="B153" s="191" t="s">
        <v>201</v>
      </c>
      <c r="C153" s="191" t="s">
        <v>113</v>
      </c>
      <c r="D153" s="181" t="s">
        <v>202</v>
      </c>
      <c r="E153" s="194" t="s">
        <v>195</v>
      </c>
      <c r="F153" s="78"/>
      <c r="G153" s="75">
        <v>28209242</v>
      </c>
      <c r="H153" s="75">
        <f>F153+G153</f>
        <v>28209242</v>
      </c>
      <c r="I153" s="124"/>
      <c r="L153" s="125"/>
      <c r="M153" s="126"/>
    </row>
    <row r="154" spans="1:12" s="111" customFormat="1" ht="51" customHeight="1">
      <c r="A154" s="264"/>
      <c r="B154" s="264" t="s">
        <v>309</v>
      </c>
      <c r="C154" s="192" t="s">
        <v>85</v>
      </c>
      <c r="D154" s="279" t="s">
        <v>310</v>
      </c>
      <c r="E154" s="194" t="s">
        <v>195</v>
      </c>
      <c r="F154" s="80"/>
      <c r="G154" s="91">
        <f>140523956-302260-3900+13687365+76-1-121349-753954+6161356-36288+6007128+830369+41949+12969533+516126+136651-411312+5060000-65041950</f>
        <v>119263495</v>
      </c>
      <c r="H154" s="75">
        <f t="shared" si="6"/>
        <v>119263495</v>
      </c>
      <c r="I154" s="124"/>
      <c r="L154" s="166"/>
    </row>
    <row r="155" spans="1:12" s="111" customFormat="1" ht="51" customHeight="1" hidden="1">
      <c r="A155" s="264"/>
      <c r="B155" s="264"/>
      <c r="C155" s="189"/>
      <c r="D155" s="279"/>
      <c r="E155" s="181" t="s">
        <v>347</v>
      </c>
      <c r="F155" s="80"/>
      <c r="G155" s="91"/>
      <c r="H155" s="75">
        <f t="shared" si="6"/>
        <v>0</v>
      </c>
      <c r="I155" s="124"/>
      <c r="L155" s="166"/>
    </row>
    <row r="156" spans="1:12" s="111" customFormat="1" ht="31.5" customHeight="1" hidden="1">
      <c r="A156" s="264"/>
      <c r="B156" s="264"/>
      <c r="C156" s="190"/>
      <c r="D156" s="279"/>
      <c r="E156" s="100" t="s">
        <v>80</v>
      </c>
      <c r="F156" s="80"/>
      <c r="G156" s="89"/>
      <c r="H156" s="101">
        <f t="shared" si="6"/>
        <v>0</v>
      </c>
      <c r="I156" s="114"/>
      <c r="L156" s="166"/>
    </row>
    <row r="157" spans="1:12" s="111" customFormat="1" ht="54.75" customHeight="1" hidden="1">
      <c r="A157" s="265"/>
      <c r="B157" s="265" t="s">
        <v>264</v>
      </c>
      <c r="C157" s="192" t="s">
        <v>96</v>
      </c>
      <c r="D157" s="270" t="s">
        <v>441</v>
      </c>
      <c r="E157" s="194" t="s">
        <v>128</v>
      </c>
      <c r="F157" s="80"/>
      <c r="G157" s="75"/>
      <c r="H157" s="75">
        <f t="shared" si="6"/>
        <v>0</v>
      </c>
      <c r="I157" s="124"/>
      <c r="L157" s="166"/>
    </row>
    <row r="158" spans="1:12" s="111" customFormat="1" ht="84" customHeight="1" hidden="1">
      <c r="A158" s="273"/>
      <c r="B158" s="273"/>
      <c r="C158" s="189"/>
      <c r="D158" s="272"/>
      <c r="E158" s="181" t="s">
        <v>507</v>
      </c>
      <c r="F158" s="80"/>
      <c r="G158" s="75"/>
      <c r="H158" s="75">
        <f t="shared" si="6"/>
        <v>0</v>
      </c>
      <c r="I158" s="114"/>
      <c r="L158" s="166"/>
    </row>
    <row r="159" spans="1:12" s="111" customFormat="1" ht="51.75" customHeight="1" hidden="1">
      <c r="A159" s="191"/>
      <c r="B159" s="171" t="s">
        <v>321</v>
      </c>
      <c r="C159" s="191" t="s">
        <v>114</v>
      </c>
      <c r="D159" s="194" t="s">
        <v>322</v>
      </c>
      <c r="E159" s="194" t="s">
        <v>195</v>
      </c>
      <c r="F159" s="80"/>
      <c r="G159" s="80"/>
      <c r="H159" s="75">
        <f t="shared" si="6"/>
        <v>0</v>
      </c>
      <c r="I159" s="124"/>
      <c r="L159" s="166"/>
    </row>
    <row r="160" spans="1:12" s="111" customFormat="1" ht="66" customHeight="1" hidden="1">
      <c r="A160" s="195"/>
      <c r="B160" s="195">
        <v>180409</v>
      </c>
      <c r="C160" s="192" t="s">
        <v>85</v>
      </c>
      <c r="D160" s="173" t="s">
        <v>464</v>
      </c>
      <c r="E160" s="194" t="s">
        <v>195</v>
      </c>
      <c r="F160" s="170"/>
      <c r="G160" s="169"/>
      <c r="H160" s="110">
        <f t="shared" si="6"/>
        <v>0</v>
      </c>
      <c r="I160" s="124"/>
      <c r="L160" s="166"/>
    </row>
    <row r="161" spans="1:12" s="111" customFormat="1" ht="54" customHeight="1" hidden="1">
      <c r="A161" s="196"/>
      <c r="B161" s="166"/>
      <c r="C161" s="189"/>
      <c r="D161" s="201"/>
      <c r="E161" s="100" t="s">
        <v>125</v>
      </c>
      <c r="F161" s="83"/>
      <c r="G161" s="101"/>
      <c r="H161" s="101">
        <f>F161+G161</f>
        <v>0</v>
      </c>
      <c r="I161" s="114"/>
      <c r="L161" s="166"/>
    </row>
    <row r="162" spans="1:12" s="111" customFormat="1" ht="31.5" hidden="1">
      <c r="A162" s="191"/>
      <c r="B162" s="181">
        <v>200700</v>
      </c>
      <c r="C162" s="191" t="s">
        <v>94</v>
      </c>
      <c r="D162" s="194" t="s">
        <v>362</v>
      </c>
      <c r="E162" s="181" t="s">
        <v>144</v>
      </c>
      <c r="F162" s="80"/>
      <c r="G162" s="80">
        <f>1907500-297500-1610000</f>
        <v>0</v>
      </c>
      <c r="H162" s="75">
        <f aca="true" t="shared" si="7" ref="H162:H190">F162+G162</f>
        <v>0</v>
      </c>
      <c r="I162" s="124"/>
      <c r="L162" s="166"/>
    </row>
    <row r="163" spans="1:12" s="154" customFormat="1" ht="60" customHeight="1" hidden="1">
      <c r="A163" s="190"/>
      <c r="B163" s="180">
        <v>210105</v>
      </c>
      <c r="C163" s="190" t="s">
        <v>118</v>
      </c>
      <c r="D163" s="158" t="s">
        <v>314</v>
      </c>
      <c r="E163" s="194" t="s">
        <v>128</v>
      </c>
      <c r="F163" s="80"/>
      <c r="G163" s="80"/>
      <c r="H163" s="75">
        <f t="shared" si="7"/>
        <v>0</v>
      </c>
      <c r="I163" s="153"/>
      <c r="L163" s="155"/>
    </row>
    <row r="164" spans="1:12" s="111" customFormat="1" ht="52.5" customHeight="1" hidden="1">
      <c r="A164" s="191"/>
      <c r="B164" s="181">
        <v>240601</v>
      </c>
      <c r="C164" s="191" t="s">
        <v>95</v>
      </c>
      <c r="D164" s="181" t="s">
        <v>331</v>
      </c>
      <c r="E164" s="181" t="s">
        <v>190</v>
      </c>
      <c r="F164" s="80"/>
      <c r="G164" s="80"/>
      <c r="H164" s="75">
        <f t="shared" si="7"/>
        <v>0</v>
      </c>
      <c r="I164" s="124"/>
      <c r="L164" s="166"/>
    </row>
    <row r="165" spans="1:13" s="111" customFormat="1" ht="48.75" customHeight="1">
      <c r="A165" s="264"/>
      <c r="B165" s="264" t="s">
        <v>302</v>
      </c>
      <c r="C165" s="264" t="s">
        <v>86</v>
      </c>
      <c r="D165" s="279" t="s">
        <v>317</v>
      </c>
      <c r="E165" s="194" t="s">
        <v>195</v>
      </c>
      <c r="F165" s="78">
        <f>308836+50000000+2776424+50000000-2776424-308836</f>
        <v>100000000</v>
      </c>
      <c r="G165" s="78">
        <f>363849-22152</f>
        <v>341697</v>
      </c>
      <c r="H165" s="75">
        <f t="shared" si="7"/>
        <v>100341697</v>
      </c>
      <c r="I165" s="124"/>
      <c r="L165" s="125"/>
      <c r="M165" s="126"/>
    </row>
    <row r="166" spans="1:12" s="111" customFormat="1" ht="48.75" customHeight="1" hidden="1">
      <c r="A166" s="264"/>
      <c r="B166" s="264"/>
      <c r="C166" s="264"/>
      <c r="D166" s="279"/>
      <c r="E166" s="181" t="s">
        <v>238</v>
      </c>
      <c r="F166" s="78"/>
      <c r="G166" s="91"/>
      <c r="H166" s="75">
        <f t="shared" si="7"/>
        <v>0</v>
      </c>
      <c r="I166" s="114"/>
      <c r="L166" s="166"/>
    </row>
    <row r="167" spans="1:12" s="111" customFormat="1" ht="112.5" customHeight="1">
      <c r="A167" s="264"/>
      <c r="B167" s="264"/>
      <c r="C167" s="264"/>
      <c r="D167" s="279"/>
      <c r="E167" s="181" t="s">
        <v>197</v>
      </c>
      <c r="F167" s="78">
        <v>353947</v>
      </c>
      <c r="G167" s="91"/>
      <c r="H167" s="75">
        <f t="shared" si="7"/>
        <v>353947</v>
      </c>
      <c r="I167" s="114"/>
      <c r="L167" s="166"/>
    </row>
    <row r="168" spans="1:12" s="111" customFormat="1" ht="47.25" customHeight="1" hidden="1">
      <c r="A168" s="245"/>
      <c r="B168" s="245"/>
      <c r="C168" s="264"/>
      <c r="D168" s="282"/>
      <c r="E168" s="100" t="s">
        <v>125</v>
      </c>
      <c r="F168" s="89">
        <f>20000-20000</f>
        <v>0</v>
      </c>
      <c r="G168" s="91"/>
      <c r="H168" s="101">
        <f t="shared" si="7"/>
        <v>0</v>
      </c>
      <c r="I168" s="114"/>
      <c r="L168" s="166"/>
    </row>
    <row r="169" spans="1:12" s="111" customFormat="1" ht="47.25" customHeight="1">
      <c r="A169" s="215"/>
      <c r="B169" s="98" t="s">
        <v>463</v>
      </c>
      <c r="C169" s="98"/>
      <c r="D169" s="99" t="s">
        <v>212</v>
      </c>
      <c r="E169" s="100"/>
      <c r="F169" s="82">
        <f>F170+F171+F172+F173+F174+F175+F176+F177+F178+F179+F180</f>
        <v>208299280</v>
      </c>
      <c r="G169" s="82">
        <f>G170+G171+G172+G173+G174+G175+G176+G177+G178+G179+G180</f>
        <v>160496666</v>
      </c>
      <c r="H169" s="82">
        <f>H170+H171+H172+H173+H174+H175+H176+H177+H178+H179+H180</f>
        <v>368795946</v>
      </c>
      <c r="I169" s="114"/>
      <c r="L169" s="166"/>
    </row>
    <row r="170" spans="1:12" s="111" customFormat="1" ht="47.25" customHeight="1">
      <c r="A170" s="214"/>
      <c r="B170" s="192" t="s">
        <v>402</v>
      </c>
      <c r="C170" s="192" t="s">
        <v>83</v>
      </c>
      <c r="D170" s="195" t="s">
        <v>403</v>
      </c>
      <c r="E170" s="194" t="s">
        <v>213</v>
      </c>
      <c r="F170" s="89"/>
      <c r="G170" s="91">
        <v>92592</v>
      </c>
      <c r="H170" s="75">
        <f t="shared" si="7"/>
        <v>92592</v>
      </c>
      <c r="I170" s="114"/>
      <c r="L170" s="166"/>
    </row>
    <row r="171" spans="1:12" s="111" customFormat="1" ht="47.25" customHeight="1">
      <c r="A171" s="214"/>
      <c r="B171" s="192" t="s">
        <v>311</v>
      </c>
      <c r="C171" s="191" t="s">
        <v>105</v>
      </c>
      <c r="D171" s="192" t="s">
        <v>318</v>
      </c>
      <c r="E171" s="194" t="s">
        <v>195</v>
      </c>
      <c r="F171" s="78">
        <v>353900</v>
      </c>
      <c r="G171" s="91"/>
      <c r="H171" s="75">
        <f t="shared" si="7"/>
        <v>353900</v>
      </c>
      <c r="I171" s="114"/>
      <c r="L171" s="166"/>
    </row>
    <row r="172" spans="1:12" s="111" customFormat="1" ht="47.25" customHeight="1">
      <c r="A172" s="214"/>
      <c r="B172" s="208" t="s">
        <v>174</v>
      </c>
      <c r="C172" s="191" t="s">
        <v>175</v>
      </c>
      <c r="D172" s="181" t="s">
        <v>176</v>
      </c>
      <c r="E172" s="181" t="s">
        <v>238</v>
      </c>
      <c r="F172" s="78">
        <v>195000</v>
      </c>
      <c r="G172" s="91"/>
      <c r="H172" s="75">
        <f t="shared" si="7"/>
        <v>195000</v>
      </c>
      <c r="I172" s="114"/>
      <c r="L172" s="166"/>
    </row>
    <row r="173" spans="1:12" s="111" customFormat="1" ht="47.25" customHeight="1">
      <c r="A173" s="283"/>
      <c r="B173" s="265" t="s">
        <v>319</v>
      </c>
      <c r="C173" s="265" t="s">
        <v>113</v>
      </c>
      <c r="D173" s="270" t="s">
        <v>341</v>
      </c>
      <c r="E173" s="194" t="s">
        <v>195</v>
      </c>
      <c r="F173" s="209">
        <f>83027247+7663414+20323594-20323594+221864+855328+161480-1016808+94938+50651-46800+224440-22102+62001</f>
        <v>91275653</v>
      </c>
      <c r="G173" s="209">
        <f>1922195+95000+450000-26111-221864+46800</f>
        <v>2266020</v>
      </c>
      <c r="H173" s="75">
        <f t="shared" si="7"/>
        <v>93541673</v>
      </c>
      <c r="I173" s="114"/>
      <c r="L173" s="166"/>
    </row>
    <row r="174" spans="1:12" s="111" customFormat="1" ht="47.25" customHeight="1">
      <c r="A174" s="284"/>
      <c r="B174" s="273"/>
      <c r="C174" s="273"/>
      <c r="D174" s="272"/>
      <c r="E174" s="100" t="s">
        <v>185</v>
      </c>
      <c r="F174" s="83">
        <f>9450+3000</f>
        <v>12450</v>
      </c>
      <c r="G174" s="101"/>
      <c r="H174" s="75">
        <f t="shared" si="7"/>
        <v>12450</v>
      </c>
      <c r="I174" s="114"/>
      <c r="L174" s="166"/>
    </row>
    <row r="175" spans="1:12" s="111" customFormat="1" ht="47.25" customHeight="1">
      <c r="A175" s="274"/>
      <c r="B175" s="266"/>
      <c r="C175" s="266"/>
      <c r="D175" s="271"/>
      <c r="E175" s="90" t="s">
        <v>217</v>
      </c>
      <c r="F175" s="78">
        <f>857588-857588+857588</f>
        <v>857588</v>
      </c>
      <c r="G175" s="101"/>
      <c r="H175" s="75">
        <f t="shared" si="7"/>
        <v>857588</v>
      </c>
      <c r="I175" s="114"/>
      <c r="L175" s="166"/>
    </row>
    <row r="176" spans="1:12" s="111" customFormat="1" ht="47.25" customHeight="1">
      <c r="A176" s="214"/>
      <c r="B176" s="192" t="s">
        <v>309</v>
      </c>
      <c r="C176" s="192" t="s">
        <v>85</v>
      </c>
      <c r="D176" s="195" t="s">
        <v>310</v>
      </c>
      <c r="E176" s="194" t="s">
        <v>195</v>
      </c>
      <c r="F176" s="89"/>
      <c r="G176" s="91">
        <f>65041950+789040-789040</f>
        <v>65041950</v>
      </c>
      <c r="H176" s="75">
        <f t="shared" si="7"/>
        <v>65041950</v>
      </c>
      <c r="I176" s="114"/>
      <c r="L176" s="166"/>
    </row>
    <row r="177" spans="1:12" s="111" customFormat="1" ht="47.25" customHeight="1">
      <c r="A177" s="214"/>
      <c r="B177" s="171" t="s">
        <v>321</v>
      </c>
      <c r="C177" s="191" t="s">
        <v>114</v>
      </c>
      <c r="D177" s="194" t="s">
        <v>322</v>
      </c>
      <c r="E177" s="194" t="s">
        <v>195</v>
      </c>
      <c r="F177" s="80">
        <f>115685741-389888</f>
        <v>115295853</v>
      </c>
      <c r="G177" s="80">
        <f>87086314+207260+3900+18204152-625138-297885-247417-1-19547488-3858398+26111+389888-676000</f>
        <v>80665298</v>
      </c>
      <c r="H177" s="75">
        <f t="shared" si="7"/>
        <v>195961151</v>
      </c>
      <c r="I177" s="114"/>
      <c r="L177" s="166"/>
    </row>
    <row r="178" spans="1:12" s="111" customFormat="1" ht="47.25" customHeight="1">
      <c r="A178" s="214"/>
      <c r="B178" s="195">
        <v>180409</v>
      </c>
      <c r="C178" s="192" t="s">
        <v>85</v>
      </c>
      <c r="D178" s="173" t="s">
        <v>464</v>
      </c>
      <c r="E178" s="194" t="s">
        <v>195</v>
      </c>
      <c r="F178" s="170"/>
      <c r="G178" s="169">
        <f>44095430-39515430+259436+46370</f>
        <v>4885806</v>
      </c>
      <c r="H178" s="75">
        <f t="shared" si="7"/>
        <v>4885806</v>
      </c>
      <c r="I178" s="114"/>
      <c r="L178" s="166"/>
    </row>
    <row r="179" spans="1:12" s="111" customFormat="1" ht="47.25" customHeight="1">
      <c r="A179" s="214"/>
      <c r="B179" s="181">
        <v>240601</v>
      </c>
      <c r="C179" s="191" t="s">
        <v>95</v>
      </c>
      <c r="D179" s="181" t="s">
        <v>331</v>
      </c>
      <c r="E179" s="181" t="s">
        <v>190</v>
      </c>
      <c r="F179" s="80"/>
      <c r="G179" s="80">
        <f>297500+1610000+1592500-1592500+637000+500+5000000</f>
        <v>7545000</v>
      </c>
      <c r="H179" s="75">
        <f t="shared" si="7"/>
        <v>7545000</v>
      </c>
      <c r="I179" s="114"/>
      <c r="L179" s="166"/>
    </row>
    <row r="180" spans="1:12" s="111" customFormat="1" ht="47.25" customHeight="1">
      <c r="A180" s="214"/>
      <c r="B180" s="192" t="s">
        <v>302</v>
      </c>
      <c r="C180" s="192" t="s">
        <v>86</v>
      </c>
      <c r="D180" s="195" t="s">
        <v>317</v>
      </c>
      <c r="E180" s="194" t="s">
        <v>195</v>
      </c>
      <c r="F180" s="217">
        <f>308836</f>
        <v>308836</v>
      </c>
      <c r="G180" s="91"/>
      <c r="H180" s="75">
        <f t="shared" si="7"/>
        <v>308836</v>
      </c>
      <c r="I180" s="114"/>
      <c r="L180" s="166"/>
    </row>
    <row r="181" spans="1:12" s="111" customFormat="1" ht="31.5">
      <c r="A181" s="98"/>
      <c r="B181" s="98" t="s">
        <v>383</v>
      </c>
      <c r="C181" s="98"/>
      <c r="D181" s="99" t="s">
        <v>278</v>
      </c>
      <c r="E181" s="181"/>
      <c r="F181" s="82">
        <f>F182+F183</f>
        <v>0</v>
      </c>
      <c r="G181" s="82">
        <f>G182+G183</f>
        <v>78129</v>
      </c>
      <c r="H181" s="85">
        <f>H182+H183</f>
        <v>78129</v>
      </c>
      <c r="I181" s="124"/>
      <c r="L181" s="166"/>
    </row>
    <row r="182" spans="1:12" s="111" customFormat="1" ht="48" customHeight="1">
      <c r="A182" s="191"/>
      <c r="B182" s="192" t="s">
        <v>402</v>
      </c>
      <c r="C182" s="192" t="s">
        <v>83</v>
      </c>
      <c r="D182" s="195" t="s">
        <v>403</v>
      </c>
      <c r="E182" s="194" t="s">
        <v>213</v>
      </c>
      <c r="F182" s="78"/>
      <c r="G182" s="75">
        <f>28941+49188</f>
        <v>78129</v>
      </c>
      <c r="H182" s="75">
        <f t="shared" si="7"/>
        <v>78129</v>
      </c>
      <c r="I182" s="124"/>
      <c r="L182" s="166"/>
    </row>
    <row r="183" spans="1:13" s="111" customFormat="1" ht="67.5" customHeight="1" hidden="1">
      <c r="A183" s="191"/>
      <c r="B183" s="171" t="s">
        <v>302</v>
      </c>
      <c r="C183" s="193" t="s">
        <v>86</v>
      </c>
      <c r="D183" s="181" t="s">
        <v>317</v>
      </c>
      <c r="E183" s="194" t="s">
        <v>140</v>
      </c>
      <c r="F183" s="78"/>
      <c r="G183" s="87"/>
      <c r="H183" s="75">
        <f>F183+G183</f>
        <v>0</v>
      </c>
      <c r="I183" s="114"/>
      <c r="L183" s="125"/>
      <c r="M183" s="126"/>
    </row>
    <row r="184" spans="1:12" s="111" customFormat="1" ht="31.5">
      <c r="A184" s="98"/>
      <c r="B184" s="98" t="s">
        <v>387</v>
      </c>
      <c r="C184" s="98"/>
      <c r="D184" s="99" t="s">
        <v>280</v>
      </c>
      <c r="E184" s="181"/>
      <c r="F184" s="82">
        <f>F185+F186+F187+F188+F189+F190</f>
        <v>391511</v>
      </c>
      <c r="G184" s="82">
        <f>G185+G186+G187+G188+G189+G190</f>
        <v>2462330</v>
      </c>
      <c r="H184" s="85">
        <f>F184+G184</f>
        <v>2853841</v>
      </c>
      <c r="I184" s="114"/>
      <c r="L184" s="166"/>
    </row>
    <row r="185" spans="1:12" s="111" customFormat="1" ht="49.5" customHeight="1">
      <c r="A185" s="191"/>
      <c r="B185" s="191" t="s">
        <v>402</v>
      </c>
      <c r="C185" s="192" t="s">
        <v>83</v>
      </c>
      <c r="D185" s="181" t="s">
        <v>403</v>
      </c>
      <c r="E185" s="181" t="s">
        <v>165</v>
      </c>
      <c r="F185" s="78"/>
      <c r="G185" s="75">
        <v>104770</v>
      </c>
      <c r="H185" s="75">
        <f t="shared" si="7"/>
        <v>104770</v>
      </c>
      <c r="I185" s="124"/>
      <c r="L185" s="166"/>
    </row>
    <row r="186" spans="1:12" s="111" customFormat="1" ht="47.25">
      <c r="A186" s="191"/>
      <c r="B186" s="191" t="s">
        <v>31</v>
      </c>
      <c r="C186" s="192" t="s">
        <v>115</v>
      </c>
      <c r="D186" s="181" t="s">
        <v>36</v>
      </c>
      <c r="E186" s="181" t="s">
        <v>165</v>
      </c>
      <c r="F186" s="78"/>
      <c r="G186" s="87">
        <v>2357560</v>
      </c>
      <c r="H186" s="75">
        <f t="shared" si="7"/>
        <v>2357560</v>
      </c>
      <c r="I186" s="114"/>
      <c r="L186" s="166"/>
    </row>
    <row r="187" spans="1:13" s="111" customFormat="1" ht="47.25" customHeight="1">
      <c r="A187" s="248"/>
      <c r="B187" s="248">
        <v>250404</v>
      </c>
      <c r="C187" s="264" t="s">
        <v>86</v>
      </c>
      <c r="D187" s="248" t="s">
        <v>317</v>
      </c>
      <c r="E187" s="181" t="s">
        <v>165</v>
      </c>
      <c r="F187" s="77">
        <v>391511</v>
      </c>
      <c r="G187" s="181"/>
      <c r="H187" s="75">
        <f t="shared" si="7"/>
        <v>391511</v>
      </c>
      <c r="I187" s="124"/>
      <c r="L187" s="125"/>
      <c r="M187" s="126"/>
    </row>
    <row r="188" spans="1:12" s="111" customFormat="1" ht="47.25" customHeight="1" hidden="1">
      <c r="A188" s="248"/>
      <c r="B188" s="248"/>
      <c r="C188" s="264"/>
      <c r="D188" s="248"/>
      <c r="E188" s="181" t="s">
        <v>448</v>
      </c>
      <c r="F188" s="77"/>
      <c r="G188" s="91"/>
      <c r="H188" s="75">
        <f t="shared" si="7"/>
        <v>0</v>
      </c>
      <c r="I188" s="114"/>
      <c r="L188" s="166"/>
    </row>
    <row r="189" spans="1:12" s="111" customFormat="1" ht="51" customHeight="1" hidden="1">
      <c r="A189" s="248"/>
      <c r="B189" s="248"/>
      <c r="C189" s="264"/>
      <c r="D189" s="248"/>
      <c r="E189" s="181" t="s">
        <v>553</v>
      </c>
      <c r="F189" s="77"/>
      <c r="G189" s="91"/>
      <c r="H189" s="75">
        <f t="shared" si="7"/>
        <v>0</v>
      </c>
      <c r="I189" s="114"/>
      <c r="L189" s="166"/>
    </row>
    <row r="190" spans="1:12" s="111" customFormat="1" ht="68.25" customHeight="1" hidden="1">
      <c r="A190" s="248"/>
      <c r="B190" s="248"/>
      <c r="C190" s="264"/>
      <c r="D190" s="248"/>
      <c r="E190" s="181" t="s">
        <v>82</v>
      </c>
      <c r="F190" s="77"/>
      <c r="G190" s="91"/>
      <c r="H190" s="75">
        <f t="shared" si="7"/>
        <v>0</v>
      </c>
      <c r="I190" s="114"/>
      <c r="L190" s="166"/>
    </row>
    <row r="191" spans="1:12" s="111" customFormat="1" ht="47.25" hidden="1">
      <c r="A191" s="197"/>
      <c r="B191" s="98" t="s">
        <v>209</v>
      </c>
      <c r="C191" s="191"/>
      <c r="D191" s="99" t="s">
        <v>210</v>
      </c>
      <c r="E191" s="181"/>
      <c r="F191" s="82">
        <f>F192</f>
        <v>0</v>
      </c>
      <c r="G191" s="82">
        <f>G192</f>
        <v>0</v>
      </c>
      <c r="H191" s="82">
        <f>H192</f>
        <v>0</v>
      </c>
      <c r="I191" s="114"/>
      <c r="L191" s="166"/>
    </row>
    <row r="192" spans="1:12" s="111" customFormat="1" ht="31.5" hidden="1">
      <c r="A192" s="197"/>
      <c r="B192" s="191" t="s">
        <v>402</v>
      </c>
      <c r="C192" s="191" t="s">
        <v>83</v>
      </c>
      <c r="D192" s="181" t="s">
        <v>403</v>
      </c>
      <c r="E192" s="194" t="s">
        <v>213</v>
      </c>
      <c r="F192" s="77"/>
      <c r="G192" s="91">
        <f>348969-348969</f>
        <v>0</v>
      </c>
      <c r="H192" s="75">
        <f>G192+F192</f>
        <v>0</v>
      </c>
      <c r="I192" s="114"/>
      <c r="L192" s="166"/>
    </row>
    <row r="193" spans="1:12" s="111" customFormat="1" ht="31.5">
      <c r="A193" s="197"/>
      <c r="B193" s="98">
        <v>50</v>
      </c>
      <c r="C193" s="191"/>
      <c r="D193" s="99" t="s">
        <v>423</v>
      </c>
      <c r="E193" s="97"/>
      <c r="F193" s="82">
        <f>F194</f>
        <v>0</v>
      </c>
      <c r="G193" s="82">
        <f>G194</f>
        <v>39000</v>
      </c>
      <c r="H193" s="82">
        <f>H194</f>
        <v>39000</v>
      </c>
      <c r="I193" s="114"/>
      <c r="L193" s="166"/>
    </row>
    <row r="194" spans="1:12" s="111" customFormat="1" ht="31.5">
      <c r="A194" s="186"/>
      <c r="B194" s="191" t="s">
        <v>402</v>
      </c>
      <c r="C194" s="191" t="s">
        <v>83</v>
      </c>
      <c r="D194" s="181" t="s">
        <v>403</v>
      </c>
      <c r="E194" s="194" t="s">
        <v>213</v>
      </c>
      <c r="F194" s="77"/>
      <c r="G194" s="91">
        <v>39000</v>
      </c>
      <c r="H194" s="75">
        <f>G194+F194</f>
        <v>39000</v>
      </c>
      <c r="I194" s="114"/>
      <c r="L194" s="166"/>
    </row>
    <row r="195" spans="1:12" s="111" customFormat="1" ht="31.5" customHeight="1">
      <c r="A195" s="98"/>
      <c r="B195" s="98" t="s">
        <v>391</v>
      </c>
      <c r="C195" s="98"/>
      <c r="D195" s="99" t="s">
        <v>284</v>
      </c>
      <c r="E195" s="99"/>
      <c r="F195" s="82">
        <f>F196+F197</f>
        <v>0</v>
      </c>
      <c r="G195" s="82">
        <f>G196+G197</f>
        <v>67861</v>
      </c>
      <c r="H195" s="82">
        <f>F195+G195</f>
        <v>67861</v>
      </c>
      <c r="I195" s="124"/>
      <c r="L195" s="166"/>
    </row>
    <row r="196" spans="1:12" s="111" customFormat="1" ht="31.5" customHeight="1">
      <c r="A196" s="191"/>
      <c r="B196" s="191" t="s">
        <v>402</v>
      </c>
      <c r="C196" s="191" t="s">
        <v>83</v>
      </c>
      <c r="D196" s="181" t="s">
        <v>403</v>
      </c>
      <c r="E196" s="194" t="s">
        <v>213</v>
      </c>
      <c r="F196" s="78"/>
      <c r="G196" s="78">
        <f>15861+52000</f>
        <v>67861</v>
      </c>
      <c r="H196" s="78">
        <f>F196+G196</f>
        <v>67861</v>
      </c>
      <c r="I196" s="124"/>
      <c r="L196" s="166"/>
    </row>
    <row r="197" spans="1:12" s="111" customFormat="1" ht="31.5" customHeight="1">
      <c r="A197" s="191"/>
      <c r="B197" s="191" t="s">
        <v>266</v>
      </c>
      <c r="C197" s="191"/>
      <c r="D197" s="181" t="s">
        <v>267</v>
      </c>
      <c r="E197" s="194" t="s">
        <v>442</v>
      </c>
      <c r="F197" s="78"/>
      <c r="G197" s="75"/>
      <c r="H197" s="78">
        <f>F197+G197</f>
        <v>0</v>
      </c>
      <c r="I197" s="124"/>
      <c r="L197" s="166"/>
    </row>
    <row r="198" spans="1:12" s="111" customFormat="1" ht="31.5">
      <c r="A198" s="98"/>
      <c r="B198" s="98" t="s">
        <v>388</v>
      </c>
      <c r="C198" s="98"/>
      <c r="D198" s="99" t="s">
        <v>281</v>
      </c>
      <c r="E198" s="181"/>
      <c r="F198" s="82">
        <f>F201+F202+F203+F199</f>
        <v>0</v>
      </c>
      <c r="G198" s="82">
        <f>G201+G202+G203+G199</f>
        <v>42374653</v>
      </c>
      <c r="H198" s="82">
        <f>H201+H202+H203+H199</f>
        <v>42374653</v>
      </c>
      <c r="I198" s="124"/>
      <c r="L198" s="166"/>
    </row>
    <row r="199" spans="1:12" s="111" customFormat="1" ht="47.25" customHeight="1">
      <c r="A199" s="191"/>
      <c r="B199" s="191" t="s">
        <v>402</v>
      </c>
      <c r="C199" s="191" t="s">
        <v>83</v>
      </c>
      <c r="D199" s="181" t="s">
        <v>403</v>
      </c>
      <c r="E199" s="194" t="s">
        <v>213</v>
      </c>
      <c r="F199" s="78"/>
      <c r="G199" s="75">
        <v>39000</v>
      </c>
      <c r="H199" s="78">
        <f>F199+G199</f>
        <v>39000</v>
      </c>
      <c r="I199" s="124"/>
      <c r="L199" s="166"/>
    </row>
    <row r="200" spans="1:12" s="111" customFormat="1" ht="69" customHeight="1" hidden="1">
      <c r="A200" s="191"/>
      <c r="B200" s="191" t="s">
        <v>309</v>
      </c>
      <c r="C200" s="191"/>
      <c r="D200" s="181" t="s">
        <v>310</v>
      </c>
      <c r="E200" s="181"/>
      <c r="F200" s="78"/>
      <c r="G200" s="75">
        <f>2000000-2000000</f>
        <v>0</v>
      </c>
      <c r="H200" s="78">
        <f>F200+G200</f>
        <v>0</v>
      </c>
      <c r="I200" s="124"/>
      <c r="L200" s="166"/>
    </row>
    <row r="201" spans="1:12" s="111" customFormat="1" ht="47.25" customHeight="1" hidden="1">
      <c r="A201" s="181"/>
      <c r="B201" s="181">
        <v>200700</v>
      </c>
      <c r="C201" s="191" t="s">
        <v>94</v>
      </c>
      <c r="D201" s="181" t="s">
        <v>362</v>
      </c>
      <c r="E201" s="181" t="s">
        <v>144</v>
      </c>
      <c r="F201" s="80"/>
      <c r="G201" s="80">
        <f>16632500+297500-16930000</f>
        <v>0</v>
      </c>
      <c r="H201" s="78">
        <f>F201+G201</f>
        <v>0</v>
      </c>
      <c r="I201" s="124"/>
      <c r="L201" s="166"/>
    </row>
    <row r="202" spans="1:12" s="111" customFormat="1" ht="51.75" customHeight="1">
      <c r="A202" s="181"/>
      <c r="B202" s="181">
        <v>240601</v>
      </c>
      <c r="C202" s="191" t="s">
        <v>95</v>
      </c>
      <c r="D202" s="181" t="s">
        <v>331</v>
      </c>
      <c r="E202" s="181" t="s">
        <v>190</v>
      </c>
      <c r="F202" s="80"/>
      <c r="G202" s="75">
        <f>297500+292500-297500+16930000+3700000+20458153-20458153+22171763-500-758110</f>
        <v>42335653</v>
      </c>
      <c r="H202" s="78">
        <f>F202+G202</f>
        <v>42335653</v>
      </c>
      <c r="I202" s="124"/>
      <c r="L202" s="166"/>
    </row>
    <row r="203" spans="1:12" s="111" customFormat="1" ht="51.75" customHeight="1" hidden="1">
      <c r="A203" s="180"/>
      <c r="B203" s="159">
        <v>250404</v>
      </c>
      <c r="C203" s="190" t="s">
        <v>86</v>
      </c>
      <c r="D203" s="180" t="s">
        <v>317</v>
      </c>
      <c r="E203" s="194" t="s">
        <v>132</v>
      </c>
      <c r="F203" s="80"/>
      <c r="G203" s="75"/>
      <c r="H203" s="78">
        <f>G203+F203</f>
        <v>0</v>
      </c>
      <c r="I203" s="124"/>
      <c r="L203" s="166"/>
    </row>
    <row r="204" spans="1:12" s="111" customFormat="1" ht="47.25">
      <c r="A204" s="108"/>
      <c r="B204" s="108" t="s">
        <v>386</v>
      </c>
      <c r="C204" s="108"/>
      <c r="D204" s="109" t="s">
        <v>282</v>
      </c>
      <c r="E204" s="181"/>
      <c r="F204" s="82">
        <f>F205+F206+F207+F209+F210+F211+F214+F217+F221+F220+F212+F213+F208+F218+F215+F216+F219+F222</f>
        <v>49086490</v>
      </c>
      <c r="G204" s="82">
        <f>G205+G206+G207+G209+G210+G211+G214+G217+G221+G220+G212+G213+G208+G218+G215+G216+G219+G222</f>
        <v>58551653</v>
      </c>
      <c r="H204" s="82">
        <f>H205+H206+H207+H209+H210+H211+H214+H217+H221+H220+H212+H213+H208+H218+H215+H216+H219+H222</f>
        <v>107638143</v>
      </c>
      <c r="I204" s="124"/>
      <c r="L204" s="166"/>
    </row>
    <row r="205" spans="1:12" s="111" customFormat="1" ht="54.75" customHeight="1">
      <c r="A205" s="191"/>
      <c r="B205" s="191" t="s">
        <v>402</v>
      </c>
      <c r="C205" s="191" t="s">
        <v>83</v>
      </c>
      <c r="D205" s="181" t="s">
        <v>403</v>
      </c>
      <c r="E205" s="194" t="s">
        <v>213</v>
      </c>
      <c r="F205" s="78"/>
      <c r="G205" s="87">
        <v>13000</v>
      </c>
      <c r="H205" s="78">
        <f aca="true" t="shared" si="8" ref="H205:H219">F205+G205</f>
        <v>13000</v>
      </c>
      <c r="I205" s="114"/>
      <c r="L205" s="166"/>
    </row>
    <row r="206" spans="1:12" s="111" customFormat="1" ht="77.25" customHeight="1" hidden="1">
      <c r="A206" s="191"/>
      <c r="B206" s="191" t="s">
        <v>319</v>
      </c>
      <c r="C206" s="191"/>
      <c r="D206" s="181" t="s">
        <v>320</v>
      </c>
      <c r="E206" s="181" t="s">
        <v>522</v>
      </c>
      <c r="F206" s="78"/>
      <c r="G206" s="87"/>
      <c r="H206" s="78">
        <f t="shared" si="8"/>
        <v>0</v>
      </c>
      <c r="I206" s="114"/>
      <c r="L206" s="166"/>
    </row>
    <row r="207" spans="1:13" s="111" customFormat="1" ht="51" customHeight="1">
      <c r="A207" s="191"/>
      <c r="B207" s="191" t="s">
        <v>256</v>
      </c>
      <c r="C207" s="191" t="s">
        <v>84</v>
      </c>
      <c r="D207" s="181" t="s">
        <v>257</v>
      </c>
      <c r="E207" s="181" t="s">
        <v>166</v>
      </c>
      <c r="F207" s="78">
        <f>300000+300000+2182559</f>
        <v>2782559</v>
      </c>
      <c r="G207" s="75">
        <v>1039450</v>
      </c>
      <c r="H207" s="78">
        <f t="shared" si="8"/>
        <v>3822009</v>
      </c>
      <c r="I207" s="124"/>
      <c r="L207" s="125"/>
      <c r="M207" s="126"/>
    </row>
    <row r="208" spans="1:13" s="111" customFormat="1" ht="78.75" customHeight="1" hidden="1">
      <c r="A208" s="191"/>
      <c r="B208" s="191" t="s">
        <v>446</v>
      </c>
      <c r="C208" s="191"/>
      <c r="D208" s="181" t="s">
        <v>447</v>
      </c>
      <c r="E208" s="181" t="s">
        <v>506</v>
      </c>
      <c r="F208" s="78"/>
      <c r="G208" s="75"/>
      <c r="H208" s="78">
        <f t="shared" si="8"/>
        <v>0</v>
      </c>
      <c r="I208" s="124"/>
      <c r="L208" s="125"/>
      <c r="M208" s="126"/>
    </row>
    <row r="209" spans="1:13" s="111" customFormat="1" ht="81.75" customHeight="1">
      <c r="A209" s="191"/>
      <c r="B209" s="191" t="s">
        <v>307</v>
      </c>
      <c r="C209" s="191" t="s">
        <v>116</v>
      </c>
      <c r="D209" s="181" t="s">
        <v>308</v>
      </c>
      <c r="E209" s="181" t="s">
        <v>241</v>
      </c>
      <c r="F209" s="78">
        <v>45800000</v>
      </c>
      <c r="G209" s="87"/>
      <c r="H209" s="78">
        <f t="shared" si="8"/>
        <v>45800000</v>
      </c>
      <c r="I209" s="114"/>
      <c r="L209" s="125"/>
      <c r="M209" s="126"/>
    </row>
    <row r="210" spans="1:12" s="111" customFormat="1" ht="71.25" customHeight="1">
      <c r="A210" s="265"/>
      <c r="B210" s="265" t="s">
        <v>309</v>
      </c>
      <c r="C210" s="265" t="s">
        <v>85</v>
      </c>
      <c r="D210" s="270" t="s">
        <v>310</v>
      </c>
      <c r="E210" s="181" t="s">
        <v>167</v>
      </c>
      <c r="F210" s="78"/>
      <c r="G210" s="75">
        <v>4308029</v>
      </c>
      <c r="H210" s="78">
        <f t="shared" si="8"/>
        <v>4308029</v>
      </c>
      <c r="I210" s="124"/>
      <c r="L210" s="166"/>
    </row>
    <row r="211" spans="1:12" s="111" customFormat="1" ht="72" customHeight="1">
      <c r="A211" s="273"/>
      <c r="B211" s="273"/>
      <c r="C211" s="273"/>
      <c r="D211" s="272"/>
      <c r="E211" s="181" t="s">
        <v>168</v>
      </c>
      <c r="F211" s="75"/>
      <c r="G211" s="75">
        <f>12596454-1478917</f>
        <v>11117537</v>
      </c>
      <c r="H211" s="78">
        <f t="shared" si="8"/>
        <v>11117537</v>
      </c>
      <c r="I211" s="124"/>
      <c r="L211" s="166"/>
    </row>
    <row r="212" spans="1:12" s="111" customFormat="1" ht="63.75" customHeight="1">
      <c r="A212" s="273"/>
      <c r="B212" s="266"/>
      <c r="C212" s="266"/>
      <c r="D212" s="271"/>
      <c r="E212" s="90" t="s">
        <v>173</v>
      </c>
      <c r="F212" s="78"/>
      <c r="G212" s="75">
        <v>5000000</v>
      </c>
      <c r="H212" s="78">
        <f t="shared" si="8"/>
        <v>5000000</v>
      </c>
      <c r="I212" s="124"/>
      <c r="L212" s="166"/>
    </row>
    <row r="213" spans="1:12" s="111" customFormat="1" ht="51" customHeight="1" hidden="1">
      <c r="A213" s="190"/>
      <c r="B213" s="107"/>
      <c r="C213" s="107"/>
      <c r="D213" s="158"/>
      <c r="E213" s="90"/>
      <c r="F213" s="78"/>
      <c r="G213" s="75"/>
      <c r="H213" s="78">
        <f t="shared" si="8"/>
        <v>0</v>
      </c>
      <c r="I213" s="124"/>
      <c r="L213" s="166"/>
    </row>
    <row r="214" spans="1:12" s="111" customFormat="1" ht="79.5" customHeight="1">
      <c r="A214" s="264"/>
      <c r="B214" s="264" t="s">
        <v>323</v>
      </c>
      <c r="C214" s="264" t="s">
        <v>85</v>
      </c>
      <c r="D214" s="279" t="s">
        <v>464</v>
      </c>
      <c r="E214" s="181" t="s">
        <v>241</v>
      </c>
      <c r="F214" s="78"/>
      <c r="G214" s="75">
        <f>383883+55161819-28995000</f>
        <v>26550702</v>
      </c>
      <c r="H214" s="78">
        <f t="shared" si="8"/>
        <v>26550702</v>
      </c>
      <c r="I214" s="124"/>
      <c r="L214" s="166"/>
    </row>
    <row r="215" spans="1:12" s="111" customFormat="1" ht="79.5" customHeight="1" hidden="1">
      <c r="A215" s="264"/>
      <c r="B215" s="264"/>
      <c r="C215" s="264"/>
      <c r="D215" s="279"/>
      <c r="E215" s="181" t="s">
        <v>133</v>
      </c>
      <c r="F215" s="78"/>
      <c r="G215" s="75"/>
      <c r="H215" s="78">
        <f t="shared" si="8"/>
        <v>0</v>
      </c>
      <c r="I215" s="124"/>
      <c r="L215" s="166"/>
    </row>
    <row r="216" spans="1:12" s="111" customFormat="1" ht="53.25" customHeight="1" hidden="1">
      <c r="A216" s="264"/>
      <c r="B216" s="264"/>
      <c r="C216" s="264"/>
      <c r="D216" s="279"/>
      <c r="E216" s="100" t="s">
        <v>125</v>
      </c>
      <c r="F216" s="88"/>
      <c r="G216" s="80"/>
      <c r="H216" s="78">
        <f t="shared" si="8"/>
        <v>0</v>
      </c>
      <c r="I216" s="124"/>
      <c r="L216" s="166"/>
    </row>
    <row r="217" spans="1:12" s="111" customFormat="1" ht="63" hidden="1">
      <c r="A217" s="264"/>
      <c r="B217" s="264"/>
      <c r="C217" s="264"/>
      <c r="D217" s="279"/>
      <c r="E217" s="181" t="s">
        <v>522</v>
      </c>
      <c r="F217" s="90"/>
      <c r="G217" s="75"/>
      <c r="H217" s="78">
        <f t="shared" si="8"/>
        <v>0</v>
      </c>
      <c r="I217" s="124"/>
      <c r="L217" s="166"/>
    </row>
    <row r="218" spans="1:12" s="111" customFormat="1" ht="52.5" customHeight="1" hidden="1">
      <c r="A218" s="192"/>
      <c r="B218" s="193" t="s">
        <v>444</v>
      </c>
      <c r="C218" s="191" t="s">
        <v>93</v>
      </c>
      <c r="D218" s="194" t="s">
        <v>445</v>
      </c>
      <c r="E218" s="181" t="s">
        <v>123</v>
      </c>
      <c r="F218" s="78"/>
      <c r="G218" s="75"/>
      <c r="H218" s="78">
        <f t="shared" si="8"/>
        <v>0</v>
      </c>
      <c r="I218" s="124"/>
      <c r="L218" s="166"/>
    </row>
    <row r="219" spans="1:12" s="111" customFormat="1" ht="52.5" customHeight="1">
      <c r="A219" s="192"/>
      <c r="B219" s="265" t="s">
        <v>454</v>
      </c>
      <c r="C219" s="265" t="s">
        <v>117</v>
      </c>
      <c r="D219" s="270" t="s">
        <v>455</v>
      </c>
      <c r="E219" s="181" t="s">
        <v>241</v>
      </c>
      <c r="F219" s="78">
        <v>503931</v>
      </c>
      <c r="G219" s="75"/>
      <c r="H219" s="78">
        <f t="shared" si="8"/>
        <v>503931</v>
      </c>
      <c r="I219" s="124"/>
      <c r="L219" s="166"/>
    </row>
    <row r="220" spans="1:13" s="111" customFormat="1" ht="33" customHeight="1" hidden="1">
      <c r="A220" s="265"/>
      <c r="B220" s="273"/>
      <c r="C220" s="273"/>
      <c r="D220" s="272"/>
      <c r="E220" s="90" t="s">
        <v>129</v>
      </c>
      <c r="F220" s="78"/>
      <c r="G220" s="75"/>
      <c r="H220" s="78">
        <f>F220+G220</f>
        <v>0</v>
      </c>
      <c r="I220" s="124"/>
      <c r="L220" s="125"/>
      <c r="M220" s="126"/>
    </row>
    <row r="221" spans="1:12" s="111" customFormat="1" ht="69.75" customHeight="1">
      <c r="A221" s="266"/>
      <c r="B221" s="266"/>
      <c r="C221" s="266"/>
      <c r="D221" s="271"/>
      <c r="E221" s="181" t="s">
        <v>169</v>
      </c>
      <c r="F221" s="78"/>
      <c r="G221" s="75">
        <v>10522935</v>
      </c>
      <c r="H221" s="78">
        <f>F221+G221</f>
        <v>10522935</v>
      </c>
      <c r="I221" s="124"/>
      <c r="L221" s="166"/>
    </row>
    <row r="222" spans="1:12" s="111" customFormat="1" ht="69.75" customHeight="1" hidden="1">
      <c r="A222" s="190"/>
      <c r="B222" s="190" t="s">
        <v>302</v>
      </c>
      <c r="C222" s="190" t="s">
        <v>86</v>
      </c>
      <c r="D222" s="180" t="s">
        <v>317</v>
      </c>
      <c r="E222" s="181" t="s">
        <v>184</v>
      </c>
      <c r="F222" s="78">
        <f>1441000-1441000</f>
        <v>0</v>
      </c>
      <c r="G222" s="75"/>
      <c r="H222" s="78">
        <f>F222+G222</f>
        <v>0</v>
      </c>
      <c r="I222" s="124"/>
      <c r="L222" s="166"/>
    </row>
    <row r="223" spans="1:12" s="111" customFormat="1" ht="65.25" customHeight="1">
      <c r="A223" s="98"/>
      <c r="B223" s="98" t="s">
        <v>381</v>
      </c>
      <c r="C223" s="98"/>
      <c r="D223" s="99" t="s">
        <v>277</v>
      </c>
      <c r="E223" s="181"/>
      <c r="F223" s="82">
        <f>F224+F225+F226</f>
        <v>8069335</v>
      </c>
      <c r="G223" s="82">
        <f>G224+G225+G226</f>
        <v>231138</v>
      </c>
      <c r="H223" s="82">
        <f>H224+H225+H226</f>
        <v>8300473</v>
      </c>
      <c r="I223" s="124"/>
      <c r="L223" s="166"/>
    </row>
    <row r="224" spans="1:12" s="111" customFormat="1" ht="68.25" customHeight="1">
      <c r="A224" s="192"/>
      <c r="B224" s="192" t="s">
        <v>402</v>
      </c>
      <c r="C224" s="192"/>
      <c r="D224" s="195" t="s">
        <v>403</v>
      </c>
      <c r="E224" s="194" t="s">
        <v>213</v>
      </c>
      <c r="F224" s="78"/>
      <c r="G224" s="91">
        <v>32600</v>
      </c>
      <c r="H224" s="75">
        <f>F224+G224</f>
        <v>32600</v>
      </c>
      <c r="I224" s="124"/>
      <c r="L224" s="166"/>
    </row>
    <row r="225" spans="1:13" s="111" customFormat="1" ht="66.75" customHeight="1">
      <c r="A225" s="191"/>
      <c r="B225" s="191" t="s">
        <v>313</v>
      </c>
      <c r="C225" s="191" t="s">
        <v>118</v>
      </c>
      <c r="D225" s="181" t="s">
        <v>314</v>
      </c>
      <c r="E225" s="194" t="s">
        <v>196</v>
      </c>
      <c r="F225" s="78">
        <f>4238325-65576</f>
        <v>4172749</v>
      </c>
      <c r="G225" s="78">
        <v>83956</v>
      </c>
      <c r="H225" s="75">
        <f>F225+G225</f>
        <v>4256705</v>
      </c>
      <c r="I225" s="124"/>
      <c r="L225" s="125"/>
      <c r="M225" s="126"/>
    </row>
    <row r="226" spans="1:13" s="111" customFormat="1" ht="63">
      <c r="A226" s="191"/>
      <c r="B226" s="191" t="s">
        <v>315</v>
      </c>
      <c r="C226" s="191" t="s">
        <v>118</v>
      </c>
      <c r="D226" s="181" t="s">
        <v>316</v>
      </c>
      <c r="E226" s="194" t="s">
        <v>196</v>
      </c>
      <c r="F226" s="78">
        <f>4264640-368054</f>
        <v>3896586</v>
      </c>
      <c r="G226" s="78">
        <v>114582</v>
      </c>
      <c r="H226" s="75">
        <f>F226+G226</f>
        <v>4011168</v>
      </c>
      <c r="I226" s="124"/>
      <c r="L226" s="125"/>
      <c r="M226" s="126"/>
    </row>
    <row r="227" spans="1:12" s="111" customFormat="1" ht="31.5">
      <c r="A227" s="98"/>
      <c r="B227" s="98" t="s">
        <v>390</v>
      </c>
      <c r="C227" s="98"/>
      <c r="D227" s="99" t="s">
        <v>283</v>
      </c>
      <c r="E227" s="180"/>
      <c r="F227" s="82">
        <f>F228+F229+F230+F233+F231+F234</f>
        <v>136197</v>
      </c>
      <c r="G227" s="82">
        <f>G228+G229+G230+G233+G231+G232+G234</f>
        <v>4953067</v>
      </c>
      <c r="H227" s="82">
        <f>H228+H229+H230+H233+H231+H232+H234</f>
        <v>5089264</v>
      </c>
      <c r="I227" s="124"/>
      <c r="L227" s="166"/>
    </row>
    <row r="228" spans="1:12" s="111" customFormat="1" ht="56.25" customHeight="1">
      <c r="A228" s="192"/>
      <c r="B228" s="192" t="s">
        <v>402</v>
      </c>
      <c r="C228" s="192" t="s">
        <v>83</v>
      </c>
      <c r="D228" s="195" t="s">
        <v>403</v>
      </c>
      <c r="E228" s="194" t="s">
        <v>213</v>
      </c>
      <c r="F228" s="78"/>
      <c r="G228" s="78">
        <v>10944</v>
      </c>
      <c r="H228" s="78">
        <f aca="true" t="shared" si="9" ref="H228:H240">F228+G228</f>
        <v>10944</v>
      </c>
      <c r="I228" s="124"/>
      <c r="L228" s="166"/>
    </row>
    <row r="229" spans="1:12" s="111" customFormat="1" ht="66" customHeight="1">
      <c r="A229" s="192"/>
      <c r="B229" s="187" t="s">
        <v>309</v>
      </c>
      <c r="C229" s="192" t="s">
        <v>85</v>
      </c>
      <c r="D229" s="195" t="s">
        <v>310</v>
      </c>
      <c r="E229" s="194" t="s">
        <v>195</v>
      </c>
      <c r="F229" s="80"/>
      <c r="G229" s="91">
        <v>4924761</v>
      </c>
      <c r="H229" s="78">
        <f t="shared" si="9"/>
        <v>4924761</v>
      </c>
      <c r="I229" s="124"/>
      <c r="L229" s="166"/>
    </row>
    <row r="230" spans="1:12" s="111" customFormat="1" ht="68.25" customHeight="1">
      <c r="A230" s="191"/>
      <c r="B230" s="191" t="s">
        <v>324</v>
      </c>
      <c r="C230" s="191" t="s">
        <v>119</v>
      </c>
      <c r="D230" s="181" t="s">
        <v>325</v>
      </c>
      <c r="E230" s="194" t="s">
        <v>195</v>
      </c>
      <c r="F230" s="80"/>
      <c r="G230" s="75">
        <v>17362</v>
      </c>
      <c r="H230" s="78">
        <f t="shared" si="9"/>
        <v>17362</v>
      </c>
      <c r="I230" s="124"/>
      <c r="L230" s="166"/>
    </row>
    <row r="231" spans="1:12" s="154" customFormat="1" ht="66" customHeight="1" hidden="1">
      <c r="A231" s="191"/>
      <c r="B231" s="191" t="s">
        <v>323</v>
      </c>
      <c r="C231" s="191" t="s">
        <v>85</v>
      </c>
      <c r="D231" s="180" t="s">
        <v>464</v>
      </c>
      <c r="E231" s="194" t="s">
        <v>131</v>
      </c>
      <c r="F231" s="80"/>
      <c r="G231" s="75"/>
      <c r="H231" s="78">
        <f t="shared" si="9"/>
        <v>0</v>
      </c>
      <c r="I231" s="153"/>
      <c r="L231" s="155"/>
    </row>
    <row r="232" spans="1:12" s="154" customFormat="1" ht="66" customHeight="1" hidden="1">
      <c r="A232" s="189"/>
      <c r="B232" s="188" t="s">
        <v>296</v>
      </c>
      <c r="C232" s="189" t="s">
        <v>86</v>
      </c>
      <c r="D232" s="196" t="s">
        <v>461</v>
      </c>
      <c r="E232" s="194" t="s">
        <v>124</v>
      </c>
      <c r="F232" s="80"/>
      <c r="G232" s="75"/>
      <c r="H232" s="78">
        <f t="shared" si="9"/>
        <v>0</v>
      </c>
      <c r="I232" s="153"/>
      <c r="L232" s="155"/>
    </row>
    <row r="233" spans="1:12" s="111" customFormat="1" ht="53.25" customHeight="1" hidden="1">
      <c r="A233" s="192"/>
      <c r="B233" s="276" t="s">
        <v>302</v>
      </c>
      <c r="C233" s="267" t="s">
        <v>86</v>
      </c>
      <c r="D233" s="270" t="s">
        <v>317</v>
      </c>
      <c r="E233" s="194" t="s">
        <v>130</v>
      </c>
      <c r="F233" s="78"/>
      <c r="G233" s="75"/>
      <c r="H233" s="78">
        <f t="shared" si="9"/>
        <v>0</v>
      </c>
      <c r="I233" s="114"/>
      <c r="L233" s="166"/>
    </row>
    <row r="234" spans="1:12" s="111" customFormat="1" ht="86.25" customHeight="1">
      <c r="A234" s="190"/>
      <c r="B234" s="277"/>
      <c r="C234" s="268"/>
      <c r="D234" s="271"/>
      <c r="E234" s="194" t="s">
        <v>189</v>
      </c>
      <c r="F234" s="78">
        <v>136197</v>
      </c>
      <c r="G234" s="75"/>
      <c r="H234" s="78">
        <f t="shared" si="9"/>
        <v>136197</v>
      </c>
      <c r="I234" s="114"/>
      <c r="L234" s="166"/>
    </row>
    <row r="235" spans="1:12" s="111" customFormat="1" ht="46.5" customHeight="1">
      <c r="A235" s="108"/>
      <c r="B235" s="108" t="s">
        <v>389</v>
      </c>
      <c r="C235" s="108"/>
      <c r="D235" s="109" t="s">
        <v>262</v>
      </c>
      <c r="E235" s="181"/>
      <c r="F235" s="82">
        <f>F236+F237+F239+F238</f>
        <v>26700</v>
      </c>
      <c r="G235" s="82">
        <f>G236+G237+G239+G238</f>
        <v>157040</v>
      </c>
      <c r="H235" s="85">
        <f t="shared" si="9"/>
        <v>183740</v>
      </c>
      <c r="I235" s="114"/>
      <c r="L235" s="166"/>
    </row>
    <row r="236" spans="1:12" s="111" customFormat="1" ht="46.5" customHeight="1">
      <c r="A236" s="265"/>
      <c r="B236" s="265" t="s">
        <v>402</v>
      </c>
      <c r="C236" s="265" t="s">
        <v>83</v>
      </c>
      <c r="D236" s="270" t="s">
        <v>403</v>
      </c>
      <c r="E236" s="194" t="s">
        <v>213</v>
      </c>
      <c r="F236" s="77"/>
      <c r="G236" s="75">
        <v>157040</v>
      </c>
      <c r="H236" s="75">
        <f t="shared" si="9"/>
        <v>157040</v>
      </c>
      <c r="I236" s="124"/>
      <c r="L236" s="166"/>
    </row>
    <row r="237" spans="1:12" s="111" customFormat="1" ht="63.75" customHeight="1" hidden="1">
      <c r="A237" s="273"/>
      <c r="B237" s="273"/>
      <c r="C237" s="266"/>
      <c r="D237" s="272"/>
      <c r="E237" s="195" t="s">
        <v>79</v>
      </c>
      <c r="F237" s="151"/>
      <c r="H237" s="110">
        <f t="shared" si="9"/>
        <v>0</v>
      </c>
      <c r="I237" s="124"/>
      <c r="L237" s="166"/>
    </row>
    <row r="238" spans="1:12" s="111" customFormat="1" ht="63.75" customHeight="1" hidden="1">
      <c r="A238" s="191"/>
      <c r="B238" s="191"/>
      <c r="C238" s="191"/>
      <c r="D238" s="181"/>
      <c r="E238" s="90"/>
      <c r="F238" s="78"/>
      <c r="G238" s="78"/>
      <c r="H238" s="110">
        <f t="shared" si="9"/>
        <v>0</v>
      </c>
      <c r="I238" s="124"/>
      <c r="L238" s="166"/>
    </row>
    <row r="239" spans="1:12" s="111" customFormat="1" ht="54" customHeight="1">
      <c r="A239" s="193"/>
      <c r="B239" s="193" t="s">
        <v>302</v>
      </c>
      <c r="C239" s="191" t="s">
        <v>86</v>
      </c>
      <c r="D239" s="181" t="s">
        <v>317</v>
      </c>
      <c r="E239" s="194" t="s">
        <v>182</v>
      </c>
      <c r="F239" s="77">
        <v>26700</v>
      </c>
      <c r="G239" s="77"/>
      <c r="H239" s="75">
        <f t="shared" si="9"/>
        <v>26700</v>
      </c>
      <c r="I239" s="124"/>
      <c r="L239" s="166"/>
    </row>
    <row r="240" spans="1:12" s="111" customFormat="1" ht="47.25" customHeight="1">
      <c r="A240" s="108"/>
      <c r="B240" s="108" t="s">
        <v>430</v>
      </c>
      <c r="C240" s="108"/>
      <c r="D240" s="109" t="s">
        <v>262</v>
      </c>
      <c r="E240" s="181"/>
      <c r="F240" s="82">
        <f>F241+F242</f>
        <v>2227436</v>
      </c>
      <c r="G240" s="82">
        <f>G241+G242</f>
        <v>9928873</v>
      </c>
      <c r="H240" s="82">
        <f t="shared" si="9"/>
        <v>12156309</v>
      </c>
      <c r="I240" s="124"/>
      <c r="L240" s="166"/>
    </row>
    <row r="241" spans="1:12" s="111" customFormat="1" ht="99.75" customHeight="1">
      <c r="A241" s="191"/>
      <c r="B241" s="191" t="s">
        <v>326</v>
      </c>
      <c r="C241" s="191" t="s">
        <v>120</v>
      </c>
      <c r="D241" s="181" t="s">
        <v>432</v>
      </c>
      <c r="E241" s="90" t="s">
        <v>215</v>
      </c>
      <c r="F241" s="78">
        <v>2227436</v>
      </c>
      <c r="G241" s="78">
        <v>3698382</v>
      </c>
      <c r="H241" s="78">
        <f>G241+F241</f>
        <v>5925818</v>
      </c>
      <c r="I241" s="114"/>
      <c r="L241" s="166"/>
    </row>
    <row r="242" spans="1:12" s="178" customFormat="1" ht="51.75" customHeight="1">
      <c r="A242" s="246"/>
      <c r="B242" s="246">
        <v>250380</v>
      </c>
      <c r="C242" s="191" t="s">
        <v>120</v>
      </c>
      <c r="D242" s="270" t="s">
        <v>530</v>
      </c>
      <c r="E242" s="194" t="s">
        <v>195</v>
      </c>
      <c r="F242" s="175"/>
      <c r="G242" s="75">
        <v>6230491</v>
      </c>
      <c r="H242" s="75">
        <f>G242</f>
        <v>6230491</v>
      </c>
      <c r="I242" s="177"/>
      <c r="L242" s="179"/>
    </row>
    <row r="243" spans="1:12" s="111" customFormat="1" ht="51.75" customHeight="1" hidden="1">
      <c r="A243" s="247"/>
      <c r="B243" s="247"/>
      <c r="C243" s="186"/>
      <c r="D243" s="271"/>
      <c r="E243" s="181"/>
      <c r="F243" s="80"/>
      <c r="G243" s="75">
        <v>0</v>
      </c>
      <c r="H243" s="75">
        <f>G243</f>
        <v>0</v>
      </c>
      <c r="I243" s="114"/>
      <c r="L243" s="166"/>
    </row>
    <row r="244" spans="1:12" s="111" customFormat="1" ht="31.5">
      <c r="A244" s="98"/>
      <c r="B244" s="98" t="s">
        <v>371</v>
      </c>
      <c r="C244" s="98"/>
      <c r="D244" s="99" t="s">
        <v>186</v>
      </c>
      <c r="E244" s="181"/>
      <c r="F244" s="82">
        <f>F245+F246+F248+F250+F251+F252+F253+F254+F255+F256+F257+F259+F258+F247+F249</f>
        <v>25124886</v>
      </c>
      <c r="G244" s="82">
        <f>G245+G246+G248+G250+G251+G252+G253+G254+G255+G256+G257+G259+G258+G247+G249</f>
        <v>3861303</v>
      </c>
      <c r="H244" s="82">
        <f>H245+H246+H248+H250+H251+H252+H253+H254+H255+H256+H257+H259+H258+H247+H249</f>
        <v>28986189</v>
      </c>
      <c r="I244" s="124"/>
      <c r="L244" s="166"/>
    </row>
    <row r="245" spans="1:12" s="111" customFormat="1" ht="53.25" customHeight="1">
      <c r="A245" s="192"/>
      <c r="B245" s="192" t="s">
        <v>402</v>
      </c>
      <c r="C245" s="192" t="s">
        <v>83</v>
      </c>
      <c r="D245" s="195" t="s">
        <v>403</v>
      </c>
      <c r="E245" s="194" t="s">
        <v>213</v>
      </c>
      <c r="F245" s="78"/>
      <c r="G245" s="75">
        <v>179934</v>
      </c>
      <c r="H245" s="75">
        <f>F245+G245</f>
        <v>179934</v>
      </c>
      <c r="I245" s="124"/>
      <c r="L245" s="166"/>
    </row>
    <row r="246" spans="1:12" s="111" customFormat="1" ht="72" customHeight="1" hidden="1">
      <c r="A246" s="192"/>
      <c r="B246" s="187" t="s">
        <v>311</v>
      </c>
      <c r="C246" s="198" t="s">
        <v>105</v>
      </c>
      <c r="D246" s="192" t="s">
        <v>318</v>
      </c>
      <c r="E246" s="194" t="s">
        <v>81</v>
      </c>
      <c r="F246" s="78"/>
      <c r="G246" s="75"/>
      <c r="H246" s="75">
        <f aca="true" t="shared" si="10" ref="H246:H259">F246+G246</f>
        <v>0</v>
      </c>
      <c r="I246" s="124"/>
      <c r="L246" s="166"/>
    </row>
    <row r="247" spans="1:12" s="111" customFormat="1" ht="72" customHeight="1">
      <c r="A247" s="192"/>
      <c r="B247" s="187" t="s">
        <v>456</v>
      </c>
      <c r="C247" s="198" t="s">
        <v>112</v>
      </c>
      <c r="D247" s="192" t="s">
        <v>457</v>
      </c>
      <c r="E247" s="194" t="s">
        <v>195</v>
      </c>
      <c r="F247" s="78">
        <v>5177622</v>
      </c>
      <c r="G247" s="75"/>
      <c r="H247" s="75">
        <f t="shared" si="10"/>
        <v>5177622</v>
      </c>
      <c r="I247" s="124"/>
      <c r="L247" s="166"/>
    </row>
    <row r="248" spans="1:13" s="111" customFormat="1" ht="52.5" customHeight="1">
      <c r="A248" s="192"/>
      <c r="B248" s="187" t="s">
        <v>319</v>
      </c>
      <c r="C248" s="192" t="s">
        <v>113</v>
      </c>
      <c r="D248" s="195" t="s">
        <v>320</v>
      </c>
      <c r="E248" s="194" t="s">
        <v>195</v>
      </c>
      <c r="F248" s="78">
        <f>851148+47585+79991+361456+10083901+8211536-161480</f>
        <v>19474137</v>
      </c>
      <c r="G248" s="75">
        <v>199891</v>
      </c>
      <c r="H248" s="75">
        <f t="shared" si="10"/>
        <v>19674028</v>
      </c>
      <c r="I248" s="114"/>
      <c r="L248" s="125"/>
      <c r="M248" s="126"/>
    </row>
    <row r="249" spans="1:13" s="111" customFormat="1" ht="52.5" customHeight="1">
      <c r="A249" s="191"/>
      <c r="B249" s="191" t="s">
        <v>309</v>
      </c>
      <c r="C249" s="191" t="s">
        <v>85</v>
      </c>
      <c r="D249" s="194" t="s">
        <v>310</v>
      </c>
      <c r="E249" s="194" t="s">
        <v>195</v>
      </c>
      <c r="F249" s="78"/>
      <c r="G249" s="75">
        <v>3481478</v>
      </c>
      <c r="H249" s="75">
        <v>3481478</v>
      </c>
      <c r="I249" s="114"/>
      <c r="L249" s="125"/>
      <c r="M249" s="126"/>
    </row>
    <row r="250" spans="1:13" s="111" customFormat="1" ht="71.25" customHeight="1" hidden="1">
      <c r="A250" s="190"/>
      <c r="B250" s="190" t="s">
        <v>313</v>
      </c>
      <c r="C250" s="190"/>
      <c r="D250" s="180" t="s">
        <v>314</v>
      </c>
      <c r="E250" s="181" t="s">
        <v>237</v>
      </c>
      <c r="F250" s="78"/>
      <c r="G250" s="75"/>
      <c r="H250" s="75">
        <f t="shared" si="10"/>
        <v>0</v>
      </c>
      <c r="I250" s="114"/>
      <c r="L250" s="125"/>
      <c r="M250" s="126"/>
    </row>
    <row r="251" spans="1:12" s="111" customFormat="1" ht="73.5" customHeight="1" hidden="1">
      <c r="A251" s="191"/>
      <c r="B251" s="191" t="s">
        <v>296</v>
      </c>
      <c r="C251" s="192"/>
      <c r="D251" s="181" t="s">
        <v>461</v>
      </c>
      <c r="E251" s="181" t="s">
        <v>443</v>
      </c>
      <c r="F251" s="78"/>
      <c r="G251" s="75"/>
      <c r="H251" s="75">
        <f t="shared" si="10"/>
        <v>0</v>
      </c>
      <c r="I251" s="114"/>
      <c r="L251" s="166"/>
    </row>
    <row r="252" spans="1:13" s="111" customFormat="1" ht="50.25" customHeight="1">
      <c r="A252" s="264"/>
      <c r="B252" s="278" t="s">
        <v>302</v>
      </c>
      <c r="C252" s="265" t="s">
        <v>86</v>
      </c>
      <c r="D252" s="269" t="s">
        <v>317</v>
      </c>
      <c r="E252" s="181" t="s">
        <v>170</v>
      </c>
      <c r="F252" s="78">
        <v>226357</v>
      </c>
      <c r="G252" s="87"/>
      <c r="H252" s="75">
        <f t="shared" si="10"/>
        <v>226357</v>
      </c>
      <c r="I252" s="114"/>
      <c r="L252" s="125"/>
      <c r="M252" s="126"/>
    </row>
    <row r="253" spans="1:12" s="111" customFormat="1" ht="54" customHeight="1" hidden="1">
      <c r="A253" s="264"/>
      <c r="B253" s="278"/>
      <c r="C253" s="273"/>
      <c r="D253" s="269"/>
      <c r="E253" s="181" t="s">
        <v>554</v>
      </c>
      <c r="F253" s="78"/>
      <c r="G253" s="87"/>
      <c r="H253" s="75">
        <f t="shared" si="10"/>
        <v>0</v>
      </c>
      <c r="I253" s="114"/>
      <c r="L253" s="166"/>
    </row>
    <row r="254" spans="1:12" s="111" customFormat="1" ht="52.5" customHeight="1">
      <c r="A254" s="264"/>
      <c r="B254" s="278"/>
      <c r="C254" s="273"/>
      <c r="D254" s="269"/>
      <c r="E254" s="181" t="s">
        <v>220</v>
      </c>
      <c r="F254" s="78">
        <v>119500</v>
      </c>
      <c r="G254" s="87"/>
      <c r="H254" s="75">
        <f t="shared" si="10"/>
        <v>119500</v>
      </c>
      <c r="I254" s="114"/>
      <c r="L254" s="166"/>
    </row>
    <row r="255" spans="1:12" s="111" customFormat="1" ht="69" customHeight="1">
      <c r="A255" s="264"/>
      <c r="B255" s="278"/>
      <c r="C255" s="273"/>
      <c r="D255" s="269"/>
      <c r="E255" s="181" t="s">
        <v>179</v>
      </c>
      <c r="F255" s="78">
        <f>29892+31278</f>
        <v>61170</v>
      </c>
      <c r="G255" s="87"/>
      <c r="H255" s="75">
        <f t="shared" si="10"/>
        <v>61170</v>
      </c>
      <c r="I255" s="114"/>
      <c r="L255" s="166"/>
    </row>
    <row r="256" spans="1:12" s="111" customFormat="1" ht="71.25" customHeight="1" hidden="1">
      <c r="A256" s="264"/>
      <c r="B256" s="278"/>
      <c r="C256" s="273"/>
      <c r="D256" s="269"/>
      <c r="E256" s="181" t="s">
        <v>345</v>
      </c>
      <c r="F256" s="78"/>
      <c r="G256" s="87"/>
      <c r="H256" s="75">
        <f t="shared" si="10"/>
        <v>0</v>
      </c>
      <c r="I256" s="114"/>
      <c r="L256" s="166"/>
    </row>
    <row r="257" spans="1:12" s="111" customFormat="1" ht="69.75" customHeight="1">
      <c r="A257" s="264"/>
      <c r="B257" s="278"/>
      <c r="C257" s="273"/>
      <c r="D257" s="269"/>
      <c r="E257" s="181" t="s">
        <v>214</v>
      </c>
      <c r="F257" s="78">
        <f>39200+26900</f>
        <v>66100</v>
      </c>
      <c r="G257" s="87"/>
      <c r="H257" s="75">
        <f t="shared" si="10"/>
        <v>66100</v>
      </c>
      <c r="I257" s="114"/>
      <c r="L257" s="166"/>
    </row>
    <row r="258" spans="1:12" s="111" customFormat="1" ht="61.5" customHeight="1" hidden="1">
      <c r="A258" s="264"/>
      <c r="B258" s="278"/>
      <c r="C258" s="273"/>
      <c r="D258" s="269"/>
      <c r="E258" s="181" t="s">
        <v>126</v>
      </c>
      <c r="F258" s="78"/>
      <c r="G258" s="87"/>
      <c r="H258" s="75">
        <f t="shared" si="10"/>
        <v>0</v>
      </c>
      <c r="I258" s="114"/>
      <c r="L258" s="166"/>
    </row>
    <row r="259" spans="1:12" s="111" customFormat="1" ht="63.75" customHeight="1" hidden="1">
      <c r="A259" s="264"/>
      <c r="B259" s="278"/>
      <c r="C259" s="266"/>
      <c r="D259" s="269"/>
      <c r="E259" s="181" t="s">
        <v>79</v>
      </c>
      <c r="F259" s="149">
        <f>478-478</f>
        <v>0</v>
      </c>
      <c r="G259" s="87"/>
      <c r="H259" s="75">
        <f t="shared" si="10"/>
        <v>0</v>
      </c>
      <c r="I259" s="114"/>
      <c r="L259" s="166"/>
    </row>
    <row r="260" spans="1:12" s="111" customFormat="1" ht="31.5">
      <c r="A260" s="98"/>
      <c r="B260" s="98" t="s">
        <v>372</v>
      </c>
      <c r="C260" s="98"/>
      <c r="D260" s="99" t="s">
        <v>268</v>
      </c>
      <c r="E260" s="181"/>
      <c r="F260" s="82">
        <f>F261+F263+F265+F266+F267+F268+F269+F272+F273+F274+F271+F262+F264</f>
        <v>5943453</v>
      </c>
      <c r="G260" s="82">
        <f>G261+G263+G265+G266+G267+G268+G269+G272+G273+G274+G271+G262+G264</f>
        <v>16469475</v>
      </c>
      <c r="H260" s="82">
        <f>H261+H263+H265+H266+H267+H268+H269+H272+H273+H274+H271+H262+H264</f>
        <v>22412928</v>
      </c>
      <c r="I260" s="124"/>
      <c r="L260" s="166"/>
    </row>
    <row r="261" spans="1:12" s="154" customFormat="1" ht="45.75" customHeight="1">
      <c r="A261" s="192"/>
      <c r="B261" s="192" t="s">
        <v>402</v>
      </c>
      <c r="C261" s="192" t="s">
        <v>83</v>
      </c>
      <c r="D261" s="195" t="s">
        <v>403</v>
      </c>
      <c r="E261" s="194" t="s">
        <v>213</v>
      </c>
      <c r="F261" s="78"/>
      <c r="G261" s="75">
        <v>320384</v>
      </c>
      <c r="H261" s="75">
        <f>F261+G261</f>
        <v>320384</v>
      </c>
      <c r="I261" s="153"/>
      <c r="L261" s="155"/>
    </row>
    <row r="262" spans="1:12" s="154" customFormat="1" ht="45.75" customHeight="1">
      <c r="A262" s="192"/>
      <c r="B262" s="187" t="s">
        <v>456</v>
      </c>
      <c r="C262" s="198" t="s">
        <v>112</v>
      </c>
      <c r="D262" s="192" t="s">
        <v>457</v>
      </c>
      <c r="E262" s="194" t="s">
        <v>195</v>
      </c>
      <c r="F262" s="78">
        <v>3542584</v>
      </c>
      <c r="G262" s="75"/>
      <c r="H262" s="75">
        <f aca="true" t="shared" si="11" ref="H262:H274">F262+G262</f>
        <v>3542584</v>
      </c>
      <c r="I262" s="153"/>
      <c r="L262" s="155"/>
    </row>
    <row r="263" spans="1:13" s="111" customFormat="1" ht="51" customHeight="1">
      <c r="A263" s="192"/>
      <c r="B263" s="187" t="s">
        <v>319</v>
      </c>
      <c r="C263" s="192" t="s">
        <v>113</v>
      </c>
      <c r="D263" s="195" t="s">
        <v>320</v>
      </c>
      <c r="E263" s="194" t="s">
        <v>195</v>
      </c>
      <c r="F263" s="169">
        <f>550420+35256+447545+1219275</f>
        <v>2252496</v>
      </c>
      <c r="G263" s="169">
        <f>87729+659040+249660</f>
        <v>996429</v>
      </c>
      <c r="H263" s="110">
        <f t="shared" si="11"/>
        <v>3248925</v>
      </c>
      <c r="I263" s="124"/>
      <c r="L263" s="125"/>
      <c r="M263" s="126"/>
    </row>
    <row r="264" spans="1:13" s="111" customFormat="1" ht="51" customHeight="1">
      <c r="A264" s="191"/>
      <c r="B264" s="191" t="s">
        <v>309</v>
      </c>
      <c r="C264" s="191" t="s">
        <v>85</v>
      </c>
      <c r="D264" s="194" t="s">
        <v>310</v>
      </c>
      <c r="E264" s="194" t="s">
        <v>195</v>
      </c>
      <c r="F264" s="78"/>
      <c r="G264" s="78">
        <f>2825494+12574844-2825494+2575678</f>
        <v>15150522</v>
      </c>
      <c r="H264" s="75">
        <f t="shared" si="11"/>
        <v>15150522</v>
      </c>
      <c r="I264" s="124"/>
      <c r="L264" s="125"/>
      <c r="M264" s="126"/>
    </row>
    <row r="265" spans="1:12" s="111" customFormat="1" ht="63" customHeight="1" hidden="1">
      <c r="A265" s="190"/>
      <c r="B265" s="190" t="s">
        <v>313</v>
      </c>
      <c r="C265" s="190"/>
      <c r="D265" s="180" t="s">
        <v>314</v>
      </c>
      <c r="E265" s="180" t="s">
        <v>237</v>
      </c>
      <c r="F265" s="211"/>
      <c r="G265" s="212"/>
      <c r="H265" s="75">
        <f t="shared" si="11"/>
        <v>0</v>
      </c>
      <c r="I265" s="114"/>
      <c r="L265" s="166"/>
    </row>
    <row r="266" spans="1:12" s="111" customFormat="1" ht="73.5" customHeight="1">
      <c r="A266" s="191"/>
      <c r="B266" s="191" t="s">
        <v>296</v>
      </c>
      <c r="C266" s="192" t="s">
        <v>86</v>
      </c>
      <c r="D266" s="181" t="s">
        <v>461</v>
      </c>
      <c r="E266" s="181" t="s">
        <v>219</v>
      </c>
      <c r="F266" s="78"/>
      <c r="G266" s="75">
        <v>2140</v>
      </c>
      <c r="H266" s="75">
        <f t="shared" si="11"/>
        <v>2140</v>
      </c>
      <c r="I266" s="124"/>
      <c r="L266" s="166"/>
    </row>
    <row r="267" spans="1:13" s="111" customFormat="1" ht="47.25">
      <c r="A267" s="264"/>
      <c r="B267" s="278" t="s">
        <v>302</v>
      </c>
      <c r="C267" s="265" t="s">
        <v>86</v>
      </c>
      <c r="D267" s="269" t="s">
        <v>317</v>
      </c>
      <c r="E267" s="181" t="s">
        <v>170</v>
      </c>
      <c r="F267" s="78">
        <v>16536</v>
      </c>
      <c r="G267" s="87"/>
      <c r="H267" s="75">
        <f t="shared" si="11"/>
        <v>16536</v>
      </c>
      <c r="I267" s="114"/>
      <c r="L267" s="125"/>
      <c r="M267" s="126"/>
    </row>
    <row r="268" spans="1:12" s="111" customFormat="1" ht="51.75" customHeight="1">
      <c r="A268" s="264"/>
      <c r="B268" s="278"/>
      <c r="C268" s="273"/>
      <c r="D268" s="269"/>
      <c r="E268" s="181" t="s">
        <v>220</v>
      </c>
      <c r="F268" s="78">
        <v>31950</v>
      </c>
      <c r="G268" s="87"/>
      <c r="H268" s="75">
        <f t="shared" si="11"/>
        <v>31950</v>
      </c>
      <c r="I268" s="114"/>
      <c r="L268" s="166"/>
    </row>
    <row r="269" spans="1:12" s="111" customFormat="1" ht="66.75" customHeight="1">
      <c r="A269" s="264"/>
      <c r="B269" s="278"/>
      <c r="C269" s="273"/>
      <c r="D269" s="269"/>
      <c r="E269" s="181" t="s">
        <v>179</v>
      </c>
      <c r="F269" s="78">
        <f>17815+32189</f>
        <v>50004</v>
      </c>
      <c r="G269" s="87"/>
      <c r="H269" s="75">
        <f t="shared" si="11"/>
        <v>50004</v>
      </c>
      <c r="I269" s="114"/>
      <c r="L269" s="166"/>
    </row>
    <row r="270" spans="1:12" s="111" customFormat="1" ht="66.75" customHeight="1" hidden="1">
      <c r="A270" s="264"/>
      <c r="B270" s="278"/>
      <c r="C270" s="273"/>
      <c r="D270" s="269"/>
      <c r="E270" s="181" t="s">
        <v>553</v>
      </c>
      <c r="F270" s="78"/>
      <c r="G270" s="87"/>
      <c r="H270" s="75">
        <f t="shared" si="11"/>
        <v>0</v>
      </c>
      <c r="I270" s="114"/>
      <c r="L270" s="166"/>
    </row>
    <row r="271" spans="1:12" s="111" customFormat="1" ht="61.5" customHeight="1" hidden="1">
      <c r="A271" s="264"/>
      <c r="B271" s="278"/>
      <c r="C271" s="273"/>
      <c r="D271" s="269"/>
      <c r="E271" s="181" t="s">
        <v>126</v>
      </c>
      <c r="F271" s="78"/>
      <c r="G271" s="87"/>
      <c r="H271" s="75">
        <f t="shared" si="11"/>
        <v>0</v>
      </c>
      <c r="I271" s="114"/>
      <c r="L271" s="166"/>
    </row>
    <row r="272" spans="1:12" s="111" customFormat="1" ht="66.75" customHeight="1" hidden="1">
      <c r="A272" s="264"/>
      <c r="B272" s="278"/>
      <c r="C272" s="266"/>
      <c r="D272" s="269"/>
      <c r="E272" s="181" t="s">
        <v>136</v>
      </c>
      <c r="F272" s="78"/>
      <c r="G272" s="87"/>
      <c r="H272" s="75">
        <f t="shared" si="11"/>
        <v>0</v>
      </c>
      <c r="I272" s="114"/>
      <c r="L272" s="166"/>
    </row>
    <row r="273" spans="1:12" s="111" customFormat="1" ht="47.25" customHeight="1">
      <c r="A273" s="264"/>
      <c r="B273" s="278"/>
      <c r="C273" s="190"/>
      <c r="D273" s="269"/>
      <c r="E273" s="181" t="s">
        <v>214</v>
      </c>
      <c r="F273" s="78">
        <f>26983+22900</f>
        <v>49883</v>
      </c>
      <c r="G273" s="87"/>
      <c r="H273" s="75">
        <f t="shared" si="11"/>
        <v>49883</v>
      </c>
      <c r="I273" s="114"/>
      <c r="L273" s="166"/>
    </row>
    <row r="274" spans="1:12" s="111" customFormat="1" ht="53.25" customHeight="1" hidden="1">
      <c r="A274" s="191"/>
      <c r="B274" s="193" t="s">
        <v>309</v>
      </c>
      <c r="C274" s="191" t="s">
        <v>85</v>
      </c>
      <c r="D274" s="194" t="s">
        <v>310</v>
      </c>
      <c r="E274" s="181" t="s">
        <v>128</v>
      </c>
      <c r="F274" s="78"/>
      <c r="G274" s="87"/>
      <c r="H274" s="75">
        <f t="shared" si="11"/>
        <v>0</v>
      </c>
      <c r="I274" s="114"/>
      <c r="L274" s="166"/>
    </row>
    <row r="275" spans="1:12" s="111" customFormat="1" ht="31.5">
      <c r="A275" s="98"/>
      <c r="B275" s="98" t="s">
        <v>373</v>
      </c>
      <c r="C275" s="98"/>
      <c r="D275" s="99" t="s">
        <v>187</v>
      </c>
      <c r="E275" s="181"/>
      <c r="F275" s="82">
        <f>F276+F278+F279+F281+F282+F283+F284+F285+F287+F288+F289+F290+F286+F277+F280</f>
        <v>12757419</v>
      </c>
      <c r="G275" s="82">
        <f>G276+G278+G279+G281+G282+G283+G284+G285+G287+G288+G289+G290+G286+G277+G280</f>
        <v>4346084</v>
      </c>
      <c r="H275" s="82">
        <f>H276+H278+H279+H281+H282+H283+H284+H285+H287+H288+H289+H290+H286+H277+H280</f>
        <v>17103503</v>
      </c>
      <c r="I275" s="124"/>
      <c r="L275" s="166"/>
    </row>
    <row r="276" spans="1:12" s="111" customFormat="1" ht="49.5" customHeight="1">
      <c r="A276" s="192"/>
      <c r="B276" s="192" t="s">
        <v>402</v>
      </c>
      <c r="C276" s="192" t="s">
        <v>83</v>
      </c>
      <c r="D276" s="195" t="s">
        <v>403</v>
      </c>
      <c r="E276" s="194" t="s">
        <v>213</v>
      </c>
      <c r="F276" s="78"/>
      <c r="G276" s="75">
        <f>295147+301860</f>
        <v>597007</v>
      </c>
      <c r="H276" s="75">
        <f>F276+G276</f>
        <v>597007</v>
      </c>
      <c r="I276" s="124"/>
      <c r="L276" s="166"/>
    </row>
    <row r="277" spans="1:12" s="111" customFormat="1" ht="49.5" customHeight="1">
      <c r="A277" s="192"/>
      <c r="B277" s="187" t="s">
        <v>456</v>
      </c>
      <c r="C277" s="198" t="s">
        <v>112</v>
      </c>
      <c r="D277" s="192" t="s">
        <v>457</v>
      </c>
      <c r="E277" s="194" t="s">
        <v>195</v>
      </c>
      <c r="F277" s="78">
        <v>4002438</v>
      </c>
      <c r="G277" s="75"/>
      <c r="H277" s="75">
        <f aca="true" t="shared" si="12" ref="H277:H290">F277+G277</f>
        <v>4002438</v>
      </c>
      <c r="I277" s="124"/>
      <c r="L277" s="166"/>
    </row>
    <row r="278" spans="1:13" s="111" customFormat="1" ht="52.5" customHeight="1">
      <c r="A278" s="192"/>
      <c r="B278" s="187" t="s">
        <v>319</v>
      </c>
      <c r="C278" s="192" t="s">
        <v>113</v>
      </c>
      <c r="D278" s="195" t="s">
        <v>320</v>
      </c>
      <c r="E278" s="194" t="s">
        <v>195</v>
      </c>
      <c r="F278" s="78">
        <f>1073797-125315+8039+4356090+3112360</f>
        <v>8424971</v>
      </c>
      <c r="G278" s="78">
        <v>197127</v>
      </c>
      <c r="H278" s="75">
        <f t="shared" si="12"/>
        <v>8622098</v>
      </c>
      <c r="I278" s="124"/>
      <c r="L278" s="125"/>
      <c r="M278" s="126"/>
    </row>
    <row r="279" spans="1:12" s="111" customFormat="1" ht="47.25">
      <c r="A279" s="191"/>
      <c r="B279" s="191" t="s">
        <v>309</v>
      </c>
      <c r="C279" s="191" t="s">
        <v>85</v>
      </c>
      <c r="D279" s="181" t="s">
        <v>310</v>
      </c>
      <c r="E279" s="194" t="s">
        <v>195</v>
      </c>
      <c r="F279" s="78"/>
      <c r="G279" s="78">
        <v>3551950</v>
      </c>
      <c r="H279" s="75">
        <f t="shared" si="12"/>
        <v>3551950</v>
      </c>
      <c r="I279" s="124"/>
      <c r="L279" s="166"/>
    </row>
    <row r="280" spans="1:12" s="111" customFormat="1" ht="47.25" hidden="1">
      <c r="A280" s="191"/>
      <c r="B280" s="191" t="s">
        <v>321</v>
      </c>
      <c r="C280" s="191" t="s">
        <v>114</v>
      </c>
      <c r="D280" s="194" t="s">
        <v>322</v>
      </c>
      <c r="E280" s="194" t="s">
        <v>128</v>
      </c>
      <c r="F280" s="78"/>
      <c r="G280" s="78">
        <f>19919105-19919105</f>
        <v>0</v>
      </c>
      <c r="H280" s="75">
        <f t="shared" si="12"/>
        <v>0</v>
      </c>
      <c r="I280" s="124"/>
      <c r="L280" s="166"/>
    </row>
    <row r="281" spans="1:12" s="111" customFormat="1" ht="63" customHeight="1" hidden="1">
      <c r="A281" s="191"/>
      <c r="B281" s="191" t="s">
        <v>313</v>
      </c>
      <c r="C281" s="191"/>
      <c r="D281" s="181" t="s">
        <v>314</v>
      </c>
      <c r="E281" s="181" t="s">
        <v>237</v>
      </c>
      <c r="F281" s="78"/>
      <c r="G281" s="75"/>
      <c r="H281" s="75">
        <f t="shared" si="12"/>
        <v>0</v>
      </c>
      <c r="I281" s="124"/>
      <c r="L281" s="166"/>
    </row>
    <row r="282" spans="1:12" s="111" customFormat="1" ht="99.75" customHeight="1" hidden="1">
      <c r="A282" s="191"/>
      <c r="B282" s="191" t="s">
        <v>296</v>
      </c>
      <c r="C282" s="192"/>
      <c r="D282" s="181" t="s">
        <v>461</v>
      </c>
      <c r="E282" s="181" t="s">
        <v>443</v>
      </c>
      <c r="F282" s="78"/>
      <c r="G282" s="75"/>
      <c r="H282" s="75">
        <f t="shared" si="12"/>
        <v>0</v>
      </c>
      <c r="I282" s="114"/>
      <c r="L282" s="166"/>
    </row>
    <row r="283" spans="1:13" s="111" customFormat="1" ht="54" customHeight="1">
      <c r="A283" s="264"/>
      <c r="B283" s="278" t="s">
        <v>302</v>
      </c>
      <c r="C283" s="265" t="s">
        <v>86</v>
      </c>
      <c r="D283" s="269" t="s">
        <v>317</v>
      </c>
      <c r="E283" s="181" t="s">
        <v>170</v>
      </c>
      <c r="F283" s="78">
        <v>165360</v>
      </c>
      <c r="G283" s="87"/>
      <c r="H283" s="75">
        <f t="shared" si="12"/>
        <v>165360</v>
      </c>
      <c r="I283" s="114"/>
      <c r="L283" s="125"/>
      <c r="M283" s="126"/>
    </row>
    <row r="284" spans="1:12" s="111" customFormat="1" ht="54" customHeight="1" hidden="1">
      <c r="A284" s="264"/>
      <c r="B284" s="278"/>
      <c r="C284" s="273"/>
      <c r="D284" s="269"/>
      <c r="E284" s="181" t="s">
        <v>554</v>
      </c>
      <c r="F284" s="78"/>
      <c r="G284" s="87"/>
      <c r="H284" s="75">
        <f t="shared" si="12"/>
        <v>0</v>
      </c>
      <c r="I284" s="114"/>
      <c r="L284" s="166"/>
    </row>
    <row r="285" spans="1:12" s="111" customFormat="1" ht="53.25" customHeight="1">
      <c r="A285" s="264"/>
      <c r="B285" s="278"/>
      <c r="C285" s="273"/>
      <c r="D285" s="269"/>
      <c r="E285" s="181" t="s">
        <v>220</v>
      </c>
      <c r="F285" s="78">
        <v>51313</v>
      </c>
      <c r="G285" s="87"/>
      <c r="H285" s="75">
        <f t="shared" si="12"/>
        <v>51313</v>
      </c>
      <c r="I285" s="114"/>
      <c r="L285" s="166"/>
    </row>
    <row r="286" spans="1:12" s="111" customFormat="1" ht="67.5" customHeight="1" hidden="1">
      <c r="A286" s="264"/>
      <c r="B286" s="278"/>
      <c r="C286" s="273"/>
      <c r="D286" s="269"/>
      <c r="E286" s="181" t="s">
        <v>126</v>
      </c>
      <c r="F286" s="78"/>
      <c r="G286" s="87"/>
      <c r="H286" s="75">
        <f t="shared" si="12"/>
        <v>0</v>
      </c>
      <c r="I286" s="114"/>
      <c r="L286" s="166"/>
    </row>
    <row r="287" spans="1:12" s="111" customFormat="1" ht="63">
      <c r="A287" s="264"/>
      <c r="B287" s="278"/>
      <c r="C287" s="273"/>
      <c r="D287" s="269"/>
      <c r="E287" s="181" t="s">
        <v>179</v>
      </c>
      <c r="F287" s="78">
        <f>14850+15928</f>
        <v>30778</v>
      </c>
      <c r="G287" s="87"/>
      <c r="H287" s="75">
        <f t="shared" si="12"/>
        <v>30778</v>
      </c>
      <c r="I287" s="114"/>
      <c r="L287" s="166"/>
    </row>
    <row r="288" spans="1:12" s="111" customFormat="1" ht="47.25" customHeight="1">
      <c r="A288" s="264"/>
      <c r="B288" s="278"/>
      <c r="C288" s="189"/>
      <c r="D288" s="269"/>
      <c r="E288" s="181" t="s">
        <v>214</v>
      </c>
      <c r="F288" s="78">
        <f>96300-13741</f>
        <v>82559</v>
      </c>
      <c r="G288" s="87"/>
      <c r="H288" s="75">
        <f t="shared" si="12"/>
        <v>82559</v>
      </c>
      <c r="I288" s="114"/>
      <c r="L288" s="166"/>
    </row>
    <row r="289" spans="1:12" s="111" customFormat="1" ht="47.25" customHeight="1" hidden="1">
      <c r="A289" s="264"/>
      <c r="B289" s="278"/>
      <c r="C289" s="189"/>
      <c r="D289" s="269"/>
      <c r="E289" s="181" t="s">
        <v>345</v>
      </c>
      <c r="F289" s="78"/>
      <c r="G289" s="87"/>
      <c r="H289" s="75">
        <f t="shared" si="12"/>
        <v>0</v>
      </c>
      <c r="I289" s="114"/>
      <c r="L289" s="166"/>
    </row>
    <row r="290" spans="1:12" s="111" customFormat="1" ht="63" customHeight="1" hidden="1">
      <c r="A290" s="264"/>
      <c r="B290" s="278"/>
      <c r="C290" s="190"/>
      <c r="D290" s="269"/>
      <c r="E290" s="181" t="s">
        <v>360</v>
      </c>
      <c r="F290" s="78"/>
      <c r="G290" s="87"/>
      <c r="H290" s="75">
        <f t="shared" si="12"/>
        <v>0</v>
      </c>
      <c r="I290" s="114"/>
      <c r="L290" s="166"/>
    </row>
    <row r="291" spans="1:12" s="111" customFormat="1" ht="31.5">
      <c r="A291" s="98"/>
      <c r="B291" s="98" t="s">
        <v>374</v>
      </c>
      <c r="C291" s="98"/>
      <c r="D291" s="99" t="s">
        <v>188</v>
      </c>
      <c r="E291" s="181"/>
      <c r="F291" s="82">
        <f>F292+F294+F296+F297+F298+F299+F300+F301+F302+F304+F305+F295+F303+F293</f>
        <v>7293777</v>
      </c>
      <c r="G291" s="82">
        <f>G292+G294+G296+G297+G298+G299+G300+G301+G302+G304+G305+G295+G303+G293</f>
        <v>4027698</v>
      </c>
      <c r="H291" s="82">
        <f>H292+H294+H296+H297+H298+H299+H300+H301+H302+H304+H305+H295+H303+H293</f>
        <v>11321475</v>
      </c>
      <c r="I291" s="124"/>
      <c r="L291" s="166"/>
    </row>
    <row r="292" spans="1:12" s="111" customFormat="1" ht="47.25" customHeight="1" hidden="1">
      <c r="A292" s="191"/>
      <c r="B292" s="192" t="s">
        <v>402</v>
      </c>
      <c r="C292" s="192" t="s">
        <v>83</v>
      </c>
      <c r="D292" s="195" t="s">
        <v>403</v>
      </c>
      <c r="E292" s="194" t="s">
        <v>137</v>
      </c>
      <c r="F292" s="78"/>
      <c r="G292" s="75"/>
      <c r="H292" s="75">
        <f>F292+G292</f>
        <v>0</v>
      </c>
      <c r="I292" s="124"/>
      <c r="L292" s="166"/>
    </row>
    <row r="293" spans="1:12" s="111" customFormat="1" ht="47.25" customHeight="1">
      <c r="A293" s="192"/>
      <c r="B293" s="187" t="s">
        <v>456</v>
      </c>
      <c r="C293" s="198" t="s">
        <v>112</v>
      </c>
      <c r="D293" s="192" t="s">
        <v>457</v>
      </c>
      <c r="E293" s="194" t="s">
        <v>195</v>
      </c>
      <c r="F293" s="78">
        <f>2358884</f>
        <v>2358884</v>
      </c>
      <c r="G293" s="75"/>
      <c r="H293" s="75">
        <f aca="true" t="shared" si="13" ref="H293:H305">F293+G293</f>
        <v>2358884</v>
      </c>
      <c r="I293" s="124"/>
      <c r="L293" s="166"/>
    </row>
    <row r="294" spans="1:13" s="111" customFormat="1" ht="47.25">
      <c r="A294" s="265"/>
      <c r="B294" s="265" t="s">
        <v>319</v>
      </c>
      <c r="C294" s="265" t="s">
        <v>113</v>
      </c>
      <c r="D294" s="270" t="s">
        <v>320</v>
      </c>
      <c r="E294" s="194" t="s">
        <v>195</v>
      </c>
      <c r="F294" s="78">
        <f>1180491-38231+85000+103204+2579655+601616-1747130+1747130+156660</f>
        <v>4668395</v>
      </c>
      <c r="G294" s="78">
        <v>116139</v>
      </c>
      <c r="H294" s="75">
        <f t="shared" si="13"/>
        <v>4784534</v>
      </c>
      <c r="I294" s="124"/>
      <c r="L294" s="125"/>
      <c r="M294" s="126"/>
    </row>
    <row r="295" spans="1:13" s="111" customFormat="1" ht="42.75" customHeight="1" hidden="1">
      <c r="A295" s="274"/>
      <c r="B295" s="274"/>
      <c r="C295" s="266"/>
      <c r="D295" s="274"/>
      <c r="E295" s="112" t="s">
        <v>80</v>
      </c>
      <c r="F295" s="94"/>
      <c r="G295" s="92"/>
      <c r="H295" s="92">
        <f t="shared" si="13"/>
        <v>0</v>
      </c>
      <c r="I295" s="124"/>
      <c r="L295" s="125"/>
      <c r="M295" s="126"/>
    </row>
    <row r="296" spans="1:12" s="111" customFormat="1" ht="49.5" customHeight="1">
      <c r="A296" s="191"/>
      <c r="B296" s="191" t="s">
        <v>309</v>
      </c>
      <c r="C296" s="191" t="s">
        <v>85</v>
      </c>
      <c r="D296" s="181" t="s">
        <v>310</v>
      </c>
      <c r="E296" s="194" t="s">
        <v>195</v>
      </c>
      <c r="F296" s="78"/>
      <c r="G296" s="75">
        <f>3264198-3264198+3361599+549960</f>
        <v>3911559</v>
      </c>
      <c r="H296" s="75">
        <f t="shared" si="13"/>
        <v>3911559</v>
      </c>
      <c r="I296" s="124"/>
      <c r="L296" s="166"/>
    </row>
    <row r="297" spans="1:12" s="111" customFormat="1" ht="53.25" customHeight="1" hidden="1">
      <c r="A297" s="191"/>
      <c r="B297" s="191" t="s">
        <v>444</v>
      </c>
      <c r="C297" s="191"/>
      <c r="D297" s="181" t="s">
        <v>445</v>
      </c>
      <c r="E297" s="181" t="s">
        <v>505</v>
      </c>
      <c r="F297" s="80"/>
      <c r="G297" s="75"/>
      <c r="H297" s="75">
        <f t="shared" si="13"/>
        <v>0</v>
      </c>
      <c r="I297" s="114"/>
      <c r="L297" s="166"/>
    </row>
    <row r="298" spans="1:12" s="111" customFormat="1" ht="73.5" customHeight="1" hidden="1">
      <c r="A298" s="191"/>
      <c r="B298" s="191" t="s">
        <v>313</v>
      </c>
      <c r="C298" s="192"/>
      <c r="D298" s="181" t="s">
        <v>314</v>
      </c>
      <c r="E298" s="181" t="s">
        <v>237</v>
      </c>
      <c r="F298" s="80"/>
      <c r="G298" s="75"/>
      <c r="H298" s="75">
        <f t="shared" si="13"/>
        <v>0</v>
      </c>
      <c r="I298" s="114"/>
      <c r="L298" s="166"/>
    </row>
    <row r="299" spans="1:13" s="111" customFormat="1" ht="47.25">
      <c r="A299" s="264"/>
      <c r="B299" s="278" t="s">
        <v>302</v>
      </c>
      <c r="C299" s="265" t="s">
        <v>86</v>
      </c>
      <c r="D299" s="269" t="s">
        <v>317</v>
      </c>
      <c r="E299" s="181" t="s">
        <v>170</v>
      </c>
      <c r="F299" s="78">
        <v>171129</v>
      </c>
      <c r="G299" s="87"/>
      <c r="H299" s="75">
        <f t="shared" si="13"/>
        <v>171129</v>
      </c>
      <c r="I299" s="114"/>
      <c r="L299" s="125"/>
      <c r="M299" s="126"/>
    </row>
    <row r="300" spans="1:12" s="111" customFormat="1" ht="52.5" customHeight="1" hidden="1">
      <c r="A300" s="264"/>
      <c r="B300" s="278"/>
      <c r="C300" s="273"/>
      <c r="D300" s="269"/>
      <c r="E300" s="181" t="s">
        <v>554</v>
      </c>
      <c r="F300" s="78"/>
      <c r="G300" s="87"/>
      <c r="H300" s="75">
        <f t="shared" si="13"/>
        <v>0</v>
      </c>
      <c r="I300" s="114"/>
      <c r="L300" s="166"/>
    </row>
    <row r="301" spans="1:12" s="111" customFormat="1" ht="54" customHeight="1">
      <c r="A301" s="264"/>
      <c r="B301" s="278"/>
      <c r="C301" s="273"/>
      <c r="D301" s="269"/>
      <c r="E301" s="181" t="s">
        <v>220</v>
      </c>
      <c r="F301" s="78">
        <v>20991</v>
      </c>
      <c r="G301" s="87"/>
      <c r="H301" s="75">
        <f t="shared" si="13"/>
        <v>20991</v>
      </c>
      <c r="I301" s="114"/>
      <c r="L301" s="166"/>
    </row>
    <row r="302" spans="1:12" s="111" customFormat="1" ht="68.25" customHeight="1">
      <c r="A302" s="264"/>
      <c r="B302" s="278"/>
      <c r="C302" s="273"/>
      <c r="D302" s="269"/>
      <c r="E302" s="181" t="s">
        <v>179</v>
      </c>
      <c r="F302" s="78">
        <f>14850+19829</f>
        <v>34679</v>
      </c>
      <c r="G302" s="87"/>
      <c r="H302" s="75">
        <f>F302+G302</f>
        <v>34679</v>
      </c>
      <c r="I302" s="114"/>
      <c r="L302" s="166"/>
    </row>
    <row r="303" spans="1:12" s="111" customFormat="1" ht="66.75" customHeight="1" hidden="1">
      <c r="A303" s="264"/>
      <c r="B303" s="278"/>
      <c r="C303" s="273"/>
      <c r="D303" s="269"/>
      <c r="E303" s="181" t="s">
        <v>126</v>
      </c>
      <c r="F303" s="78"/>
      <c r="G303" s="87"/>
      <c r="H303" s="75">
        <f>F303+G303</f>
        <v>0</v>
      </c>
      <c r="I303" s="114"/>
      <c r="L303" s="166"/>
    </row>
    <row r="304" spans="1:12" s="111" customFormat="1" ht="69" customHeight="1">
      <c r="A304" s="264"/>
      <c r="B304" s="278"/>
      <c r="C304" s="273"/>
      <c r="D304" s="269"/>
      <c r="E304" s="181" t="s">
        <v>214</v>
      </c>
      <c r="F304" s="78">
        <f>26099+13600</f>
        <v>39699</v>
      </c>
      <c r="G304" s="87"/>
      <c r="H304" s="75">
        <f t="shared" si="13"/>
        <v>39699</v>
      </c>
      <c r="I304" s="114"/>
      <c r="L304" s="166"/>
    </row>
    <row r="305" spans="1:12" s="111" customFormat="1" ht="47.25" customHeight="1" hidden="1">
      <c r="A305" s="264"/>
      <c r="B305" s="278"/>
      <c r="C305" s="273"/>
      <c r="D305" s="269"/>
      <c r="E305" s="181" t="s">
        <v>345</v>
      </c>
      <c r="F305" s="78"/>
      <c r="G305" s="87"/>
      <c r="H305" s="75">
        <f t="shared" si="13"/>
        <v>0</v>
      </c>
      <c r="I305" s="114"/>
      <c r="L305" s="166"/>
    </row>
    <row r="306" spans="1:12" s="114" customFormat="1" ht="31.5">
      <c r="A306" s="98"/>
      <c r="B306" s="98" t="s">
        <v>375</v>
      </c>
      <c r="C306" s="98"/>
      <c r="D306" s="99" t="s">
        <v>271</v>
      </c>
      <c r="E306" s="99"/>
      <c r="F306" s="82">
        <f>F307+F308+F310+F313+F314+F315+F316+F317+F318+F319+F320+F311+F321+F309+F312</f>
        <v>14048315</v>
      </c>
      <c r="G306" s="82">
        <f>G307+G308+G310+G313+G314+G315+G316+G317+G318+G319+G320+G311+G321+G309+G312</f>
        <v>8724722</v>
      </c>
      <c r="H306" s="82">
        <f>H307+H308+H310+H313+H314+H315+H316+H317+H318+H319+H320+H311+H321+H309+H312</f>
        <v>22773037</v>
      </c>
      <c r="I306" s="124"/>
      <c r="L306" s="134"/>
    </row>
    <row r="307" spans="1:12" s="152" customFormat="1" ht="54.75" customHeight="1">
      <c r="A307" s="190"/>
      <c r="B307" s="192" t="s">
        <v>402</v>
      </c>
      <c r="C307" s="192" t="s">
        <v>83</v>
      </c>
      <c r="D307" s="195" t="s">
        <v>403</v>
      </c>
      <c r="E307" s="194" t="s">
        <v>213</v>
      </c>
      <c r="F307" s="78"/>
      <c r="G307" s="75">
        <v>277488</v>
      </c>
      <c r="H307" s="75">
        <f aca="true" t="shared" si="14" ref="H307:H321">F307+G307</f>
        <v>277488</v>
      </c>
      <c r="I307" s="153"/>
      <c r="J307" s="154"/>
      <c r="L307" s="161"/>
    </row>
    <row r="308" spans="1:12" s="114" customFormat="1" ht="54.75" customHeight="1" hidden="1">
      <c r="A308" s="192"/>
      <c r="B308" s="192" t="s">
        <v>311</v>
      </c>
      <c r="C308" s="192"/>
      <c r="D308" s="192" t="s">
        <v>318</v>
      </c>
      <c r="E308" s="194" t="s">
        <v>553</v>
      </c>
      <c r="F308" s="78"/>
      <c r="G308" s="75"/>
      <c r="H308" s="75">
        <f t="shared" si="14"/>
        <v>0</v>
      </c>
      <c r="I308" s="124"/>
      <c r="J308" s="111"/>
      <c r="L308" s="134"/>
    </row>
    <row r="309" spans="1:12" s="114" customFormat="1" ht="54.75" customHeight="1">
      <c r="A309" s="198"/>
      <c r="B309" s="191" t="s">
        <v>456</v>
      </c>
      <c r="C309" s="198" t="s">
        <v>112</v>
      </c>
      <c r="D309" s="192" t="s">
        <v>457</v>
      </c>
      <c r="E309" s="194" t="s">
        <v>195</v>
      </c>
      <c r="F309" s="78">
        <v>3917280</v>
      </c>
      <c r="G309" s="75"/>
      <c r="H309" s="75">
        <f t="shared" si="14"/>
        <v>3917280</v>
      </c>
      <c r="I309" s="124"/>
      <c r="J309" s="111"/>
      <c r="L309" s="134"/>
    </row>
    <row r="310" spans="1:13" s="111" customFormat="1" ht="54" customHeight="1">
      <c r="A310" s="193"/>
      <c r="B310" s="193" t="s">
        <v>319</v>
      </c>
      <c r="C310" s="191" t="s">
        <v>113</v>
      </c>
      <c r="D310" s="181" t="s">
        <v>320</v>
      </c>
      <c r="E310" s="194" t="s">
        <v>195</v>
      </c>
      <c r="F310" s="78">
        <f>923455+112352+4391581+4115219+89800+32100-80520</f>
        <v>9583987</v>
      </c>
      <c r="G310" s="78">
        <f>80520+667157</f>
        <v>747677</v>
      </c>
      <c r="H310" s="75">
        <f t="shared" si="14"/>
        <v>10331664</v>
      </c>
      <c r="I310" s="114"/>
      <c r="L310" s="125"/>
      <c r="M310" s="126"/>
    </row>
    <row r="311" spans="1:13" s="111" customFormat="1" ht="52.5" customHeight="1">
      <c r="A311" s="265"/>
      <c r="B311" s="265" t="s">
        <v>309</v>
      </c>
      <c r="C311" s="265" t="s">
        <v>85</v>
      </c>
      <c r="D311" s="270" t="s">
        <v>310</v>
      </c>
      <c r="E311" s="194" t="s">
        <v>195</v>
      </c>
      <c r="F311" s="78"/>
      <c r="G311" s="75">
        <f>4577657+217100+2812742</f>
        <v>7607499</v>
      </c>
      <c r="H311" s="75">
        <f t="shared" si="14"/>
        <v>7607499</v>
      </c>
      <c r="I311" s="114"/>
      <c r="L311" s="125"/>
      <c r="M311" s="126"/>
    </row>
    <row r="312" spans="1:13" s="111" customFormat="1" ht="52.5" customHeight="1">
      <c r="A312" s="266"/>
      <c r="B312" s="266"/>
      <c r="C312" s="266"/>
      <c r="D312" s="271"/>
      <c r="E312" s="100" t="s">
        <v>185</v>
      </c>
      <c r="F312" s="78"/>
      <c r="G312" s="75">
        <v>60000</v>
      </c>
      <c r="H312" s="75">
        <f t="shared" si="14"/>
        <v>60000</v>
      </c>
      <c r="I312" s="114"/>
      <c r="L312" s="125"/>
      <c r="M312" s="126"/>
    </row>
    <row r="313" spans="1:13" s="111" customFormat="1" ht="77.25" customHeight="1" hidden="1">
      <c r="A313" s="190"/>
      <c r="B313" s="190" t="s">
        <v>313</v>
      </c>
      <c r="C313" s="190"/>
      <c r="D313" s="180" t="s">
        <v>314</v>
      </c>
      <c r="E313" s="181" t="s">
        <v>237</v>
      </c>
      <c r="F313" s="78"/>
      <c r="G313" s="75"/>
      <c r="H313" s="75">
        <f t="shared" si="14"/>
        <v>0</v>
      </c>
      <c r="I313" s="114"/>
      <c r="L313" s="125"/>
      <c r="M313" s="126"/>
    </row>
    <row r="314" spans="1:12" s="111" customFormat="1" ht="63" customHeight="1">
      <c r="A314" s="191"/>
      <c r="B314" s="191" t="s">
        <v>296</v>
      </c>
      <c r="C314" s="191" t="s">
        <v>86</v>
      </c>
      <c r="D314" s="181" t="s">
        <v>461</v>
      </c>
      <c r="E314" s="181" t="s">
        <v>219</v>
      </c>
      <c r="F314" s="78"/>
      <c r="G314" s="75">
        <f>30000+2058</f>
        <v>32058</v>
      </c>
      <c r="H314" s="75">
        <f t="shared" si="14"/>
        <v>32058</v>
      </c>
      <c r="I314" s="124"/>
      <c r="L314" s="166"/>
    </row>
    <row r="315" spans="1:13" s="111" customFormat="1" ht="47.25">
      <c r="A315" s="264"/>
      <c r="B315" s="278" t="s">
        <v>302</v>
      </c>
      <c r="C315" s="265" t="s">
        <v>86</v>
      </c>
      <c r="D315" s="269" t="s">
        <v>317</v>
      </c>
      <c r="E315" s="181" t="s">
        <v>171</v>
      </c>
      <c r="F315" s="78">
        <v>375288</v>
      </c>
      <c r="G315" s="87"/>
      <c r="H315" s="75">
        <f t="shared" si="14"/>
        <v>375288</v>
      </c>
      <c r="I315" s="114"/>
      <c r="L315" s="125"/>
      <c r="M315" s="126"/>
    </row>
    <row r="316" spans="1:12" s="111" customFormat="1" ht="47.25">
      <c r="A316" s="264"/>
      <c r="B316" s="278"/>
      <c r="C316" s="273"/>
      <c r="D316" s="269"/>
      <c r="E316" s="181" t="s">
        <v>220</v>
      </c>
      <c r="F316" s="78">
        <v>62260</v>
      </c>
      <c r="G316" s="87"/>
      <c r="H316" s="75">
        <f t="shared" si="14"/>
        <v>62260</v>
      </c>
      <c r="I316" s="114"/>
      <c r="L316" s="166"/>
    </row>
    <row r="317" spans="1:12" s="111" customFormat="1" ht="63">
      <c r="A317" s="264"/>
      <c r="B317" s="278"/>
      <c r="C317" s="273"/>
      <c r="D317" s="269"/>
      <c r="E317" s="181" t="s">
        <v>179</v>
      </c>
      <c r="F317" s="78">
        <f>28236+27664</f>
        <v>55900</v>
      </c>
      <c r="G317" s="87"/>
      <c r="H317" s="75">
        <f t="shared" si="14"/>
        <v>55900</v>
      </c>
      <c r="I317" s="114"/>
      <c r="L317" s="166"/>
    </row>
    <row r="318" spans="1:12" s="111" customFormat="1" ht="47.25" customHeight="1">
      <c r="A318" s="264"/>
      <c r="B318" s="278"/>
      <c r="C318" s="273"/>
      <c r="D318" s="269"/>
      <c r="E318" s="181" t="s">
        <v>214</v>
      </c>
      <c r="F318" s="78">
        <f>23600+30000</f>
        <v>53600</v>
      </c>
      <c r="G318" s="87"/>
      <c r="H318" s="75">
        <f t="shared" si="14"/>
        <v>53600</v>
      </c>
      <c r="I318" s="114"/>
      <c r="L318" s="166"/>
    </row>
    <row r="319" spans="1:12" s="111" customFormat="1" ht="47.25" customHeight="1" hidden="1">
      <c r="A319" s="264"/>
      <c r="B319" s="278"/>
      <c r="C319" s="273"/>
      <c r="D319" s="269"/>
      <c r="E319" s="181" t="s">
        <v>554</v>
      </c>
      <c r="F319" s="78"/>
      <c r="G319" s="87"/>
      <c r="H319" s="75">
        <f t="shared" si="14"/>
        <v>0</v>
      </c>
      <c r="I319" s="114"/>
      <c r="L319" s="166"/>
    </row>
    <row r="320" spans="1:12" s="111" customFormat="1" ht="47.25" customHeight="1" hidden="1">
      <c r="A320" s="264"/>
      <c r="B320" s="278"/>
      <c r="C320" s="273"/>
      <c r="D320" s="269"/>
      <c r="E320" s="181" t="s">
        <v>345</v>
      </c>
      <c r="F320" s="78"/>
      <c r="G320" s="87"/>
      <c r="H320" s="75">
        <f t="shared" si="14"/>
        <v>0</v>
      </c>
      <c r="I320" s="114"/>
      <c r="L320" s="166"/>
    </row>
    <row r="321" spans="1:12" s="111" customFormat="1" ht="65.25" customHeight="1" hidden="1">
      <c r="A321" s="264"/>
      <c r="B321" s="278"/>
      <c r="C321" s="273"/>
      <c r="D321" s="269"/>
      <c r="E321" s="181" t="s">
        <v>126</v>
      </c>
      <c r="F321" s="78"/>
      <c r="G321" s="87"/>
      <c r="H321" s="75">
        <f t="shared" si="14"/>
        <v>0</v>
      </c>
      <c r="I321" s="114"/>
      <c r="L321" s="166"/>
    </row>
    <row r="322" spans="1:12" s="114" customFormat="1" ht="31.5">
      <c r="A322" s="98"/>
      <c r="B322" s="98" t="s">
        <v>376</v>
      </c>
      <c r="C322" s="98"/>
      <c r="D322" s="99" t="s">
        <v>272</v>
      </c>
      <c r="E322" s="99"/>
      <c r="F322" s="82">
        <f>F323+F324+F326+F329+F330+F331+F332+F334+F335+F336+F337+F338+F339+F333+F325+F328+F327</f>
        <v>6837871</v>
      </c>
      <c r="G322" s="82">
        <f>G323+G324+G326+G329+G330+G331+G332+G334+G335+G336+G337+G338+G339+G333+G325+G328+G327</f>
        <v>4099256</v>
      </c>
      <c r="H322" s="82">
        <f>H323+H324+H326+H329+H330+H331+H332+H334+H335+H336+H337+H338+H339+H333+H325+H328+H327</f>
        <v>10937127</v>
      </c>
      <c r="I322" s="124"/>
      <c r="L322" s="134"/>
    </row>
    <row r="323" spans="1:12" s="152" customFormat="1" ht="49.5" customHeight="1">
      <c r="A323" s="157"/>
      <c r="B323" s="191" t="s">
        <v>402</v>
      </c>
      <c r="C323" s="192" t="s">
        <v>83</v>
      </c>
      <c r="D323" s="181" t="s">
        <v>403</v>
      </c>
      <c r="E323" s="194" t="s">
        <v>213</v>
      </c>
      <c r="F323" s="78"/>
      <c r="G323" s="75">
        <v>588366</v>
      </c>
      <c r="H323" s="75">
        <f>F323+G323</f>
        <v>588366</v>
      </c>
      <c r="I323" s="153"/>
      <c r="K323" s="153"/>
      <c r="L323" s="161"/>
    </row>
    <row r="324" spans="1:12" s="114" customFormat="1" ht="49.5" customHeight="1" hidden="1">
      <c r="A324" s="192"/>
      <c r="B324" s="192" t="s">
        <v>309</v>
      </c>
      <c r="C324" s="192"/>
      <c r="D324" s="195" t="s">
        <v>310</v>
      </c>
      <c r="E324" s="181" t="s">
        <v>554</v>
      </c>
      <c r="F324" s="78"/>
      <c r="G324" s="75"/>
      <c r="H324" s="75">
        <f aca="true" t="shared" si="15" ref="H324:H339">F324+G324</f>
        <v>0</v>
      </c>
      <c r="I324" s="124"/>
      <c r="L324" s="134"/>
    </row>
    <row r="325" spans="1:12" s="114" customFormat="1" ht="49.5" customHeight="1">
      <c r="A325" s="192"/>
      <c r="B325" s="187" t="s">
        <v>456</v>
      </c>
      <c r="C325" s="198" t="s">
        <v>112</v>
      </c>
      <c r="D325" s="192" t="s">
        <v>457</v>
      </c>
      <c r="E325" s="194" t="s">
        <v>195</v>
      </c>
      <c r="F325" s="78">
        <v>1754260</v>
      </c>
      <c r="G325" s="75"/>
      <c r="H325" s="75">
        <f t="shared" si="15"/>
        <v>1754260</v>
      </c>
      <c r="I325" s="124"/>
      <c r="L325" s="134"/>
    </row>
    <row r="326" spans="1:13" s="111" customFormat="1" ht="48.75" customHeight="1">
      <c r="A326" s="265"/>
      <c r="B326" s="265" t="s">
        <v>319</v>
      </c>
      <c r="C326" s="265" t="s">
        <v>113</v>
      </c>
      <c r="D326" s="270" t="s">
        <v>320</v>
      </c>
      <c r="E326" s="194" t="s">
        <v>195</v>
      </c>
      <c r="F326" s="78">
        <f>1050231-57293+51707+2211810+1591741</f>
        <v>4848196</v>
      </c>
      <c r="G326" s="78">
        <v>663780</v>
      </c>
      <c r="H326" s="75">
        <f t="shared" si="15"/>
        <v>5511976</v>
      </c>
      <c r="I326" s="114"/>
      <c r="L326" s="125"/>
      <c r="M326" s="126"/>
    </row>
    <row r="327" spans="1:13" s="111" customFormat="1" ht="48.75" customHeight="1">
      <c r="A327" s="266"/>
      <c r="B327" s="266"/>
      <c r="C327" s="266"/>
      <c r="D327" s="271"/>
      <c r="E327" s="100" t="s">
        <v>185</v>
      </c>
      <c r="F327" s="78"/>
      <c r="G327" s="78">
        <v>10000</v>
      </c>
      <c r="H327" s="75">
        <f t="shared" si="15"/>
        <v>10000</v>
      </c>
      <c r="I327" s="114"/>
      <c r="L327" s="125"/>
      <c r="M327" s="126"/>
    </row>
    <row r="328" spans="1:13" s="111" customFormat="1" ht="48.75" customHeight="1">
      <c r="A328" s="191"/>
      <c r="B328" s="191" t="s">
        <v>309</v>
      </c>
      <c r="C328" s="191" t="s">
        <v>85</v>
      </c>
      <c r="D328" s="181" t="s">
        <v>310</v>
      </c>
      <c r="E328" s="194" t="s">
        <v>195</v>
      </c>
      <c r="F328" s="78"/>
      <c r="G328" s="78">
        <f>2825494-2825494+2823834</f>
        <v>2823834</v>
      </c>
      <c r="H328" s="75">
        <f t="shared" si="15"/>
        <v>2823834</v>
      </c>
      <c r="I328" s="114"/>
      <c r="L328" s="125"/>
      <c r="M328" s="126"/>
    </row>
    <row r="329" spans="1:13" s="111" customFormat="1" ht="73.5" customHeight="1" hidden="1">
      <c r="A329" s="191"/>
      <c r="B329" s="191" t="s">
        <v>313</v>
      </c>
      <c r="C329" s="191"/>
      <c r="D329" s="196" t="s">
        <v>314</v>
      </c>
      <c r="E329" s="181" t="s">
        <v>237</v>
      </c>
      <c r="F329" s="78"/>
      <c r="G329" s="75"/>
      <c r="H329" s="75">
        <f t="shared" si="15"/>
        <v>0</v>
      </c>
      <c r="I329" s="114"/>
      <c r="L329" s="125"/>
      <c r="M329" s="126"/>
    </row>
    <row r="330" spans="1:12" s="111" customFormat="1" ht="50.25" customHeight="1">
      <c r="A330" s="192"/>
      <c r="B330" s="187" t="s">
        <v>296</v>
      </c>
      <c r="C330" s="192" t="s">
        <v>86</v>
      </c>
      <c r="D330" s="195" t="s">
        <v>461</v>
      </c>
      <c r="E330" s="181" t="s">
        <v>219</v>
      </c>
      <c r="F330" s="78"/>
      <c r="G330" s="75">
        <f>10000+3276</f>
        <v>13276</v>
      </c>
      <c r="H330" s="75">
        <f t="shared" si="15"/>
        <v>13276</v>
      </c>
      <c r="I330" s="124"/>
      <c r="L330" s="166"/>
    </row>
    <row r="331" spans="1:13" s="111" customFormat="1" ht="50.25" customHeight="1">
      <c r="A331" s="264"/>
      <c r="B331" s="278" t="s">
        <v>302</v>
      </c>
      <c r="C331" s="265" t="s">
        <v>86</v>
      </c>
      <c r="D331" s="269" t="s">
        <v>317</v>
      </c>
      <c r="E331" s="181" t="s">
        <v>171</v>
      </c>
      <c r="F331" s="78">
        <v>110240</v>
      </c>
      <c r="G331" s="87"/>
      <c r="H331" s="75">
        <f t="shared" si="15"/>
        <v>110240</v>
      </c>
      <c r="I331" s="114"/>
      <c r="L331" s="125"/>
      <c r="M331" s="126"/>
    </row>
    <row r="332" spans="1:12" s="111" customFormat="1" ht="50.25" customHeight="1">
      <c r="A332" s="264"/>
      <c r="B332" s="278"/>
      <c r="C332" s="273"/>
      <c r="D332" s="269"/>
      <c r="E332" s="181" t="s">
        <v>220</v>
      </c>
      <c r="F332" s="78">
        <v>37305</v>
      </c>
      <c r="G332" s="87"/>
      <c r="H332" s="75">
        <f t="shared" si="15"/>
        <v>37305</v>
      </c>
      <c r="I332" s="114"/>
      <c r="L332" s="166"/>
    </row>
    <row r="333" spans="1:12" s="111" customFormat="1" ht="66.75" customHeight="1" hidden="1">
      <c r="A333" s="264"/>
      <c r="B333" s="278"/>
      <c r="C333" s="273"/>
      <c r="D333" s="269"/>
      <c r="E333" s="181" t="s">
        <v>126</v>
      </c>
      <c r="F333" s="78"/>
      <c r="G333" s="87"/>
      <c r="H333" s="75">
        <f t="shared" si="15"/>
        <v>0</v>
      </c>
      <c r="I333" s="114"/>
      <c r="L333" s="166"/>
    </row>
    <row r="334" spans="1:12" s="111" customFormat="1" ht="66" customHeight="1">
      <c r="A334" s="264"/>
      <c r="B334" s="278"/>
      <c r="C334" s="273"/>
      <c r="D334" s="269"/>
      <c r="E334" s="181" t="s">
        <v>179</v>
      </c>
      <c r="F334" s="78">
        <f>17280+35087</f>
        <v>52367</v>
      </c>
      <c r="G334" s="87"/>
      <c r="H334" s="75">
        <f t="shared" si="15"/>
        <v>52367</v>
      </c>
      <c r="I334" s="114"/>
      <c r="L334" s="166"/>
    </row>
    <row r="335" spans="1:12" s="111" customFormat="1" ht="69.75" customHeight="1">
      <c r="A335" s="264"/>
      <c r="B335" s="278"/>
      <c r="C335" s="273"/>
      <c r="D335" s="269"/>
      <c r="E335" s="181" t="s">
        <v>214</v>
      </c>
      <c r="F335" s="78">
        <f>25503+10000</f>
        <v>35503</v>
      </c>
      <c r="G335" s="87"/>
      <c r="H335" s="75">
        <f t="shared" si="15"/>
        <v>35503</v>
      </c>
      <c r="I335" s="114"/>
      <c r="L335" s="166"/>
    </row>
    <row r="336" spans="1:12" s="111" customFormat="1" ht="69.75" customHeight="1" hidden="1">
      <c r="A336" s="264"/>
      <c r="B336" s="278"/>
      <c r="C336" s="189"/>
      <c r="D336" s="269"/>
      <c r="E336" s="181" t="s">
        <v>345</v>
      </c>
      <c r="F336" s="78"/>
      <c r="G336" s="87"/>
      <c r="H336" s="75">
        <f t="shared" si="15"/>
        <v>0</v>
      </c>
      <c r="I336" s="114"/>
      <c r="L336" s="166"/>
    </row>
    <row r="337" spans="1:12" s="111" customFormat="1" ht="53.25" customHeight="1" hidden="1">
      <c r="A337" s="264"/>
      <c r="B337" s="278"/>
      <c r="C337" s="189"/>
      <c r="D337" s="269"/>
      <c r="E337" s="181" t="s">
        <v>554</v>
      </c>
      <c r="F337" s="78"/>
      <c r="G337" s="87"/>
      <c r="H337" s="75">
        <f t="shared" si="15"/>
        <v>0</v>
      </c>
      <c r="I337" s="114"/>
      <c r="L337" s="166"/>
    </row>
    <row r="338" spans="1:12" s="111" customFormat="1" ht="69" customHeight="1" hidden="1">
      <c r="A338" s="264"/>
      <c r="B338" s="278"/>
      <c r="C338" s="190"/>
      <c r="D338" s="269"/>
      <c r="E338" s="181" t="s">
        <v>360</v>
      </c>
      <c r="F338" s="78"/>
      <c r="G338" s="87"/>
      <c r="H338" s="75">
        <f t="shared" si="15"/>
        <v>0</v>
      </c>
      <c r="I338" s="114"/>
      <c r="L338" s="166"/>
    </row>
    <row r="339" spans="1:12" s="111" customFormat="1" ht="60.75" customHeight="1" hidden="1">
      <c r="A339" s="191"/>
      <c r="B339" s="193" t="s">
        <v>309</v>
      </c>
      <c r="C339" s="191" t="s">
        <v>85</v>
      </c>
      <c r="D339" s="194" t="s">
        <v>310</v>
      </c>
      <c r="E339" s="181" t="s">
        <v>128</v>
      </c>
      <c r="F339" s="78"/>
      <c r="G339" s="87"/>
      <c r="H339" s="75">
        <f t="shared" si="15"/>
        <v>0</v>
      </c>
      <c r="I339" s="114"/>
      <c r="L339" s="166"/>
    </row>
    <row r="340" spans="1:12" s="111" customFormat="1" ht="46.5" customHeight="1">
      <c r="A340" s="98"/>
      <c r="B340" s="98" t="s">
        <v>377</v>
      </c>
      <c r="C340" s="98"/>
      <c r="D340" s="99" t="s">
        <v>273</v>
      </c>
      <c r="E340" s="181"/>
      <c r="F340" s="82">
        <f>F341+F342+F344+F346+F347+F348+F349+F351+F352+F354+F353+F355+F343+F350+F345</f>
        <v>15482928</v>
      </c>
      <c r="G340" s="82">
        <f>G341+G342+G344+G346+G347+G348+G349+G351+G352+G354+G353+G355+G343+G350+G345</f>
        <v>11766858</v>
      </c>
      <c r="H340" s="82">
        <f>H341+H342+H344+H346+H347+H348+H349+H351+H352+H354+H353+H355+H343+H350+H345</f>
        <v>27249786</v>
      </c>
      <c r="I340" s="124"/>
      <c r="L340" s="166"/>
    </row>
    <row r="341" spans="1:12" s="111" customFormat="1" ht="75" customHeight="1" hidden="1">
      <c r="A341" s="264"/>
      <c r="B341" s="278" t="s">
        <v>402</v>
      </c>
      <c r="C341" s="192"/>
      <c r="D341" s="269" t="s">
        <v>403</v>
      </c>
      <c r="E341" s="181" t="s">
        <v>360</v>
      </c>
      <c r="F341" s="78"/>
      <c r="G341" s="82"/>
      <c r="H341" s="75">
        <f>F341+G341</f>
        <v>0</v>
      </c>
      <c r="I341" s="124"/>
      <c r="L341" s="166"/>
    </row>
    <row r="342" spans="1:12" s="154" customFormat="1" ht="42.75" customHeight="1">
      <c r="A342" s="265"/>
      <c r="B342" s="267"/>
      <c r="C342" s="192" t="s">
        <v>83</v>
      </c>
      <c r="D342" s="280"/>
      <c r="E342" s="194" t="s">
        <v>213</v>
      </c>
      <c r="F342" s="78"/>
      <c r="G342" s="75">
        <v>117635</v>
      </c>
      <c r="H342" s="75">
        <f aca="true" t="shared" si="16" ref="H342:H355">F342+G342</f>
        <v>117635</v>
      </c>
      <c r="I342" s="153"/>
      <c r="L342" s="155"/>
    </row>
    <row r="343" spans="1:12" s="154" customFormat="1" ht="51" customHeight="1">
      <c r="A343" s="198"/>
      <c r="B343" s="191" t="s">
        <v>456</v>
      </c>
      <c r="C343" s="198" t="s">
        <v>112</v>
      </c>
      <c r="D343" s="192" t="s">
        <v>457</v>
      </c>
      <c r="E343" s="194" t="s">
        <v>195</v>
      </c>
      <c r="F343" s="78">
        <v>5007306</v>
      </c>
      <c r="G343" s="75"/>
      <c r="H343" s="75">
        <f t="shared" si="16"/>
        <v>5007306</v>
      </c>
      <c r="I343" s="153"/>
      <c r="L343" s="155"/>
    </row>
    <row r="344" spans="1:13" s="111" customFormat="1" ht="50.25" customHeight="1">
      <c r="A344" s="191"/>
      <c r="B344" s="193" t="s">
        <v>319</v>
      </c>
      <c r="C344" s="191" t="s">
        <v>113</v>
      </c>
      <c r="D344" s="181" t="s">
        <v>320</v>
      </c>
      <c r="E344" s="194" t="s">
        <v>195</v>
      </c>
      <c r="F344" s="78">
        <f>702435+25646+120000+2982062+6343287</f>
        <v>10173430</v>
      </c>
      <c r="G344" s="75">
        <v>198591</v>
      </c>
      <c r="H344" s="75">
        <f>F344+G344</f>
        <v>10372021</v>
      </c>
      <c r="I344" s="124"/>
      <c r="L344" s="125"/>
      <c r="M344" s="126"/>
    </row>
    <row r="345" spans="1:13" s="111" customFormat="1" ht="50.25" customHeight="1">
      <c r="A345" s="191"/>
      <c r="B345" s="193" t="s">
        <v>309</v>
      </c>
      <c r="C345" s="191" t="s">
        <v>85</v>
      </c>
      <c r="D345" s="194" t="s">
        <v>310</v>
      </c>
      <c r="E345" s="194" t="s">
        <v>195</v>
      </c>
      <c r="F345" s="78"/>
      <c r="G345" s="87">
        <f>8175965+3274667</f>
        <v>11450632</v>
      </c>
      <c r="H345" s="75">
        <f>F345+G345</f>
        <v>11450632</v>
      </c>
      <c r="I345" s="124"/>
      <c r="L345" s="125"/>
      <c r="M345" s="126"/>
    </row>
    <row r="346" spans="1:13" s="111" customFormat="1" ht="73.5" customHeight="1" hidden="1">
      <c r="A346" s="191"/>
      <c r="B346" s="190" t="s">
        <v>313</v>
      </c>
      <c r="C346" s="189"/>
      <c r="D346" s="180" t="s">
        <v>314</v>
      </c>
      <c r="E346" s="181" t="s">
        <v>237</v>
      </c>
      <c r="F346" s="78"/>
      <c r="G346" s="75"/>
      <c r="H346" s="75">
        <f t="shared" si="16"/>
        <v>0</v>
      </c>
      <c r="I346" s="124"/>
      <c r="L346" s="125"/>
      <c r="M346" s="126"/>
    </row>
    <row r="347" spans="1:13" s="111" customFormat="1" ht="47.25">
      <c r="A347" s="264"/>
      <c r="B347" s="278" t="s">
        <v>302</v>
      </c>
      <c r="C347" s="265" t="s">
        <v>86</v>
      </c>
      <c r="D347" s="269" t="s">
        <v>317</v>
      </c>
      <c r="E347" s="181" t="s">
        <v>171</v>
      </c>
      <c r="F347" s="78">
        <v>154552</v>
      </c>
      <c r="G347" s="87"/>
      <c r="H347" s="75">
        <f t="shared" si="16"/>
        <v>154552</v>
      </c>
      <c r="I347" s="114"/>
      <c r="L347" s="125"/>
      <c r="M347" s="126"/>
    </row>
    <row r="348" spans="1:12" s="111" customFormat="1" ht="47.25">
      <c r="A348" s="264"/>
      <c r="B348" s="278"/>
      <c r="C348" s="273"/>
      <c r="D348" s="269"/>
      <c r="E348" s="181" t="s">
        <v>220</v>
      </c>
      <c r="F348" s="78">
        <v>80000</v>
      </c>
      <c r="G348" s="87"/>
      <c r="H348" s="75">
        <f t="shared" si="16"/>
        <v>80000</v>
      </c>
      <c r="I348" s="114"/>
      <c r="L348" s="166"/>
    </row>
    <row r="349" spans="1:12" s="111" customFormat="1" ht="63">
      <c r="A349" s="264"/>
      <c r="B349" s="278"/>
      <c r="C349" s="273"/>
      <c r="D349" s="269"/>
      <c r="E349" s="181" t="s">
        <v>179</v>
      </c>
      <c r="F349" s="78">
        <f>21140</f>
        <v>21140</v>
      </c>
      <c r="G349" s="87"/>
      <c r="H349" s="75">
        <f t="shared" si="16"/>
        <v>21140</v>
      </c>
      <c r="I349" s="114"/>
      <c r="L349" s="166"/>
    </row>
    <row r="350" spans="1:12" s="111" customFormat="1" ht="47.25" customHeight="1">
      <c r="A350" s="264"/>
      <c r="B350" s="278"/>
      <c r="C350" s="273"/>
      <c r="D350" s="269"/>
      <c r="E350" s="181" t="s">
        <v>214</v>
      </c>
      <c r="F350" s="78">
        <f>20000+26500</f>
        <v>46500</v>
      </c>
      <c r="G350" s="87"/>
      <c r="H350" s="75">
        <f t="shared" si="16"/>
        <v>46500</v>
      </c>
      <c r="I350" s="114"/>
      <c r="L350" s="166"/>
    </row>
    <row r="351" spans="1:12" s="111" customFormat="1" ht="47.25" customHeight="1" hidden="1">
      <c r="A351" s="264"/>
      <c r="B351" s="278"/>
      <c r="C351" s="273"/>
      <c r="D351" s="269"/>
      <c r="E351" s="181" t="s">
        <v>345</v>
      </c>
      <c r="F351" s="78"/>
      <c r="G351" s="87"/>
      <c r="H351" s="75">
        <f t="shared" si="16"/>
        <v>0</v>
      </c>
      <c r="I351" s="114"/>
      <c r="L351" s="166"/>
    </row>
    <row r="352" spans="1:12" s="111" customFormat="1" ht="47.25" customHeight="1" hidden="1">
      <c r="A352" s="264"/>
      <c r="B352" s="278"/>
      <c r="C352" s="273"/>
      <c r="D352" s="269"/>
      <c r="E352" s="181" t="s">
        <v>554</v>
      </c>
      <c r="F352" s="78"/>
      <c r="G352" s="87"/>
      <c r="H352" s="75">
        <f t="shared" si="16"/>
        <v>0</v>
      </c>
      <c r="I352" s="114"/>
      <c r="L352" s="166"/>
    </row>
    <row r="353" spans="1:12" s="111" customFormat="1" ht="66.75" customHeight="1" hidden="1">
      <c r="A353" s="264"/>
      <c r="B353" s="278"/>
      <c r="C353" s="273"/>
      <c r="D353" s="269"/>
      <c r="E353" s="181" t="s">
        <v>126</v>
      </c>
      <c r="F353" s="78"/>
      <c r="G353" s="87"/>
      <c r="H353" s="75">
        <f t="shared" si="16"/>
        <v>0</v>
      </c>
      <c r="I353" s="114"/>
      <c r="L353" s="166"/>
    </row>
    <row r="354" spans="1:12" s="111" customFormat="1" ht="63" customHeight="1" hidden="1">
      <c r="A354" s="264"/>
      <c r="B354" s="278"/>
      <c r="C354" s="266"/>
      <c r="D354" s="269"/>
      <c r="E354" s="181" t="s">
        <v>79</v>
      </c>
      <c r="F354" s="149"/>
      <c r="G354" s="87"/>
      <c r="H354" s="75">
        <f t="shared" si="16"/>
        <v>0</v>
      </c>
      <c r="I354" s="114"/>
      <c r="L354" s="166"/>
    </row>
    <row r="355" spans="1:12" s="111" customFormat="1" ht="63" customHeight="1" hidden="1">
      <c r="A355" s="191"/>
      <c r="B355" s="193" t="s">
        <v>309</v>
      </c>
      <c r="C355" s="191" t="s">
        <v>85</v>
      </c>
      <c r="D355" s="194" t="s">
        <v>310</v>
      </c>
      <c r="E355" s="194" t="s">
        <v>195</v>
      </c>
      <c r="F355" s="78"/>
      <c r="G355" s="87"/>
      <c r="H355" s="75">
        <f t="shared" si="16"/>
        <v>0</v>
      </c>
      <c r="I355" s="114"/>
      <c r="L355" s="166"/>
    </row>
    <row r="356" spans="1:12" s="137" customFormat="1" ht="21" customHeight="1">
      <c r="A356" s="99"/>
      <c r="B356" s="99"/>
      <c r="C356" s="99"/>
      <c r="D356" s="99" t="s">
        <v>291</v>
      </c>
      <c r="E356" s="99"/>
      <c r="F356" s="85">
        <f>F11+F22+F69+F89+F111+F130+F138+F181+F184+F195+F198+F204+F223+F227+F235+F244+F260+F275+F291+F306+F322+F340+F240+F193+F107+F109+F136+F67+F169+F191</f>
        <v>855037841</v>
      </c>
      <c r="G356" s="85">
        <f>G11+G22+G69+G89+G111+G130+G138+G181+G184+G195+G198+G204+G223+G227+G235+G244+G260+G275+G291+G306+G322+G340+G240+G193+G107+G109+G136+G67+G169+G191</f>
        <v>1092935571</v>
      </c>
      <c r="H356" s="85">
        <f>H11+H22+H69+H89+H111+H130+H138+H181+H184+H195+H198+H204+H223+H227+H235+H244+H260+H275+H291+H306+H322+H340+H240+H193+H107+H109+H136+H67+H169+H191</f>
        <v>1947973412</v>
      </c>
      <c r="I356" s="135"/>
      <c r="J356" s="136"/>
      <c r="L356" s="138"/>
    </row>
    <row r="357" spans="1:12" s="137" customFormat="1" ht="21" customHeight="1">
      <c r="A357" s="134"/>
      <c r="B357" s="134"/>
      <c r="C357" s="134"/>
      <c r="D357" s="134"/>
      <c r="E357" s="134"/>
      <c r="F357" s="162"/>
      <c r="G357" s="162"/>
      <c r="H357" s="162"/>
      <c r="I357" s="135"/>
      <c r="J357" s="136"/>
      <c r="L357" s="138"/>
    </row>
    <row r="358" spans="1:13" ht="15" customHeight="1">
      <c r="A358" s="113"/>
      <c r="B358" s="113"/>
      <c r="C358" s="113"/>
      <c r="D358" s="113"/>
      <c r="E358" s="113"/>
      <c r="F358" s="139"/>
      <c r="G358" s="139"/>
      <c r="H358" s="139"/>
      <c r="M358" s="140"/>
    </row>
    <row r="359" spans="1:12" s="141" customFormat="1" ht="35.25" customHeight="1">
      <c r="A359" s="182" t="s">
        <v>437</v>
      </c>
      <c r="B359" s="182"/>
      <c r="C359" s="182"/>
      <c r="D359" s="182"/>
      <c r="E359" s="182"/>
      <c r="F359" s="182" t="s">
        <v>143</v>
      </c>
      <c r="G359" s="182"/>
      <c r="I359" s="142"/>
      <c r="L359" s="143"/>
    </row>
    <row r="360" spans="7:8" ht="18" customHeight="1">
      <c r="G360" s="137"/>
      <c r="H360" s="136"/>
    </row>
    <row r="361" spans="6:8" ht="18" customHeight="1">
      <c r="F361" s="144"/>
      <c r="G361" s="144"/>
      <c r="H361" s="145"/>
    </row>
    <row r="362" spans="6:8" s="118" customFormat="1" ht="18" customHeight="1">
      <c r="F362" s="237"/>
      <c r="G362" s="237"/>
      <c r="H362" s="237"/>
    </row>
    <row r="363" spans="4:8" s="118" customFormat="1" ht="18" customHeight="1">
      <c r="D363" s="238"/>
      <c r="F363" s="238"/>
      <c r="G363" s="238"/>
      <c r="H363" s="238"/>
    </row>
    <row r="364" spans="4:8" s="239" customFormat="1" ht="15.75">
      <c r="D364" s="240"/>
      <c r="E364" s="118"/>
      <c r="F364" s="238"/>
      <c r="G364" s="238"/>
      <c r="H364" s="238"/>
    </row>
    <row r="365" spans="4:8" s="118" customFormat="1" ht="15.75">
      <c r="D365" s="238"/>
      <c r="F365" s="238"/>
      <c r="G365" s="238"/>
      <c r="H365" s="238"/>
    </row>
    <row r="366" spans="4:8" s="118" customFormat="1" ht="15.75">
      <c r="D366" s="238"/>
      <c r="F366" s="238"/>
      <c r="G366" s="238"/>
      <c r="H366" s="238"/>
    </row>
    <row r="367" spans="4:8" s="118" customFormat="1" ht="15.75">
      <c r="D367" s="238"/>
      <c r="F367" s="238"/>
      <c r="G367" s="238"/>
      <c r="H367" s="238"/>
    </row>
    <row r="368" spans="4:8" s="118" customFormat="1" ht="15.75">
      <c r="D368" s="238"/>
      <c r="F368" s="238"/>
      <c r="G368" s="238"/>
      <c r="H368" s="238"/>
    </row>
    <row r="369" spans="4:8" s="118" customFormat="1" ht="15.75">
      <c r="D369" s="238"/>
      <c r="F369" s="238"/>
      <c r="G369" s="238"/>
      <c r="H369" s="238"/>
    </row>
    <row r="370" spans="4:8" s="118" customFormat="1" ht="15.75">
      <c r="D370" s="238"/>
      <c r="F370" s="238"/>
      <c r="G370" s="238"/>
      <c r="H370" s="238"/>
    </row>
    <row r="371" spans="2:8" s="118" customFormat="1" ht="23.25" customHeight="1">
      <c r="B371" s="238"/>
      <c r="D371" s="238"/>
      <c r="F371" s="238"/>
      <c r="G371" s="238"/>
      <c r="H371" s="238"/>
    </row>
    <row r="372" spans="4:8" s="118" customFormat="1" ht="30" customHeight="1">
      <c r="D372" s="238"/>
      <c r="F372" s="238"/>
      <c r="G372" s="238"/>
      <c r="H372" s="238"/>
    </row>
    <row r="373" spans="4:8" s="118" customFormat="1" ht="27" customHeight="1">
      <c r="D373" s="238"/>
      <c r="F373" s="238"/>
      <c r="G373" s="238"/>
      <c r="H373" s="238"/>
    </row>
    <row r="374" spans="4:8" s="118" customFormat="1" ht="15.75">
      <c r="D374" s="238"/>
      <c r="F374" s="238"/>
      <c r="G374" s="238"/>
      <c r="H374" s="238"/>
    </row>
    <row r="375" spans="4:8" s="118" customFormat="1" ht="15.75">
      <c r="D375" s="238"/>
      <c r="F375" s="238"/>
      <c r="G375" s="238"/>
      <c r="H375" s="238"/>
    </row>
    <row r="376" spans="4:8" s="118" customFormat="1" ht="15.75">
      <c r="D376" s="238"/>
      <c r="F376" s="238"/>
      <c r="G376" s="238"/>
      <c r="H376" s="238"/>
    </row>
    <row r="377" spans="4:8" s="118" customFormat="1" ht="15.75">
      <c r="D377" s="238"/>
      <c r="F377" s="238"/>
      <c r="G377" s="238"/>
      <c r="H377" s="238"/>
    </row>
    <row r="378" s="118" customFormat="1" ht="15.75">
      <c r="D378" s="238"/>
    </row>
    <row r="379" spans="4:8" s="118" customFormat="1" ht="15.75">
      <c r="D379" s="238"/>
      <c r="F379" s="238"/>
      <c r="G379" s="238"/>
      <c r="H379" s="238"/>
    </row>
    <row r="380" spans="4:8" s="118" customFormat="1" ht="15.75">
      <c r="D380" s="238"/>
      <c r="G380" s="238"/>
      <c r="H380" s="238"/>
    </row>
    <row r="381" spans="4:9" s="118" customFormat="1" ht="15.75">
      <c r="D381" s="238"/>
      <c r="F381" s="238"/>
      <c r="G381" s="238"/>
      <c r="H381" s="238"/>
      <c r="I381" s="238"/>
    </row>
    <row r="382" spans="4:8" s="118" customFormat="1" ht="15.75">
      <c r="D382" s="238"/>
      <c r="E382" s="166"/>
      <c r="F382" s="238"/>
      <c r="G382" s="238"/>
      <c r="H382" s="238"/>
    </row>
    <row r="383" spans="4:8" s="118" customFormat="1" ht="15.75">
      <c r="D383" s="238"/>
      <c r="F383" s="238"/>
      <c r="G383" s="238"/>
      <c r="H383" s="238"/>
    </row>
    <row r="384" spans="4:8" s="118" customFormat="1" ht="15.75">
      <c r="D384" s="238"/>
      <c r="F384" s="238"/>
      <c r="G384" s="238"/>
      <c r="H384" s="238"/>
    </row>
    <row r="385" spans="4:8" s="118" customFormat="1" ht="15.75">
      <c r="D385" s="238"/>
      <c r="F385" s="238"/>
      <c r="G385" s="238"/>
      <c r="H385" s="238"/>
    </row>
    <row r="386" s="118" customFormat="1" ht="15.75">
      <c r="D386" s="238"/>
    </row>
    <row r="387" spans="4:8" s="118" customFormat="1" ht="15.75">
      <c r="D387" s="238"/>
      <c r="G387" s="238"/>
      <c r="H387" s="238"/>
    </row>
    <row r="388" spans="4:8" s="118" customFormat="1" ht="15.75">
      <c r="D388" s="238"/>
      <c r="F388" s="238"/>
      <c r="G388" s="238"/>
      <c r="H388" s="238"/>
    </row>
    <row r="389" spans="4:8" s="118" customFormat="1" ht="15.75">
      <c r="D389" s="238"/>
      <c r="F389" s="238"/>
      <c r="G389" s="238"/>
      <c r="H389" s="238"/>
    </row>
    <row r="390" spans="4:9" s="118" customFormat="1" ht="15.75">
      <c r="D390" s="238"/>
      <c r="F390" s="238"/>
      <c r="G390" s="238"/>
      <c r="H390" s="238"/>
      <c r="I390" s="241"/>
    </row>
    <row r="391" spans="4:9" s="118" customFormat="1" ht="15.75">
      <c r="D391" s="238"/>
      <c r="F391" s="238"/>
      <c r="G391" s="238"/>
      <c r="H391" s="238"/>
      <c r="I391" s="241"/>
    </row>
    <row r="392" spans="4:9" s="118" customFormat="1" ht="15.75">
      <c r="D392" s="238"/>
      <c r="F392" s="238"/>
      <c r="G392" s="238"/>
      <c r="H392" s="238"/>
      <c r="I392" s="241"/>
    </row>
    <row r="393" spans="4:9" s="118" customFormat="1" ht="15.75">
      <c r="D393" s="238"/>
      <c r="F393" s="238"/>
      <c r="G393" s="238"/>
      <c r="H393" s="238"/>
      <c r="I393" s="241"/>
    </row>
    <row r="394" spans="4:9" s="118" customFormat="1" ht="15.75">
      <c r="D394" s="238"/>
      <c r="F394" s="238"/>
      <c r="G394" s="238"/>
      <c r="H394" s="238"/>
      <c r="I394" s="241"/>
    </row>
    <row r="395" spans="4:9" s="118" customFormat="1" ht="15.75">
      <c r="D395" s="238"/>
      <c r="F395" s="238"/>
      <c r="G395" s="238"/>
      <c r="H395" s="238"/>
      <c r="I395" s="241"/>
    </row>
    <row r="396" spans="4:9" s="118" customFormat="1" ht="15.75">
      <c r="D396" s="238"/>
      <c r="F396" s="238"/>
      <c r="G396" s="238"/>
      <c r="H396" s="238"/>
      <c r="I396" s="241"/>
    </row>
    <row r="397" spans="4:9" s="118" customFormat="1" ht="15.75">
      <c r="D397" s="238"/>
      <c r="F397" s="238"/>
      <c r="G397" s="238"/>
      <c r="H397" s="238"/>
      <c r="I397" s="241"/>
    </row>
    <row r="398" spans="4:9" s="118" customFormat="1" ht="15.75">
      <c r="D398" s="238"/>
      <c r="F398" s="238"/>
      <c r="G398" s="238"/>
      <c r="H398" s="238"/>
      <c r="I398" s="241"/>
    </row>
    <row r="399" spans="4:9" s="118" customFormat="1" ht="15.75">
      <c r="D399" s="238"/>
      <c r="F399" s="238"/>
      <c r="G399" s="238"/>
      <c r="H399" s="238"/>
      <c r="I399" s="241"/>
    </row>
    <row r="400" spans="4:9" s="118" customFormat="1" ht="15.75">
      <c r="D400" s="238"/>
      <c r="F400" s="238"/>
      <c r="G400" s="238"/>
      <c r="H400" s="238"/>
      <c r="I400" s="241"/>
    </row>
    <row r="401" spans="4:9" s="118" customFormat="1" ht="15.75">
      <c r="D401" s="238"/>
      <c r="F401" s="238"/>
      <c r="G401" s="238"/>
      <c r="H401" s="238"/>
      <c r="I401" s="241"/>
    </row>
    <row r="402" spans="4:9" s="118" customFormat="1" ht="15.75">
      <c r="D402" s="238"/>
      <c r="F402" s="238"/>
      <c r="G402" s="238"/>
      <c r="H402" s="238"/>
      <c r="I402" s="241"/>
    </row>
    <row r="403" spans="4:9" s="118" customFormat="1" ht="15.75">
      <c r="D403" s="238"/>
      <c r="F403" s="238"/>
      <c r="G403" s="238"/>
      <c r="H403" s="238"/>
      <c r="I403" s="241"/>
    </row>
    <row r="404" spans="4:9" s="118" customFormat="1" ht="15.75">
      <c r="D404" s="238"/>
      <c r="F404" s="238"/>
      <c r="G404" s="238"/>
      <c r="H404" s="238"/>
      <c r="I404" s="241"/>
    </row>
    <row r="405" spans="4:9" s="118" customFormat="1" ht="15.75">
      <c r="D405" s="238"/>
      <c r="F405" s="238"/>
      <c r="G405" s="238"/>
      <c r="H405" s="238"/>
      <c r="I405" s="241"/>
    </row>
    <row r="406" spans="4:9" s="118" customFormat="1" ht="30" customHeight="1">
      <c r="D406" s="238"/>
      <c r="F406" s="238"/>
      <c r="G406" s="238"/>
      <c r="H406" s="238"/>
      <c r="I406" s="241"/>
    </row>
    <row r="407" spans="4:9" s="118" customFormat="1" ht="33.75" customHeight="1">
      <c r="D407" s="238"/>
      <c r="F407" s="238"/>
      <c r="G407" s="238"/>
      <c r="H407" s="238"/>
      <c r="I407" s="241"/>
    </row>
    <row r="408" spans="4:9" s="118" customFormat="1" ht="28.5" customHeight="1">
      <c r="D408" s="238"/>
      <c r="F408" s="238"/>
      <c r="G408" s="238"/>
      <c r="H408" s="238"/>
      <c r="I408" s="241"/>
    </row>
    <row r="409" spans="4:9" s="118" customFormat="1" ht="28.5" customHeight="1">
      <c r="D409" s="238"/>
      <c r="F409" s="238"/>
      <c r="G409" s="238"/>
      <c r="H409" s="238"/>
      <c r="I409" s="241"/>
    </row>
    <row r="410" spans="4:9" s="118" customFormat="1" ht="28.5" customHeight="1">
      <c r="D410" s="238"/>
      <c r="F410" s="238"/>
      <c r="G410" s="238"/>
      <c r="H410" s="238"/>
      <c r="I410" s="241"/>
    </row>
    <row r="411" spans="4:9" s="118" customFormat="1" ht="28.5" customHeight="1">
      <c r="D411" s="238"/>
      <c r="F411" s="238"/>
      <c r="G411" s="238"/>
      <c r="H411" s="238"/>
      <c r="I411" s="241"/>
    </row>
    <row r="412" spans="4:9" s="118" customFormat="1" ht="38.25" customHeight="1">
      <c r="D412" s="238"/>
      <c r="F412" s="238"/>
      <c r="G412" s="238"/>
      <c r="H412" s="238"/>
      <c r="I412" s="241"/>
    </row>
    <row r="413" spans="4:9" s="118" customFormat="1" ht="21.75" customHeight="1">
      <c r="D413" s="238"/>
      <c r="E413" s="242"/>
      <c r="F413" s="238"/>
      <c r="G413" s="238"/>
      <c r="H413" s="238"/>
      <c r="I413" s="241"/>
    </row>
    <row r="414" spans="4:9" s="118" customFormat="1" ht="38.25" customHeight="1">
      <c r="D414" s="238"/>
      <c r="F414" s="238"/>
      <c r="G414" s="238"/>
      <c r="H414" s="238"/>
      <c r="I414" s="241"/>
    </row>
    <row r="415" spans="4:9" s="118" customFormat="1" ht="38.25" customHeight="1">
      <c r="D415" s="238"/>
      <c r="F415" s="238"/>
      <c r="G415" s="238"/>
      <c r="H415" s="238"/>
      <c r="I415" s="241"/>
    </row>
    <row r="416" spans="4:9" s="118" customFormat="1" ht="27.75" customHeight="1">
      <c r="D416" s="238"/>
      <c r="F416" s="238"/>
      <c r="G416" s="238"/>
      <c r="H416" s="238"/>
      <c r="I416" s="241"/>
    </row>
    <row r="417" spans="4:9" s="118" customFormat="1" ht="27.75" customHeight="1">
      <c r="D417" s="238"/>
      <c r="F417" s="238"/>
      <c r="G417" s="238"/>
      <c r="H417" s="238"/>
      <c r="I417" s="241"/>
    </row>
    <row r="418" spans="4:9" s="146" customFormat="1" ht="25.5" customHeight="1">
      <c r="D418" s="238"/>
      <c r="F418" s="243"/>
      <c r="G418" s="243"/>
      <c r="H418" s="243"/>
      <c r="I418" s="244"/>
    </row>
    <row r="419" spans="4:9" s="147" customFormat="1" ht="27" customHeight="1">
      <c r="D419" s="238"/>
      <c r="F419" s="253"/>
      <c r="G419" s="253"/>
      <c r="H419" s="253"/>
      <c r="I419" s="254"/>
    </row>
    <row r="420" spans="4:9" s="147" customFormat="1" ht="27" customHeight="1">
      <c r="D420" s="253"/>
      <c r="F420" s="253"/>
      <c r="G420" s="253"/>
      <c r="H420" s="253"/>
      <c r="I420" s="254"/>
    </row>
    <row r="421" spans="6:8" s="148" customFormat="1" ht="15.75">
      <c r="F421" s="255"/>
      <c r="G421" s="255"/>
      <c r="H421" s="255"/>
    </row>
    <row r="422" spans="5:9" s="118" customFormat="1" ht="27.75" customHeight="1">
      <c r="E422" s="256"/>
      <c r="F422" s="257"/>
      <c r="G422" s="257"/>
      <c r="H422" s="257"/>
      <c r="I422" s="241"/>
    </row>
    <row r="423" spans="4:9" s="118" customFormat="1" ht="18.75">
      <c r="D423" s="238"/>
      <c r="E423" s="258"/>
      <c r="F423" s="259"/>
      <c r="G423" s="259"/>
      <c r="H423" s="259"/>
      <c r="I423" s="241"/>
    </row>
    <row r="424" spans="4:9" s="118" customFormat="1" ht="18.75">
      <c r="D424" s="238"/>
      <c r="E424" s="258"/>
      <c r="F424" s="259"/>
      <c r="G424" s="259"/>
      <c r="H424" s="259"/>
      <c r="I424" s="241"/>
    </row>
    <row r="425" spans="4:9" s="118" customFormat="1" ht="18.75">
      <c r="D425" s="238"/>
      <c r="E425" s="258"/>
      <c r="F425" s="259"/>
      <c r="G425" s="259"/>
      <c r="H425" s="259"/>
      <c r="I425" s="241"/>
    </row>
    <row r="426" spans="4:9" s="118" customFormat="1" ht="18.75">
      <c r="D426" s="238"/>
      <c r="E426" s="258"/>
      <c r="F426" s="259"/>
      <c r="G426" s="259"/>
      <c r="H426" s="259"/>
      <c r="I426" s="241"/>
    </row>
    <row r="427" spans="4:9" s="118" customFormat="1" ht="18.75">
      <c r="D427" s="238"/>
      <c r="E427" s="258"/>
      <c r="F427" s="259"/>
      <c r="G427" s="259"/>
      <c r="H427" s="259"/>
      <c r="I427" s="241"/>
    </row>
    <row r="428" spans="4:9" s="118" customFormat="1" ht="18.75">
      <c r="D428" s="238"/>
      <c r="E428" s="258"/>
      <c r="F428" s="259"/>
      <c r="G428" s="259"/>
      <c r="H428" s="259"/>
      <c r="I428" s="241"/>
    </row>
    <row r="429" spans="4:9" s="118" customFormat="1" ht="18.75">
      <c r="D429" s="238"/>
      <c r="E429" s="258"/>
      <c r="F429" s="259"/>
      <c r="G429" s="259"/>
      <c r="H429" s="259"/>
      <c r="I429" s="241"/>
    </row>
    <row r="430" spans="4:9" s="118" customFormat="1" ht="18.75">
      <c r="D430" s="238"/>
      <c r="E430" s="258"/>
      <c r="F430" s="259"/>
      <c r="G430" s="259"/>
      <c r="H430" s="259"/>
      <c r="I430" s="241"/>
    </row>
    <row r="431" spans="4:9" s="118" customFormat="1" ht="19.5" customHeight="1">
      <c r="D431" s="238"/>
      <c r="E431" s="258"/>
      <c r="F431" s="259"/>
      <c r="G431" s="259"/>
      <c r="H431" s="259"/>
      <c r="I431" s="241"/>
    </row>
    <row r="432" spans="4:9" s="118" customFormat="1" ht="18.75">
      <c r="D432" s="238"/>
      <c r="E432" s="258"/>
      <c r="F432" s="259"/>
      <c r="G432" s="259"/>
      <c r="H432" s="259"/>
      <c r="I432" s="241"/>
    </row>
    <row r="433" spans="4:9" s="118" customFormat="1" ht="18.75">
      <c r="D433" s="238"/>
      <c r="E433" s="258"/>
      <c r="F433" s="259"/>
      <c r="G433" s="259"/>
      <c r="H433" s="259"/>
      <c r="I433" s="260"/>
    </row>
    <row r="434" spans="4:9" s="118" customFormat="1" ht="18.75">
      <c r="D434" s="238"/>
      <c r="E434" s="258"/>
      <c r="F434" s="259"/>
      <c r="G434" s="259"/>
      <c r="H434" s="259"/>
      <c r="I434" s="241"/>
    </row>
    <row r="435" spans="4:9" s="118" customFormat="1" ht="18.75">
      <c r="D435" s="238"/>
      <c r="E435" s="258"/>
      <c r="F435" s="259"/>
      <c r="G435" s="259"/>
      <c r="H435" s="259"/>
      <c r="I435" s="241"/>
    </row>
    <row r="436" spans="4:9" s="118" customFormat="1" ht="18.75">
      <c r="D436" s="238"/>
      <c r="E436" s="258"/>
      <c r="F436" s="259"/>
      <c r="G436" s="259"/>
      <c r="H436" s="259"/>
      <c r="I436" s="241"/>
    </row>
    <row r="437" spans="4:9" s="118" customFormat="1" ht="18.75">
      <c r="D437" s="238"/>
      <c r="E437" s="258"/>
      <c r="F437" s="259"/>
      <c r="G437" s="259"/>
      <c r="H437" s="259"/>
      <c r="I437" s="241"/>
    </row>
    <row r="438" spans="4:9" s="118" customFormat="1" ht="18.75">
      <c r="D438" s="238"/>
      <c r="E438" s="258"/>
      <c r="F438" s="259"/>
      <c r="G438" s="259"/>
      <c r="H438" s="259"/>
      <c r="I438" s="241"/>
    </row>
    <row r="439" spans="4:9" s="118" customFormat="1" ht="18.75">
      <c r="D439" s="238"/>
      <c r="E439" s="258"/>
      <c r="F439" s="259"/>
      <c r="G439" s="259"/>
      <c r="H439" s="259"/>
      <c r="I439" s="241"/>
    </row>
    <row r="440" spans="4:9" s="118" customFormat="1" ht="18.75">
      <c r="D440" s="238"/>
      <c r="E440" s="258"/>
      <c r="F440" s="259"/>
      <c r="G440" s="259"/>
      <c r="H440" s="259"/>
      <c r="I440" s="241"/>
    </row>
    <row r="441" spans="4:9" s="118" customFormat="1" ht="18.75">
      <c r="D441" s="238"/>
      <c r="E441" s="258"/>
      <c r="F441" s="259"/>
      <c r="G441" s="259"/>
      <c r="H441" s="259"/>
      <c r="I441" s="241"/>
    </row>
    <row r="442" spans="4:9" s="118" customFormat="1" ht="18.75">
      <c r="D442" s="238"/>
      <c r="E442" s="258"/>
      <c r="F442" s="259"/>
      <c r="G442" s="259"/>
      <c r="H442" s="259"/>
      <c r="I442" s="241"/>
    </row>
    <row r="443" spans="4:9" s="118" customFormat="1" ht="18.75">
      <c r="D443" s="238"/>
      <c r="E443" s="258"/>
      <c r="F443" s="259"/>
      <c r="G443" s="259"/>
      <c r="H443" s="259"/>
      <c r="I443" s="241"/>
    </row>
    <row r="444" spans="4:9" s="118" customFormat="1" ht="18.75">
      <c r="D444" s="238"/>
      <c r="E444" s="258"/>
      <c r="F444" s="259"/>
      <c r="G444" s="259"/>
      <c r="H444" s="259"/>
      <c r="I444" s="241"/>
    </row>
    <row r="445" spans="4:9" s="118" customFormat="1" ht="18.75">
      <c r="D445" s="238"/>
      <c r="E445" s="258"/>
      <c r="F445" s="259"/>
      <c r="G445" s="259"/>
      <c r="H445" s="259"/>
      <c r="I445" s="241"/>
    </row>
    <row r="446" spans="4:9" s="118" customFormat="1" ht="18.75">
      <c r="D446" s="238"/>
      <c r="E446" s="258"/>
      <c r="F446" s="259"/>
      <c r="G446" s="259"/>
      <c r="H446" s="259"/>
      <c r="I446" s="241"/>
    </row>
    <row r="447" spans="4:9" s="118" customFormat="1" ht="18.75">
      <c r="D447" s="238"/>
      <c r="E447" s="258"/>
      <c r="F447" s="259"/>
      <c r="G447" s="259"/>
      <c r="H447" s="259"/>
      <c r="I447" s="241"/>
    </row>
    <row r="448" spans="4:8" s="76" customFormat="1" ht="18.75">
      <c r="D448" s="238"/>
      <c r="E448" s="258"/>
      <c r="F448" s="259"/>
      <c r="G448" s="259"/>
      <c r="H448" s="259"/>
    </row>
    <row r="449" spans="4:8" s="76" customFormat="1" ht="18.75">
      <c r="D449" s="238"/>
      <c r="E449" s="258"/>
      <c r="F449" s="259"/>
      <c r="G449" s="259"/>
      <c r="H449" s="259"/>
    </row>
    <row r="450" spans="4:8" s="76" customFormat="1" ht="18.75">
      <c r="D450" s="238"/>
      <c r="E450" s="258"/>
      <c r="F450" s="259"/>
      <c r="G450" s="259"/>
      <c r="H450" s="259"/>
    </row>
    <row r="451" spans="4:8" s="76" customFormat="1" ht="18.75">
      <c r="D451" s="238"/>
      <c r="E451" s="258"/>
      <c r="F451" s="259"/>
      <c r="G451" s="259"/>
      <c r="H451" s="259"/>
    </row>
    <row r="452" spans="4:8" s="76" customFormat="1" ht="18.75">
      <c r="D452" s="238"/>
      <c r="E452" s="258"/>
      <c r="F452" s="259"/>
      <c r="G452" s="259"/>
      <c r="H452" s="259"/>
    </row>
    <row r="453" spans="4:8" s="76" customFormat="1" ht="18.75">
      <c r="D453" s="238"/>
      <c r="E453" s="258"/>
      <c r="F453" s="259"/>
      <c r="G453" s="259"/>
      <c r="H453" s="259"/>
    </row>
    <row r="454" spans="4:8" s="76" customFormat="1" ht="18.75">
      <c r="D454" s="238"/>
      <c r="E454" s="258"/>
      <c r="F454" s="259"/>
      <c r="G454" s="259"/>
      <c r="H454" s="259"/>
    </row>
    <row r="455" spans="4:8" s="76" customFormat="1" ht="18.75">
      <c r="D455" s="238"/>
      <c r="E455" s="258"/>
      <c r="F455" s="259"/>
      <c r="G455" s="259"/>
      <c r="H455" s="259"/>
    </row>
    <row r="456" spans="4:8" s="76" customFormat="1" ht="18.75">
      <c r="D456" s="238"/>
      <c r="E456" s="258"/>
      <c r="F456" s="242"/>
      <c r="G456" s="242"/>
      <c r="H456" s="242"/>
    </row>
    <row r="457" spans="4:8" s="76" customFormat="1" ht="18.75">
      <c r="D457" s="238"/>
      <c r="E457" s="258"/>
      <c r="F457" s="259"/>
      <c r="G457" s="259"/>
      <c r="H457" s="259"/>
    </row>
    <row r="458" spans="4:8" s="76" customFormat="1" ht="16.5" customHeight="1">
      <c r="D458" s="238"/>
      <c r="E458" s="258"/>
      <c r="F458" s="259"/>
      <c r="G458" s="259"/>
      <c r="H458" s="259"/>
    </row>
    <row r="459" spans="4:8" s="76" customFormat="1" ht="16.5" customHeight="1">
      <c r="D459" s="238"/>
      <c r="E459" s="258"/>
      <c r="F459" s="259"/>
      <c r="G459" s="259"/>
      <c r="H459" s="259"/>
    </row>
    <row r="460" spans="4:8" s="76" customFormat="1" ht="16.5" customHeight="1">
      <c r="D460" s="238"/>
      <c r="E460" s="258"/>
      <c r="F460" s="259"/>
      <c r="G460" s="259"/>
      <c r="H460" s="259"/>
    </row>
    <row r="461" spans="4:8" s="76" customFormat="1" ht="16.5" customHeight="1">
      <c r="D461" s="238"/>
      <c r="E461" s="258"/>
      <c r="F461" s="261"/>
      <c r="G461" s="261"/>
      <c r="H461" s="261"/>
    </row>
    <row r="462" spans="4:9" s="76" customFormat="1" ht="16.5" customHeight="1">
      <c r="D462" s="238"/>
      <c r="E462" s="258"/>
      <c r="F462" s="259"/>
      <c r="G462" s="259"/>
      <c r="H462" s="259"/>
      <c r="I462" s="262"/>
    </row>
    <row r="463" spans="4:9" s="76" customFormat="1" ht="16.5" customHeight="1">
      <c r="D463" s="238"/>
      <c r="E463" s="258"/>
      <c r="F463" s="259"/>
      <c r="G463" s="259"/>
      <c r="H463" s="259"/>
      <c r="I463" s="262"/>
    </row>
    <row r="464" spans="4:9" s="76" customFormat="1" ht="16.5" customHeight="1">
      <c r="D464" s="238"/>
      <c r="E464" s="258"/>
      <c r="F464" s="259"/>
      <c r="G464" s="259"/>
      <c r="H464" s="259"/>
      <c r="I464" s="262"/>
    </row>
    <row r="465" spans="4:8" s="76" customFormat="1" ht="16.5" customHeight="1">
      <c r="D465" s="238"/>
      <c r="E465" s="258"/>
      <c r="F465" s="259"/>
      <c r="G465" s="259"/>
      <c r="H465" s="259"/>
    </row>
    <row r="466" spans="4:8" s="76" customFormat="1" ht="16.5" customHeight="1">
      <c r="D466" s="238"/>
      <c r="E466" s="258"/>
      <c r="F466" s="259"/>
      <c r="G466" s="259"/>
      <c r="H466" s="259"/>
    </row>
    <row r="467" spans="4:9" s="76" customFormat="1" ht="16.5" customHeight="1">
      <c r="D467" s="238"/>
      <c r="E467" s="258"/>
      <c r="F467" s="259"/>
      <c r="G467" s="259"/>
      <c r="H467" s="259"/>
      <c r="I467" s="262"/>
    </row>
    <row r="468" spans="4:8" s="76" customFormat="1" ht="16.5" customHeight="1">
      <c r="D468" s="238"/>
      <c r="E468" s="258"/>
      <c r="F468" s="259"/>
      <c r="G468" s="259"/>
      <c r="H468" s="259"/>
    </row>
    <row r="469" spans="4:8" s="76" customFormat="1" ht="16.5" customHeight="1">
      <c r="D469" s="238"/>
      <c r="E469" s="258"/>
      <c r="F469" s="259"/>
      <c r="G469" s="259"/>
      <c r="H469" s="259"/>
    </row>
    <row r="470" spans="4:8" s="76" customFormat="1" ht="16.5" customHeight="1">
      <c r="D470" s="238"/>
      <c r="E470" s="258"/>
      <c r="F470" s="259"/>
      <c r="G470" s="259"/>
      <c r="H470" s="259"/>
    </row>
    <row r="471" spans="5:8" s="76" customFormat="1" ht="23.25" customHeight="1">
      <c r="E471" s="263"/>
      <c r="F471" s="255"/>
      <c r="G471" s="255"/>
      <c r="H471" s="255"/>
    </row>
    <row r="472" spans="5:8" s="76" customFormat="1" ht="20.25" customHeight="1">
      <c r="E472" s="258"/>
      <c r="F472" s="257"/>
      <c r="G472" s="257"/>
      <c r="H472" s="257"/>
    </row>
    <row r="473" s="118" customFormat="1" ht="15.75">
      <c r="I473" s="241"/>
    </row>
    <row r="474" s="118" customFormat="1" ht="15.75">
      <c r="I474" s="241"/>
    </row>
    <row r="475" spans="6:9" s="118" customFormat="1" ht="15.75">
      <c r="F475" s="238"/>
      <c r="I475" s="241"/>
    </row>
    <row r="476" spans="6:9" s="118" customFormat="1" ht="15.75">
      <c r="F476" s="238"/>
      <c r="I476" s="241"/>
    </row>
    <row r="477" ht="15.75">
      <c r="F477" s="207"/>
    </row>
  </sheetData>
  <sheetProtection/>
  <autoFilter ref="A10:N356"/>
  <mergeCells count="196">
    <mergeCell ref="A25:A27"/>
    <mergeCell ref="B32:B33"/>
    <mergeCell ref="D100:D101"/>
    <mergeCell ref="C100:C101"/>
    <mergeCell ref="B100:B101"/>
    <mergeCell ref="C58:C59"/>
    <mergeCell ref="C311:C312"/>
    <mergeCell ref="B311:B312"/>
    <mergeCell ref="D311:D312"/>
    <mergeCell ref="A311:A312"/>
    <mergeCell ref="C118:C119"/>
    <mergeCell ref="C132:C133"/>
    <mergeCell ref="D143:D144"/>
    <mergeCell ref="D157:D158"/>
    <mergeCell ref="D150:D152"/>
    <mergeCell ref="C150:C152"/>
    <mergeCell ref="D145:D147"/>
    <mergeCell ref="D154:D156"/>
    <mergeCell ref="D139:D140"/>
    <mergeCell ref="D123:D124"/>
    <mergeCell ref="D115:D117"/>
    <mergeCell ref="D118:D119"/>
    <mergeCell ref="B58:B59"/>
    <mergeCell ref="A78:A79"/>
    <mergeCell ref="D112:D114"/>
    <mergeCell ref="C112:C114"/>
    <mergeCell ref="A95:A96"/>
    <mergeCell ref="A118:A119"/>
    <mergeCell ref="A123:A124"/>
    <mergeCell ref="A115:A117"/>
    <mergeCell ref="D267:D273"/>
    <mergeCell ref="D214:D217"/>
    <mergeCell ref="C267:C272"/>
    <mergeCell ref="C252:C259"/>
    <mergeCell ref="D242:D243"/>
    <mergeCell ref="D236:D237"/>
    <mergeCell ref="A120:A122"/>
    <mergeCell ref="A125:A127"/>
    <mergeCell ref="B143:B144"/>
    <mergeCell ref="C34:C37"/>
    <mergeCell ref="A113:A114"/>
    <mergeCell ref="B87:B88"/>
    <mergeCell ref="B120:B122"/>
    <mergeCell ref="B139:B140"/>
    <mergeCell ref="A98:A99"/>
    <mergeCell ref="B98:B99"/>
    <mergeCell ref="D252:D259"/>
    <mergeCell ref="C236:C237"/>
    <mergeCell ref="C16:C21"/>
    <mergeCell ref="E65:E66"/>
    <mergeCell ref="D47:D48"/>
    <mergeCell ref="D39:D40"/>
    <mergeCell ref="D34:D37"/>
    <mergeCell ref="C78:C79"/>
    <mergeCell ref="C143:C144"/>
    <mergeCell ref="D132:D133"/>
    <mergeCell ref="A87:A88"/>
    <mergeCell ref="A6:H6"/>
    <mergeCell ref="A28:A31"/>
    <mergeCell ref="D28:D31"/>
    <mergeCell ref="C25:C27"/>
    <mergeCell ref="B25:B27"/>
    <mergeCell ref="B28:B31"/>
    <mergeCell ref="A39:A40"/>
    <mergeCell ref="B34:B37"/>
    <mergeCell ref="B39:B40"/>
    <mergeCell ref="B81:B83"/>
    <mergeCell ref="A71:A73"/>
    <mergeCell ref="A76:A77"/>
    <mergeCell ref="B71:B73"/>
    <mergeCell ref="B74:B75"/>
    <mergeCell ref="A74:A75"/>
    <mergeCell ref="A81:A82"/>
    <mergeCell ref="B78:B79"/>
    <mergeCell ref="C28:C31"/>
    <mergeCell ref="A16:A21"/>
    <mergeCell ref="D16:D21"/>
    <mergeCell ref="B76:B77"/>
    <mergeCell ref="A41:A42"/>
    <mergeCell ref="A34:A37"/>
    <mergeCell ref="B16:B21"/>
    <mergeCell ref="B47:B48"/>
    <mergeCell ref="A54:A55"/>
    <mergeCell ref="A58:A59"/>
    <mergeCell ref="B41:B42"/>
    <mergeCell ref="C315:C321"/>
    <mergeCell ref="A283:A290"/>
    <mergeCell ref="B267:B273"/>
    <mergeCell ref="C98:C99"/>
    <mergeCell ref="B95:B96"/>
    <mergeCell ref="A90:A91"/>
    <mergeCell ref="B90:B91"/>
    <mergeCell ref="C95:C96"/>
    <mergeCell ref="C90:C91"/>
    <mergeCell ref="B112:B114"/>
    <mergeCell ref="B341:B342"/>
    <mergeCell ref="A187:A190"/>
    <mergeCell ref="B252:B259"/>
    <mergeCell ref="A252:A259"/>
    <mergeCell ref="A242:A243"/>
    <mergeCell ref="A294:A295"/>
    <mergeCell ref="A220:A221"/>
    <mergeCell ref="B187:B190"/>
    <mergeCell ref="A150:A151"/>
    <mergeCell ref="B242:B243"/>
    <mergeCell ref="A145:A147"/>
    <mergeCell ref="B145:B147"/>
    <mergeCell ref="A157:A158"/>
    <mergeCell ref="B150:B152"/>
    <mergeCell ref="B154:B156"/>
    <mergeCell ref="B157:B158"/>
    <mergeCell ref="B123:B124"/>
    <mergeCell ref="A154:A156"/>
    <mergeCell ref="A139:A140"/>
    <mergeCell ref="B236:B237"/>
    <mergeCell ref="D294:D295"/>
    <mergeCell ref="C331:C335"/>
    <mergeCell ref="A299:A305"/>
    <mergeCell ref="C294:C295"/>
    <mergeCell ref="D299:D305"/>
    <mergeCell ref="B326:B327"/>
    <mergeCell ref="C326:C327"/>
    <mergeCell ref="D326:D327"/>
    <mergeCell ref="B299:B305"/>
    <mergeCell ref="C299:C305"/>
    <mergeCell ref="A347:A354"/>
    <mergeCell ref="A315:A321"/>
    <mergeCell ref="B347:B354"/>
    <mergeCell ref="D315:D321"/>
    <mergeCell ref="A331:A338"/>
    <mergeCell ref="D331:D338"/>
    <mergeCell ref="A326:A327"/>
    <mergeCell ref="D347:D354"/>
    <mergeCell ref="B315:B321"/>
    <mergeCell ref="B331:B338"/>
    <mergeCell ref="C347:C354"/>
    <mergeCell ref="A341:A342"/>
    <mergeCell ref="D341:D342"/>
    <mergeCell ref="A165:A168"/>
    <mergeCell ref="B165:B168"/>
    <mergeCell ref="B210:B212"/>
    <mergeCell ref="A236:A237"/>
    <mergeCell ref="A210:A212"/>
    <mergeCell ref="B294:B295"/>
    <mergeCell ref="B283:B290"/>
    <mergeCell ref="A214:A217"/>
    <mergeCell ref="C165:C168"/>
    <mergeCell ref="B173:B175"/>
    <mergeCell ref="C173:C175"/>
    <mergeCell ref="A173:A175"/>
    <mergeCell ref="D165:D168"/>
    <mergeCell ref="B219:B221"/>
    <mergeCell ref="C187:C190"/>
    <mergeCell ref="B214:B217"/>
    <mergeCell ref="D173:D175"/>
    <mergeCell ref="D187:D190"/>
    <mergeCell ref="C76:C77"/>
    <mergeCell ref="C41:C42"/>
    <mergeCell ref="C47:C48"/>
    <mergeCell ref="D58:D59"/>
    <mergeCell ref="D41:D42"/>
    <mergeCell ref="D74:D75"/>
    <mergeCell ref="C71:C73"/>
    <mergeCell ref="C74:C75"/>
    <mergeCell ref="C32:C33"/>
    <mergeCell ref="D32:D33"/>
    <mergeCell ref="D23:D24"/>
    <mergeCell ref="C115:C117"/>
    <mergeCell ref="C145:C147"/>
    <mergeCell ref="B132:B133"/>
    <mergeCell ref="D90:D91"/>
    <mergeCell ref="D98:D99"/>
    <mergeCell ref="D25:D27"/>
    <mergeCell ref="D76:D77"/>
    <mergeCell ref="D71:D73"/>
    <mergeCell ref="C120:C122"/>
    <mergeCell ref="D78:D79"/>
    <mergeCell ref="B118:B119"/>
    <mergeCell ref="D120:D122"/>
    <mergeCell ref="B233:B234"/>
    <mergeCell ref="B115:B117"/>
    <mergeCell ref="C81:C83"/>
    <mergeCell ref="D81:D83"/>
    <mergeCell ref="D95:D96"/>
    <mergeCell ref="C219:C221"/>
    <mergeCell ref="C87:C88"/>
    <mergeCell ref="A267:A273"/>
    <mergeCell ref="A100:A101"/>
    <mergeCell ref="C233:C234"/>
    <mergeCell ref="D283:D290"/>
    <mergeCell ref="D233:D234"/>
    <mergeCell ref="D219:D221"/>
    <mergeCell ref="C210:C212"/>
    <mergeCell ref="D210:D212"/>
    <mergeCell ref="C214:C217"/>
    <mergeCell ref="C283:C287"/>
  </mergeCells>
  <printOptions/>
  <pageMargins left="0.7874015748031497" right="0.7874015748031497" top="1.1811023622047245" bottom="0.1968503937007874" header="0.1968503937007874" footer="0.1968503937007874"/>
  <pageSetup fitToHeight="14" horizontalDpi="600" verticalDpi="600" orientation="landscape" paperSize="9" scale="58" r:id="rId1"/>
  <headerFooter alignWithMargins="0">
    <oddHeader>&amp;C&amp;P</oddHeader>
  </headerFooter>
  <rowBreaks count="7" manualBreakCount="7">
    <brk id="21" max="7" man="1"/>
    <brk id="52" max="7" man="1"/>
    <brk id="75" max="7" man="1"/>
    <brk id="110" max="7" man="1"/>
    <brk id="134" max="7" man="1"/>
    <brk id="167" max="7" man="1"/>
    <brk id="218" max="7" man="1"/>
  </rowBreaks>
</worksheet>
</file>

<file path=xl/worksheets/sheet2.xml><?xml version="1.0" encoding="utf-8"?>
<worksheet xmlns="http://schemas.openxmlformats.org/spreadsheetml/2006/main" xmlns:r="http://schemas.openxmlformats.org/officeDocument/2006/relationships">
  <dimension ref="A1:K380"/>
  <sheetViews>
    <sheetView view="pageBreakPreview" zoomScale="75" zoomScaleSheetLayoutView="75" zoomScalePageLayoutView="0" workbookViewId="0" topLeftCell="A1">
      <pane xSplit="3" ySplit="9" topLeftCell="D75" activePane="bottomRight" state="frozen"/>
      <selection pane="topLeft" activeCell="A1" sqref="A1"/>
      <selection pane="topRight" activeCell="D1" sqref="D1"/>
      <selection pane="bottomLeft" activeCell="A10" sqref="A10"/>
      <selection pane="bottomRight" activeCell="H73" sqref="H73"/>
    </sheetView>
  </sheetViews>
  <sheetFormatPr defaultColWidth="9.140625" defaultRowHeight="12.75"/>
  <cols>
    <col min="1" max="1" width="9.28125" style="1" customWidth="1"/>
    <col min="2" max="2" width="35.8515625" style="1" customWidth="1"/>
    <col min="3" max="3" width="62.8515625" style="1" hidden="1" customWidth="1"/>
    <col min="4" max="4" width="12.57421875" style="1" hidden="1" customWidth="1"/>
    <col min="5" max="5" width="62.7109375" style="1" customWidth="1"/>
    <col min="6" max="6" width="13.421875" style="1" hidden="1" customWidth="1"/>
    <col min="7" max="7" width="15.28125" style="1" hidden="1" customWidth="1"/>
    <col min="8" max="8" width="16.28125" style="1" customWidth="1"/>
    <col min="9" max="9" width="14.421875" style="1" customWidth="1"/>
    <col min="10" max="10" width="11.00390625" style="1" bestFit="1" customWidth="1"/>
    <col min="11" max="11" width="12.140625" style="1" bestFit="1" customWidth="1"/>
    <col min="12" max="16384" width="9.140625" style="1" customWidth="1"/>
  </cols>
  <sheetData>
    <row r="1" spans="5:7" ht="52.5" customHeight="1">
      <c r="E1" s="14" t="s">
        <v>434</v>
      </c>
      <c r="G1" s="13"/>
    </row>
    <row r="2" spans="5:7" ht="28.5" customHeight="1">
      <c r="E2" s="14" t="s">
        <v>435</v>
      </c>
      <c r="G2" s="13"/>
    </row>
    <row r="3" spans="3:7" ht="39.75" customHeight="1">
      <c r="C3" s="8"/>
      <c r="E3" s="14" t="s">
        <v>548</v>
      </c>
      <c r="G3" s="13"/>
    </row>
    <row r="5" spans="1:10" s="6" customFormat="1" ht="28.5" customHeight="1">
      <c r="A5" s="235" t="s">
        <v>578</v>
      </c>
      <c r="B5" s="235"/>
      <c r="C5" s="235"/>
      <c r="D5" s="235"/>
      <c r="E5" s="235"/>
      <c r="F5" s="235"/>
      <c r="G5" s="235"/>
      <c r="H5" s="49"/>
      <c r="J5" s="50"/>
    </row>
    <row r="6" spans="1:4" ht="5.25" customHeight="1">
      <c r="A6" s="63"/>
      <c r="B6" s="63"/>
      <c r="C6" s="63"/>
      <c r="D6" s="63"/>
    </row>
    <row r="7" spans="1:8" ht="16.5" customHeight="1">
      <c r="A7" s="63"/>
      <c r="B7" s="63"/>
      <c r="C7" s="63"/>
      <c r="D7" s="63"/>
      <c r="E7" s="63"/>
      <c r="F7" s="63"/>
      <c r="G7" s="68" t="s">
        <v>290</v>
      </c>
      <c r="H7" s="63"/>
    </row>
    <row r="8" spans="1:8" s="2" customFormat="1" ht="45.75" customHeight="1">
      <c r="A8" s="64" t="s">
        <v>259</v>
      </c>
      <c r="B8" s="227" t="s">
        <v>261</v>
      </c>
      <c r="C8" s="227" t="s">
        <v>285</v>
      </c>
      <c r="D8" s="227"/>
      <c r="E8" s="227" t="s">
        <v>288</v>
      </c>
      <c r="F8" s="227"/>
      <c r="G8" s="4" t="s">
        <v>289</v>
      </c>
      <c r="H8" s="225" t="s">
        <v>234</v>
      </c>
    </row>
    <row r="9" spans="1:8" s="2" customFormat="1" ht="57.75" customHeight="1">
      <c r="A9" s="64" t="s">
        <v>260</v>
      </c>
      <c r="B9" s="227"/>
      <c r="C9" s="4" t="s">
        <v>286</v>
      </c>
      <c r="D9" s="4" t="s">
        <v>287</v>
      </c>
      <c r="E9" s="4" t="s">
        <v>286</v>
      </c>
      <c r="F9" s="4" t="s">
        <v>287</v>
      </c>
      <c r="G9" s="4" t="s">
        <v>287</v>
      </c>
      <c r="H9" s="226"/>
    </row>
    <row r="10" spans="1:8" s="2" customFormat="1" ht="16.5" customHeight="1">
      <c r="A10" s="4">
        <v>1</v>
      </c>
      <c r="B10" s="4">
        <v>2</v>
      </c>
      <c r="C10" s="4">
        <v>3</v>
      </c>
      <c r="D10" s="4">
        <v>4</v>
      </c>
      <c r="E10" s="4">
        <v>5</v>
      </c>
      <c r="F10" s="4">
        <v>6</v>
      </c>
      <c r="G10" s="4">
        <v>7</v>
      </c>
      <c r="H10" s="4"/>
    </row>
    <row r="11" spans="1:9" s="2" customFormat="1" ht="31.5" hidden="1">
      <c r="A11" s="22" t="s">
        <v>370</v>
      </c>
      <c r="B11" s="23" t="s">
        <v>263</v>
      </c>
      <c r="C11" s="4"/>
      <c r="D11" s="24">
        <f>D13+D14+D23+D24+D26+D28+D29+D30</f>
        <v>4344270</v>
      </c>
      <c r="E11" s="4"/>
      <c r="F11" s="28">
        <f>F12+F15+F16+F20+F21+F23+F24+F26+F28+F29+F30+F14</f>
        <v>910383</v>
      </c>
      <c r="G11" s="28">
        <f>D11+F11</f>
        <v>5254653</v>
      </c>
      <c r="H11" s="71"/>
      <c r="I11" s="46"/>
    </row>
    <row r="12" spans="1:9" s="20" customFormat="1" ht="31.5" hidden="1">
      <c r="A12" s="223" t="s">
        <v>402</v>
      </c>
      <c r="B12" s="227" t="s">
        <v>403</v>
      </c>
      <c r="C12" s="4"/>
      <c r="D12" s="17"/>
      <c r="E12" s="4" t="s">
        <v>37</v>
      </c>
      <c r="F12" s="19">
        <v>253199</v>
      </c>
      <c r="G12" s="19">
        <f>D12+F12</f>
        <v>253199</v>
      </c>
      <c r="H12" s="4"/>
      <c r="I12" s="46"/>
    </row>
    <row r="13" spans="1:9" s="20" customFormat="1" ht="68.25" customHeight="1" hidden="1">
      <c r="A13" s="223"/>
      <c r="B13" s="227"/>
      <c r="C13" s="4" t="s">
        <v>6</v>
      </c>
      <c r="D13" s="17">
        <v>1315</v>
      </c>
      <c r="E13" s="4"/>
      <c r="F13" s="19"/>
      <c r="G13" s="19">
        <f aca="true" t="shared" si="0" ref="G13:G31">D13+F13</f>
        <v>1315</v>
      </c>
      <c r="H13" s="4"/>
      <c r="I13" s="46"/>
    </row>
    <row r="14" spans="1:9" s="20" customFormat="1" ht="51" customHeight="1" hidden="1">
      <c r="A14" s="223" t="s">
        <v>303</v>
      </c>
      <c r="B14" s="227" t="s">
        <v>329</v>
      </c>
      <c r="C14" s="4" t="s">
        <v>232</v>
      </c>
      <c r="D14" s="17">
        <v>480000</v>
      </c>
      <c r="E14" s="4"/>
      <c r="F14" s="9"/>
      <c r="G14" s="19">
        <f t="shared" si="0"/>
        <v>480000</v>
      </c>
      <c r="H14" s="4"/>
      <c r="I14" s="46"/>
    </row>
    <row r="15" spans="1:9" s="20" customFormat="1" ht="47.25" hidden="1">
      <c r="A15" s="223"/>
      <c r="B15" s="227"/>
      <c r="C15" s="4"/>
      <c r="D15" s="17"/>
      <c r="E15" s="35" t="s">
        <v>229</v>
      </c>
      <c r="F15" s="36">
        <v>41424</v>
      </c>
      <c r="G15" s="59">
        <f t="shared" si="0"/>
        <v>41424</v>
      </c>
      <c r="H15" s="4"/>
      <c r="I15" s="46"/>
    </row>
    <row r="16" spans="1:9" s="20" customFormat="1" ht="52.5" customHeight="1" hidden="1">
      <c r="A16" s="223" t="s">
        <v>309</v>
      </c>
      <c r="B16" s="227" t="s">
        <v>310</v>
      </c>
      <c r="C16" s="227"/>
      <c r="D16" s="17"/>
      <c r="E16" s="4" t="s">
        <v>30</v>
      </c>
      <c r="F16" s="19">
        <v>415760</v>
      </c>
      <c r="G16" s="19">
        <f t="shared" si="0"/>
        <v>415760</v>
      </c>
      <c r="H16" s="4"/>
      <c r="I16" s="46"/>
    </row>
    <row r="17" spans="1:9" s="20" customFormat="1" ht="44.25" customHeight="1" hidden="1">
      <c r="A17" s="223"/>
      <c r="B17" s="227"/>
      <c r="C17" s="227"/>
      <c r="D17" s="5"/>
      <c r="E17" s="4" t="s">
        <v>365</v>
      </c>
      <c r="F17" s="9"/>
      <c r="G17" s="19">
        <f t="shared" si="0"/>
        <v>0</v>
      </c>
      <c r="H17" s="4"/>
      <c r="I17" s="46"/>
    </row>
    <row r="18" spans="1:9" s="20" customFormat="1" ht="47.25" customHeight="1" hidden="1">
      <c r="A18" s="223"/>
      <c r="B18" s="227"/>
      <c r="C18" s="227"/>
      <c r="D18" s="5"/>
      <c r="E18" s="4" t="s">
        <v>364</v>
      </c>
      <c r="F18" s="19">
        <v>0</v>
      </c>
      <c r="G18" s="19">
        <f t="shared" si="0"/>
        <v>0</v>
      </c>
      <c r="H18" s="4"/>
      <c r="I18" s="46"/>
    </row>
    <row r="19" spans="1:9" s="20" customFormat="1" ht="15.75" hidden="1">
      <c r="A19" s="223"/>
      <c r="B19" s="227"/>
      <c r="C19" s="227"/>
      <c r="D19" s="5"/>
      <c r="E19" s="4"/>
      <c r="F19" s="19">
        <v>0</v>
      </c>
      <c r="G19" s="19">
        <f t="shared" si="0"/>
        <v>0</v>
      </c>
      <c r="H19" s="4"/>
      <c r="I19" s="46"/>
    </row>
    <row r="20" spans="1:9" s="20" customFormat="1" ht="222" customHeight="1" hidden="1">
      <c r="A20" s="18" t="s">
        <v>451</v>
      </c>
      <c r="B20" s="40" t="s">
        <v>452</v>
      </c>
      <c r="C20" s="4"/>
      <c r="D20" s="5"/>
      <c r="E20" s="4" t="s">
        <v>494</v>
      </c>
      <c r="F20" s="19"/>
      <c r="G20" s="19">
        <f t="shared" si="0"/>
        <v>0</v>
      </c>
      <c r="H20" s="4"/>
      <c r="I20" s="46"/>
    </row>
    <row r="21" spans="1:9" s="20" customFormat="1" ht="46.5" customHeight="1" hidden="1">
      <c r="A21" s="26">
        <v>240900</v>
      </c>
      <c r="B21" s="4" t="s">
        <v>330</v>
      </c>
      <c r="C21" s="16"/>
      <c r="D21" s="15"/>
      <c r="E21" s="4" t="s">
        <v>598</v>
      </c>
      <c r="F21" s="19">
        <v>200000</v>
      </c>
      <c r="G21" s="19">
        <f t="shared" si="0"/>
        <v>200000</v>
      </c>
      <c r="H21" s="4"/>
      <c r="I21" s="46"/>
    </row>
    <row r="22" spans="1:9" s="20" customFormat="1" ht="75" customHeight="1" hidden="1">
      <c r="A22" s="26">
        <v>250203</v>
      </c>
      <c r="B22" s="4" t="s">
        <v>429</v>
      </c>
      <c r="C22" s="4"/>
      <c r="D22" s="21">
        <v>0</v>
      </c>
      <c r="E22" s="4"/>
      <c r="F22" s="9"/>
      <c r="G22" s="19">
        <f t="shared" si="0"/>
        <v>0</v>
      </c>
      <c r="H22" s="4"/>
      <c r="I22" s="46"/>
    </row>
    <row r="23" spans="1:9" s="20" customFormat="1" ht="78.75" hidden="1">
      <c r="A23" s="233">
        <v>250404</v>
      </c>
      <c r="B23" s="227" t="s">
        <v>317</v>
      </c>
      <c r="C23" s="4" t="s">
        <v>0</v>
      </c>
      <c r="D23" s="21">
        <v>304955</v>
      </c>
      <c r="E23" s="9"/>
      <c r="F23" s="12"/>
      <c r="G23" s="19">
        <f t="shared" si="0"/>
        <v>304955</v>
      </c>
      <c r="H23" s="4"/>
      <c r="I23" s="46"/>
    </row>
    <row r="24" spans="1:9" s="20" customFormat="1" ht="47.25" hidden="1">
      <c r="A24" s="233"/>
      <c r="B24" s="227"/>
      <c r="C24" s="4" t="s">
        <v>601</v>
      </c>
      <c r="D24" s="17">
        <v>209200</v>
      </c>
      <c r="E24" s="4"/>
      <c r="F24" s="19">
        <v>0</v>
      </c>
      <c r="G24" s="19">
        <f t="shared" si="0"/>
        <v>209200</v>
      </c>
      <c r="H24" s="4"/>
      <c r="I24" s="46"/>
    </row>
    <row r="25" spans="1:9" s="20" customFormat="1" ht="32.25" customHeight="1" hidden="1">
      <c r="A25" s="233"/>
      <c r="B25" s="227"/>
      <c r="C25" s="4" t="s">
        <v>366</v>
      </c>
      <c r="D25" s="17">
        <v>120000</v>
      </c>
      <c r="E25" s="4" t="s">
        <v>366</v>
      </c>
      <c r="F25" s="19">
        <v>0</v>
      </c>
      <c r="G25" s="19">
        <f t="shared" si="0"/>
        <v>120000</v>
      </c>
      <c r="H25" s="4"/>
      <c r="I25" s="46"/>
    </row>
    <row r="26" spans="1:9" s="20" customFormat="1" ht="65.25" customHeight="1" hidden="1">
      <c r="A26" s="233"/>
      <c r="B26" s="227"/>
      <c r="C26" s="4" t="s">
        <v>596</v>
      </c>
      <c r="D26" s="17">
        <v>3348800</v>
      </c>
      <c r="E26" s="4"/>
      <c r="F26" s="19">
        <v>0</v>
      </c>
      <c r="G26" s="19">
        <f t="shared" si="0"/>
        <v>3348800</v>
      </c>
      <c r="H26" s="4"/>
      <c r="I26" s="46"/>
    </row>
    <row r="27" spans="1:9" s="20" customFormat="1" ht="38.25" customHeight="1" hidden="1">
      <c r="A27" s="233"/>
      <c r="B27" s="227"/>
      <c r="C27" s="4" t="s">
        <v>433</v>
      </c>
      <c r="D27" s="17">
        <v>0</v>
      </c>
      <c r="E27" s="4"/>
      <c r="F27" s="19"/>
      <c r="G27" s="19">
        <f t="shared" si="0"/>
        <v>0</v>
      </c>
      <c r="H27" s="4"/>
      <c r="I27" s="46"/>
    </row>
    <row r="28" spans="1:9" s="20" customFormat="1" ht="46.5" customHeight="1" hidden="1">
      <c r="A28" s="233"/>
      <c r="B28" s="227"/>
      <c r="C28" s="35" t="s">
        <v>504</v>
      </c>
      <c r="D28" s="38">
        <v>0</v>
      </c>
      <c r="E28" s="35"/>
      <c r="F28" s="36"/>
      <c r="G28" s="59">
        <f t="shared" si="0"/>
        <v>0</v>
      </c>
      <c r="H28" s="4"/>
      <c r="I28" s="46"/>
    </row>
    <row r="29" spans="1:9" s="20" customFormat="1" ht="62.25" customHeight="1" hidden="1">
      <c r="A29" s="233"/>
      <c r="B29" s="227"/>
      <c r="C29" s="4" t="s">
        <v>555</v>
      </c>
      <c r="D29" s="17"/>
      <c r="E29" s="35"/>
      <c r="F29" s="36"/>
      <c r="G29" s="19">
        <f t="shared" si="0"/>
        <v>0</v>
      </c>
      <c r="H29" s="4"/>
      <c r="I29" s="46"/>
    </row>
    <row r="30" spans="1:9" s="20" customFormat="1" ht="63" hidden="1">
      <c r="A30" s="233"/>
      <c r="B30" s="227"/>
      <c r="C30" s="4" t="s">
        <v>494</v>
      </c>
      <c r="D30" s="17"/>
      <c r="E30" s="4"/>
      <c r="F30" s="19"/>
      <c r="G30" s="19">
        <f t="shared" si="0"/>
        <v>0</v>
      </c>
      <c r="H30" s="4"/>
      <c r="I30" s="46"/>
    </row>
    <row r="31" spans="1:9" s="20" customFormat="1" ht="47.25">
      <c r="A31" s="22" t="s">
        <v>378</v>
      </c>
      <c r="B31" s="23" t="s">
        <v>274</v>
      </c>
      <c r="C31" s="4"/>
      <c r="D31" s="24">
        <f>D33+D34+D35+D36+D37+D40+D41+D42+D44++D46+D49+D50+D51+D54+D56+D57+D58+D59+D60+D61+D62+D63+D64+D65+D66+D71+D72+D53+D55+D52+D43</f>
        <v>51174841</v>
      </c>
      <c r="E31" s="5"/>
      <c r="F31" s="24">
        <f>F34+F35+F37+F41+F45+F46+F49+F62+F54+F66+F67+F68+F69+F70+F71+F33+F43+F61+F52+F40</f>
        <v>20937895</v>
      </c>
      <c r="G31" s="24">
        <f t="shared" si="0"/>
        <v>72112736</v>
      </c>
      <c r="H31" s="71"/>
      <c r="I31" s="46"/>
    </row>
    <row r="32" spans="1:9" s="20" customFormat="1" ht="44.25" customHeight="1" hidden="1">
      <c r="A32" s="18" t="s">
        <v>402</v>
      </c>
      <c r="B32" s="4" t="s">
        <v>403</v>
      </c>
      <c r="C32" s="4" t="s">
        <v>427</v>
      </c>
      <c r="D32" s="17"/>
      <c r="E32" s="4"/>
      <c r="F32" s="19"/>
      <c r="G32" s="9">
        <v>0</v>
      </c>
      <c r="H32" s="4"/>
      <c r="I32" s="46"/>
    </row>
    <row r="33" spans="1:9" s="20" customFormat="1" ht="66" customHeight="1" hidden="1">
      <c r="A33" s="18" t="s">
        <v>402</v>
      </c>
      <c r="B33" s="4" t="s">
        <v>403</v>
      </c>
      <c r="C33" s="4" t="s">
        <v>6</v>
      </c>
      <c r="D33" s="17">
        <v>885</v>
      </c>
      <c r="E33" s="4" t="s">
        <v>37</v>
      </c>
      <c r="F33" s="19">
        <v>14000</v>
      </c>
      <c r="G33" s="19">
        <f>D33+F33</f>
        <v>14885</v>
      </c>
      <c r="H33" s="4"/>
      <c r="I33" s="46"/>
    </row>
    <row r="34" spans="1:9" s="20" customFormat="1" ht="33" customHeight="1">
      <c r="A34" s="223" t="s">
        <v>292</v>
      </c>
      <c r="B34" s="227" t="s">
        <v>332</v>
      </c>
      <c r="C34" s="4" t="s">
        <v>69</v>
      </c>
      <c r="D34" s="17">
        <v>4567066</v>
      </c>
      <c r="E34" s="4" t="s">
        <v>50</v>
      </c>
      <c r="F34" s="19">
        <f>3158108-F35</f>
        <v>2760193</v>
      </c>
      <c r="G34" s="19">
        <f>D34+F34</f>
        <v>7327259</v>
      </c>
      <c r="H34" s="71" t="s">
        <v>235</v>
      </c>
      <c r="I34" s="46"/>
    </row>
    <row r="35" spans="1:9" s="20" customFormat="1" ht="47.25" hidden="1">
      <c r="A35" s="223"/>
      <c r="B35" s="227"/>
      <c r="C35" s="35" t="s">
        <v>229</v>
      </c>
      <c r="D35" s="38">
        <v>24450</v>
      </c>
      <c r="E35" s="35" t="s">
        <v>229</v>
      </c>
      <c r="F35" s="36">
        <v>397915</v>
      </c>
      <c r="G35" s="19">
        <f>D35+F35</f>
        <v>422365</v>
      </c>
      <c r="H35" s="4"/>
      <c r="I35" s="46"/>
    </row>
    <row r="36" spans="1:9" s="20" customFormat="1" ht="71.25" customHeight="1" hidden="1">
      <c r="A36" s="223"/>
      <c r="B36" s="227"/>
      <c r="C36" s="4" t="s">
        <v>6</v>
      </c>
      <c r="D36" s="17">
        <v>209486</v>
      </c>
      <c r="E36" s="35"/>
      <c r="F36" s="36"/>
      <c r="G36" s="19">
        <f>D36+F36</f>
        <v>209486</v>
      </c>
      <c r="H36" s="4"/>
      <c r="I36" s="46"/>
    </row>
    <row r="37" spans="1:9" s="20" customFormat="1" ht="35.25" customHeight="1">
      <c r="A37" s="223" t="s">
        <v>293</v>
      </c>
      <c r="B37" s="223" t="s">
        <v>333</v>
      </c>
      <c r="C37" s="4" t="s">
        <v>69</v>
      </c>
      <c r="D37" s="17">
        <v>6523141</v>
      </c>
      <c r="E37" s="4" t="s">
        <v>50</v>
      </c>
      <c r="F37" s="19">
        <f>5369916-F41</f>
        <v>3882915</v>
      </c>
      <c r="G37" s="19">
        <f>D37+F37</f>
        <v>10406056</v>
      </c>
      <c r="H37" s="71">
        <v>127071</v>
      </c>
      <c r="I37" s="46"/>
    </row>
    <row r="38" spans="1:9" s="20" customFormat="1" ht="32.25" customHeight="1" hidden="1">
      <c r="A38" s="223"/>
      <c r="B38" s="223"/>
      <c r="C38" s="4" t="s">
        <v>467</v>
      </c>
      <c r="D38" s="17"/>
      <c r="E38" s="4" t="s">
        <v>467</v>
      </c>
      <c r="F38" s="19"/>
      <c r="G38" s="19">
        <f aca="true" t="shared" si="1" ref="G38:G48">D38+F38</f>
        <v>0</v>
      </c>
      <c r="H38" s="4"/>
      <c r="I38" s="46"/>
    </row>
    <row r="39" spans="1:9" s="20" customFormat="1" ht="66" customHeight="1" hidden="1">
      <c r="A39" s="223"/>
      <c r="B39" s="223"/>
      <c r="C39" s="4" t="s">
        <v>467</v>
      </c>
      <c r="D39" s="17"/>
      <c r="E39" s="4" t="s">
        <v>467</v>
      </c>
      <c r="F39" s="19"/>
      <c r="G39" s="19">
        <f t="shared" si="1"/>
        <v>0</v>
      </c>
      <c r="H39" s="4"/>
      <c r="I39" s="46"/>
    </row>
    <row r="40" spans="1:9" s="20" customFormat="1" ht="35.25" customHeight="1">
      <c r="A40" s="223"/>
      <c r="B40" s="223"/>
      <c r="C40" s="4" t="s">
        <v>70</v>
      </c>
      <c r="D40" s="17">
        <v>522962</v>
      </c>
      <c r="E40" s="4" t="s">
        <v>70</v>
      </c>
      <c r="F40" s="19">
        <v>127071</v>
      </c>
      <c r="G40" s="19">
        <f t="shared" si="1"/>
        <v>650033</v>
      </c>
      <c r="H40" s="4" t="s">
        <v>235</v>
      </c>
      <c r="I40" s="46"/>
    </row>
    <row r="41" spans="1:9" s="20" customFormat="1" ht="47.25" hidden="1">
      <c r="A41" s="223"/>
      <c r="B41" s="223"/>
      <c r="C41" s="35" t="s">
        <v>229</v>
      </c>
      <c r="D41" s="38">
        <v>99122</v>
      </c>
      <c r="E41" s="35" t="s">
        <v>229</v>
      </c>
      <c r="F41" s="36">
        <v>1487001</v>
      </c>
      <c r="G41" s="19">
        <f>D41+F41</f>
        <v>1586123</v>
      </c>
      <c r="H41" s="4"/>
      <c r="I41" s="46"/>
    </row>
    <row r="42" spans="1:9" s="20" customFormat="1" ht="66" customHeight="1" hidden="1">
      <c r="A42" s="223"/>
      <c r="B42" s="223"/>
      <c r="C42" s="4" t="s">
        <v>6</v>
      </c>
      <c r="D42" s="17">
        <v>322041</v>
      </c>
      <c r="E42" s="35"/>
      <c r="F42" s="36"/>
      <c r="G42" s="19">
        <f t="shared" si="1"/>
        <v>322041</v>
      </c>
      <c r="H42" s="4"/>
      <c r="I42" s="46"/>
    </row>
    <row r="43" spans="1:9" s="20" customFormat="1" ht="35.25" customHeight="1">
      <c r="A43" s="223" t="s">
        <v>294</v>
      </c>
      <c r="B43" s="227" t="s">
        <v>334</v>
      </c>
      <c r="C43" s="4" t="s">
        <v>69</v>
      </c>
      <c r="D43" s="17">
        <v>1636</v>
      </c>
      <c r="E43" s="4" t="s">
        <v>50</v>
      </c>
      <c r="F43" s="19">
        <f>14800-F45</f>
        <v>0</v>
      </c>
      <c r="G43" s="19">
        <f t="shared" si="1"/>
        <v>1636</v>
      </c>
      <c r="H43" s="4"/>
      <c r="I43" s="46"/>
    </row>
    <row r="44" spans="1:9" s="20" customFormat="1" ht="70.5" customHeight="1" hidden="1">
      <c r="A44" s="223"/>
      <c r="B44" s="227"/>
      <c r="C44" s="4" t="s">
        <v>6</v>
      </c>
      <c r="D44" s="17">
        <v>5234</v>
      </c>
      <c r="E44" s="4"/>
      <c r="F44" s="19"/>
      <c r="G44" s="19">
        <f t="shared" si="1"/>
        <v>5234</v>
      </c>
      <c r="H44" s="4"/>
      <c r="I44" s="46"/>
    </row>
    <row r="45" spans="1:9" s="20" customFormat="1" ht="47.25" hidden="1">
      <c r="A45" s="223"/>
      <c r="B45" s="227"/>
      <c r="C45" s="4"/>
      <c r="D45" s="17"/>
      <c r="E45" s="35" t="s">
        <v>229</v>
      </c>
      <c r="F45" s="36">
        <v>14800</v>
      </c>
      <c r="G45" s="19">
        <f t="shared" si="1"/>
        <v>14800</v>
      </c>
      <c r="H45" s="71"/>
      <c r="I45" s="46"/>
    </row>
    <row r="46" spans="1:9" s="20" customFormat="1" ht="39" customHeight="1">
      <c r="A46" s="223" t="s">
        <v>251</v>
      </c>
      <c r="B46" s="227" t="s">
        <v>252</v>
      </c>
      <c r="C46" s="4" t="s">
        <v>71</v>
      </c>
      <c r="D46" s="17">
        <v>29827597</v>
      </c>
      <c r="E46" s="4" t="s">
        <v>51</v>
      </c>
      <c r="F46" s="19">
        <f>151878+393294-F49</f>
        <v>511523</v>
      </c>
      <c r="G46" s="19">
        <f t="shared" si="1"/>
        <v>30339120</v>
      </c>
      <c r="H46" s="4">
        <v>393294</v>
      </c>
      <c r="I46" s="46"/>
    </row>
    <row r="47" spans="1:9" s="20" customFormat="1" ht="46.5" customHeight="1" hidden="1">
      <c r="A47" s="223"/>
      <c r="B47" s="227"/>
      <c r="C47" s="4" t="s">
        <v>546</v>
      </c>
      <c r="D47" s="17">
        <v>0</v>
      </c>
      <c r="E47" s="4" t="s">
        <v>546</v>
      </c>
      <c r="F47" s="19">
        <v>0</v>
      </c>
      <c r="G47" s="19">
        <f t="shared" si="1"/>
        <v>0</v>
      </c>
      <c r="H47" s="4"/>
      <c r="I47" s="46"/>
    </row>
    <row r="48" spans="1:9" s="20" customFormat="1" ht="51.75" customHeight="1" hidden="1">
      <c r="A48" s="223"/>
      <c r="B48" s="227"/>
      <c r="C48" s="4"/>
      <c r="D48" s="21">
        <v>0</v>
      </c>
      <c r="E48" s="26"/>
      <c r="F48" s="16"/>
      <c r="G48" s="19">
        <f t="shared" si="1"/>
        <v>0</v>
      </c>
      <c r="H48" s="4"/>
      <c r="I48" s="46"/>
    </row>
    <row r="49" spans="1:9" s="20" customFormat="1" ht="47.25" hidden="1">
      <c r="A49" s="223"/>
      <c r="B49" s="227"/>
      <c r="C49" s="35" t="s">
        <v>229</v>
      </c>
      <c r="D49" s="36">
        <v>5000</v>
      </c>
      <c r="E49" s="35" t="s">
        <v>229</v>
      </c>
      <c r="F49" s="36">
        <v>33649</v>
      </c>
      <c r="G49" s="19">
        <f>D49+F49</f>
        <v>38649</v>
      </c>
      <c r="H49" s="4"/>
      <c r="I49" s="46"/>
    </row>
    <row r="50" spans="1:9" s="20" customFormat="1" ht="66.75" customHeight="1" hidden="1">
      <c r="A50" s="223"/>
      <c r="B50" s="227"/>
      <c r="C50" s="4" t="s">
        <v>6</v>
      </c>
      <c r="D50" s="19">
        <v>38395</v>
      </c>
      <c r="E50" s="35"/>
      <c r="F50" s="36"/>
      <c r="G50" s="19">
        <f aca="true" t="shared" si="2" ref="G50:G70">D50+F50</f>
        <v>38395</v>
      </c>
      <c r="H50" s="4"/>
      <c r="I50" s="46"/>
    </row>
    <row r="51" spans="1:9" s="20" customFormat="1" ht="63.75" customHeight="1" hidden="1">
      <c r="A51" s="18" t="s">
        <v>517</v>
      </c>
      <c r="B51" s="4" t="s">
        <v>516</v>
      </c>
      <c r="C51" s="4" t="s">
        <v>6</v>
      </c>
      <c r="D51" s="19">
        <v>2108</v>
      </c>
      <c r="E51" s="35"/>
      <c r="F51" s="36"/>
      <c r="G51" s="19">
        <f t="shared" si="2"/>
        <v>2108</v>
      </c>
      <c r="H51" s="4"/>
      <c r="I51" s="46"/>
    </row>
    <row r="52" spans="1:9" s="20" customFormat="1" ht="48" customHeight="1">
      <c r="A52" s="221" t="s">
        <v>8</v>
      </c>
      <c r="B52" s="225" t="s">
        <v>40</v>
      </c>
      <c r="C52" s="4" t="s">
        <v>69</v>
      </c>
      <c r="D52" s="19">
        <v>30000</v>
      </c>
      <c r="E52" s="4" t="s">
        <v>50</v>
      </c>
      <c r="F52" s="19">
        <v>400000</v>
      </c>
      <c r="G52" s="19">
        <f>D52+F52</f>
        <v>430000</v>
      </c>
      <c r="H52" s="4" t="s">
        <v>235</v>
      </c>
      <c r="I52" s="46"/>
    </row>
    <row r="53" spans="1:9" s="20" customFormat="1" ht="63.75" customHeight="1" hidden="1">
      <c r="A53" s="222"/>
      <c r="B53" s="226"/>
      <c r="C53" s="4" t="s">
        <v>6</v>
      </c>
      <c r="D53" s="19">
        <v>1684</v>
      </c>
      <c r="E53" s="4"/>
      <c r="F53" s="19"/>
      <c r="G53" s="19">
        <f>D53+F53</f>
        <v>1684</v>
      </c>
      <c r="H53" s="4"/>
      <c r="I53" s="46"/>
    </row>
    <row r="54" spans="1:9" s="51" customFormat="1" ht="37.5" customHeight="1">
      <c r="A54" s="221" t="s">
        <v>524</v>
      </c>
      <c r="B54" s="225" t="s">
        <v>525</v>
      </c>
      <c r="C54" s="4" t="s">
        <v>69</v>
      </c>
      <c r="D54" s="19">
        <v>60000</v>
      </c>
      <c r="E54" s="4" t="s">
        <v>50</v>
      </c>
      <c r="F54" s="19">
        <v>94430</v>
      </c>
      <c r="G54" s="19">
        <f t="shared" si="2"/>
        <v>154430</v>
      </c>
      <c r="H54" s="71" t="s">
        <v>235</v>
      </c>
      <c r="I54" s="52"/>
    </row>
    <row r="55" spans="1:9" s="51" customFormat="1" ht="46.5" customHeight="1" hidden="1">
      <c r="A55" s="222"/>
      <c r="B55" s="226"/>
      <c r="C55" s="4" t="s">
        <v>6</v>
      </c>
      <c r="D55" s="19">
        <v>10998</v>
      </c>
      <c r="E55" s="4"/>
      <c r="F55" s="19"/>
      <c r="G55" s="19">
        <f>D55</f>
        <v>10998</v>
      </c>
      <c r="H55" s="71"/>
      <c r="I55" s="52"/>
    </row>
    <row r="56" spans="1:9" s="20" customFormat="1" ht="60.75" customHeight="1" hidden="1">
      <c r="A56" s="18" t="s">
        <v>518</v>
      </c>
      <c r="B56" s="4" t="s">
        <v>519</v>
      </c>
      <c r="C56" s="4" t="s">
        <v>6</v>
      </c>
      <c r="D56" s="19">
        <v>8769</v>
      </c>
      <c r="E56" s="35"/>
      <c r="F56" s="36"/>
      <c r="G56" s="19">
        <f t="shared" si="2"/>
        <v>8769</v>
      </c>
      <c r="H56" s="4"/>
      <c r="I56" s="46"/>
    </row>
    <row r="57" spans="1:9" s="20" customFormat="1" ht="47.25" hidden="1">
      <c r="A57" s="25" t="s">
        <v>306</v>
      </c>
      <c r="B57" s="4" t="s">
        <v>253</v>
      </c>
      <c r="C57" s="4" t="s">
        <v>74</v>
      </c>
      <c r="D57" s="21">
        <v>463467</v>
      </c>
      <c r="E57" s="4"/>
      <c r="F57" s="16"/>
      <c r="G57" s="19">
        <f t="shared" si="2"/>
        <v>463467</v>
      </c>
      <c r="H57" s="4"/>
      <c r="I57" s="46"/>
    </row>
    <row r="58" spans="1:9" s="20" customFormat="1" ht="95.25" customHeight="1" hidden="1">
      <c r="A58" s="18" t="s">
        <v>295</v>
      </c>
      <c r="B58" s="4" t="s">
        <v>328</v>
      </c>
      <c r="C58" s="4" t="s">
        <v>72</v>
      </c>
      <c r="D58" s="17">
        <v>4377290</v>
      </c>
      <c r="E58" s="4"/>
      <c r="F58" s="9"/>
      <c r="G58" s="19">
        <f t="shared" si="2"/>
        <v>4377290</v>
      </c>
      <c r="H58" s="4"/>
      <c r="I58" s="46"/>
    </row>
    <row r="59" spans="1:9" s="20" customFormat="1" ht="35.25" customHeight="1" hidden="1">
      <c r="A59" s="18" t="s">
        <v>394</v>
      </c>
      <c r="B59" s="4" t="s">
        <v>395</v>
      </c>
      <c r="C59" s="4" t="s">
        <v>73</v>
      </c>
      <c r="D59" s="17">
        <v>199559</v>
      </c>
      <c r="E59" s="4"/>
      <c r="F59" s="9"/>
      <c r="G59" s="19">
        <f t="shared" si="2"/>
        <v>199559</v>
      </c>
      <c r="H59" s="4"/>
      <c r="I59" s="46"/>
    </row>
    <row r="60" spans="1:9" s="20" customFormat="1" ht="47.25" hidden="1">
      <c r="A60" s="18" t="s">
        <v>478</v>
      </c>
      <c r="B60" s="4" t="s">
        <v>479</v>
      </c>
      <c r="C60" s="4" t="s">
        <v>73</v>
      </c>
      <c r="D60" s="17">
        <v>99067</v>
      </c>
      <c r="E60" s="4"/>
      <c r="F60" s="19"/>
      <c r="G60" s="19">
        <f t="shared" si="2"/>
        <v>99067</v>
      </c>
      <c r="H60" s="4"/>
      <c r="I60" s="46"/>
    </row>
    <row r="61" spans="1:9" s="20" customFormat="1" ht="31.5" customHeight="1">
      <c r="A61" s="223" t="s">
        <v>335</v>
      </c>
      <c r="B61" s="227" t="s">
        <v>428</v>
      </c>
      <c r="C61" s="4" t="s">
        <v>73</v>
      </c>
      <c r="D61" s="17">
        <v>447580</v>
      </c>
      <c r="E61" s="4" t="s">
        <v>52</v>
      </c>
      <c r="F61" s="19">
        <f>39500-F62</f>
        <v>0</v>
      </c>
      <c r="G61" s="19">
        <f t="shared" si="2"/>
        <v>447580</v>
      </c>
      <c r="H61" s="4" t="s">
        <v>235</v>
      </c>
      <c r="I61" s="46"/>
    </row>
    <row r="62" spans="1:9" s="20" customFormat="1" ht="47.25" hidden="1">
      <c r="A62" s="223"/>
      <c r="B62" s="227"/>
      <c r="C62" s="35" t="s">
        <v>229</v>
      </c>
      <c r="D62" s="36">
        <v>1000</v>
      </c>
      <c r="E62" s="35" t="s">
        <v>229</v>
      </c>
      <c r="F62" s="36">
        <v>39500</v>
      </c>
      <c r="G62" s="19">
        <f t="shared" si="2"/>
        <v>40500</v>
      </c>
      <c r="H62" s="71"/>
      <c r="I62" s="46"/>
    </row>
    <row r="63" spans="1:9" s="20" customFormat="1" ht="65.25" customHeight="1" hidden="1">
      <c r="A63" s="223"/>
      <c r="B63" s="227"/>
      <c r="C63" s="4" t="s">
        <v>6</v>
      </c>
      <c r="D63" s="19">
        <v>23788</v>
      </c>
      <c r="E63" s="35"/>
      <c r="F63" s="36"/>
      <c r="G63" s="19">
        <f t="shared" si="2"/>
        <v>23788</v>
      </c>
      <c r="H63" s="4"/>
      <c r="I63" s="46"/>
    </row>
    <row r="64" spans="1:9" s="20" customFormat="1" ht="47.25" hidden="1">
      <c r="A64" s="18" t="s">
        <v>392</v>
      </c>
      <c r="B64" s="4" t="s">
        <v>393</v>
      </c>
      <c r="C64" s="4" t="s">
        <v>222</v>
      </c>
      <c r="D64" s="17">
        <v>733099</v>
      </c>
      <c r="E64" s="4"/>
      <c r="F64" s="19"/>
      <c r="G64" s="19">
        <f t="shared" si="2"/>
        <v>733099</v>
      </c>
      <c r="H64" s="4"/>
      <c r="I64" s="46"/>
    </row>
    <row r="65" spans="1:9" s="20" customFormat="1" ht="63" hidden="1">
      <c r="A65" s="233">
        <v>130112</v>
      </c>
      <c r="B65" s="227" t="s">
        <v>317</v>
      </c>
      <c r="C65" s="4" t="s">
        <v>6</v>
      </c>
      <c r="D65" s="17">
        <v>1046</v>
      </c>
      <c r="E65" s="4"/>
      <c r="F65" s="19"/>
      <c r="G65" s="19">
        <f t="shared" si="2"/>
        <v>1046</v>
      </c>
      <c r="H65" s="4"/>
      <c r="I65" s="46"/>
    </row>
    <row r="66" spans="1:9" s="20" customFormat="1" ht="37.5" customHeight="1">
      <c r="A66" s="233"/>
      <c r="B66" s="227"/>
      <c r="C66" s="4" t="s">
        <v>223</v>
      </c>
      <c r="D66" s="21">
        <v>453294</v>
      </c>
      <c r="E66" s="4" t="s">
        <v>223</v>
      </c>
      <c r="F66" s="12">
        <v>42880</v>
      </c>
      <c r="G66" s="19">
        <f t="shared" si="2"/>
        <v>496174</v>
      </c>
      <c r="H66" s="71">
        <v>42880</v>
      </c>
      <c r="I66" s="46"/>
    </row>
    <row r="67" spans="1:9" s="20" customFormat="1" ht="31.5" hidden="1">
      <c r="A67" s="223" t="s">
        <v>309</v>
      </c>
      <c r="B67" s="227" t="s">
        <v>310</v>
      </c>
      <c r="C67" s="4"/>
      <c r="D67" s="5"/>
      <c r="E67" s="4" t="s">
        <v>53</v>
      </c>
      <c r="F67" s="12">
        <v>8667311</v>
      </c>
      <c r="G67" s="19">
        <f t="shared" si="2"/>
        <v>8667311</v>
      </c>
      <c r="H67" s="71"/>
      <c r="I67" s="46"/>
    </row>
    <row r="68" spans="1:9" s="20" customFormat="1" ht="31.5" hidden="1">
      <c r="A68" s="223"/>
      <c r="B68" s="227"/>
      <c r="C68" s="4"/>
      <c r="D68" s="5"/>
      <c r="E68" s="4" t="s">
        <v>54</v>
      </c>
      <c r="F68" s="12">
        <v>1248451</v>
      </c>
      <c r="G68" s="19">
        <f t="shared" si="2"/>
        <v>1248451</v>
      </c>
      <c r="H68" s="4"/>
      <c r="I68" s="46"/>
    </row>
    <row r="69" spans="1:9" s="20" customFormat="1" ht="31.5" hidden="1">
      <c r="A69" s="223"/>
      <c r="B69" s="227"/>
      <c r="C69" s="4"/>
      <c r="D69" s="5"/>
      <c r="E69" s="4" t="s">
        <v>55</v>
      </c>
      <c r="F69" s="12">
        <v>1065845</v>
      </c>
      <c r="G69" s="19">
        <f t="shared" si="2"/>
        <v>1065845</v>
      </c>
      <c r="H69" s="4"/>
      <c r="I69" s="46"/>
    </row>
    <row r="70" spans="1:9" s="20" customFormat="1" ht="31.5" hidden="1">
      <c r="A70" s="4">
        <v>240601</v>
      </c>
      <c r="B70" s="4" t="s">
        <v>331</v>
      </c>
      <c r="C70" s="4"/>
      <c r="D70" s="5"/>
      <c r="E70" s="4" t="s">
        <v>591</v>
      </c>
      <c r="F70" s="17">
        <v>119053</v>
      </c>
      <c r="G70" s="19">
        <f t="shared" si="2"/>
        <v>119053</v>
      </c>
      <c r="H70" s="71"/>
      <c r="I70" s="46"/>
    </row>
    <row r="71" spans="1:9" s="20" customFormat="1" ht="77.25" customHeight="1" hidden="1">
      <c r="A71" s="25" t="s">
        <v>249</v>
      </c>
      <c r="B71" s="4" t="s">
        <v>250</v>
      </c>
      <c r="C71" s="225" t="s">
        <v>49</v>
      </c>
      <c r="D71" s="15">
        <v>2065077</v>
      </c>
      <c r="E71" s="4" t="s">
        <v>49</v>
      </c>
      <c r="F71" s="16">
        <v>31358</v>
      </c>
      <c r="G71" s="19">
        <f>D71+F71</f>
        <v>2096435</v>
      </c>
      <c r="H71" s="4"/>
      <c r="I71" s="46"/>
    </row>
    <row r="72" spans="1:9" s="20" customFormat="1" ht="94.5" hidden="1">
      <c r="A72" s="25" t="s">
        <v>543</v>
      </c>
      <c r="B72" s="4" t="s">
        <v>544</v>
      </c>
      <c r="C72" s="226"/>
      <c r="D72" s="15">
        <v>50000</v>
      </c>
      <c r="E72" s="4"/>
      <c r="F72" s="16"/>
      <c r="G72" s="19">
        <f>D72+F72</f>
        <v>50000</v>
      </c>
      <c r="H72" s="4"/>
      <c r="I72" s="46"/>
    </row>
    <row r="73" spans="1:9" s="20" customFormat="1" ht="46.5" customHeight="1">
      <c r="A73" s="22" t="s">
        <v>379</v>
      </c>
      <c r="B73" s="23" t="s">
        <v>275</v>
      </c>
      <c r="C73" s="4"/>
      <c r="D73" s="24">
        <f>D75+D76+D77+D78+D79+D80+D81+D82+D83+D84+D86+D85+D88+D89+D91+D93+D74+D90</f>
        <v>12844390</v>
      </c>
      <c r="E73" s="5"/>
      <c r="F73" s="24">
        <f>F75+F76+F78+F80+F81+F83+F84+F86+F87+F89+F94+F74+F92</f>
        <v>23146713</v>
      </c>
      <c r="G73" s="28">
        <f>D73+F73</f>
        <v>35991103</v>
      </c>
      <c r="H73" s="71"/>
      <c r="I73" s="46"/>
    </row>
    <row r="74" spans="1:9" s="20" customFormat="1" ht="49.5" customHeight="1" hidden="1">
      <c r="A74" s="18" t="s">
        <v>402</v>
      </c>
      <c r="B74" s="4" t="s">
        <v>403</v>
      </c>
      <c r="C74" s="4" t="s">
        <v>7</v>
      </c>
      <c r="D74" s="17">
        <v>2829</v>
      </c>
      <c r="E74" s="4" t="s">
        <v>37</v>
      </c>
      <c r="F74" s="19">
        <v>7000</v>
      </c>
      <c r="G74" s="19">
        <f>D74+F74</f>
        <v>9829</v>
      </c>
      <c r="H74" s="4"/>
      <c r="I74" s="46"/>
    </row>
    <row r="75" spans="1:9" s="20" customFormat="1" ht="52.5" customHeight="1">
      <c r="A75" s="223" t="s">
        <v>297</v>
      </c>
      <c r="B75" s="227" t="s">
        <v>244</v>
      </c>
      <c r="C75" s="4" t="s">
        <v>533</v>
      </c>
      <c r="D75" s="17">
        <v>0</v>
      </c>
      <c r="E75" s="4" t="s">
        <v>533</v>
      </c>
      <c r="F75" s="19">
        <v>4059683</v>
      </c>
      <c r="G75" s="19">
        <f>D75+F75</f>
        <v>4059683</v>
      </c>
      <c r="H75" s="71">
        <v>299733</v>
      </c>
      <c r="I75" s="46"/>
    </row>
    <row r="76" spans="1:9" s="20" customFormat="1" ht="51.75" customHeight="1" hidden="1">
      <c r="A76" s="223"/>
      <c r="B76" s="227"/>
      <c r="C76" s="4"/>
      <c r="D76" s="17">
        <v>0</v>
      </c>
      <c r="E76" s="4"/>
      <c r="F76" s="19">
        <v>0</v>
      </c>
      <c r="G76" s="19">
        <f aca="true" t="shared" si="3" ref="G76:G94">D76+F76</f>
        <v>0</v>
      </c>
      <c r="H76" s="4"/>
      <c r="I76" s="46"/>
    </row>
    <row r="77" spans="1:9" s="20" customFormat="1" ht="54.75" customHeight="1" hidden="1">
      <c r="A77" s="223"/>
      <c r="B77" s="227"/>
      <c r="C77" s="4" t="s">
        <v>534</v>
      </c>
      <c r="D77" s="17">
        <v>406050</v>
      </c>
      <c r="E77" s="4"/>
      <c r="F77" s="19"/>
      <c r="G77" s="19">
        <f t="shared" si="3"/>
        <v>406050</v>
      </c>
      <c r="H77" s="4"/>
      <c r="I77" s="46"/>
    </row>
    <row r="78" spans="1:9" s="20" customFormat="1" ht="47.25" hidden="1">
      <c r="A78" s="223"/>
      <c r="B78" s="227"/>
      <c r="C78" s="35" t="s">
        <v>229</v>
      </c>
      <c r="D78" s="38">
        <v>38750</v>
      </c>
      <c r="E78" s="35" t="s">
        <v>229</v>
      </c>
      <c r="F78" s="36">
        <v>473495</v>
      </c>
      <c r="G78" s="19">
        <f t="shared" si="3"/>
        <v>512245</v>
      </c>
      <c r="H78" s="4"/>
      <c r="I78" s="46"/>
    </row>
    <row r="79" spans="1:9" s="20" customFormat="1" ht="63" hidden="1">
      <c r="A79" s="223"/>
      <c r="B79" s="227"/>
      <c r="C79" s="4" t="s">
        <v>7</v>
      </c>
      <c r="D79" s="17">
        <v>9003</v>
      </c>
      <c r="E79" s="35"/>
      <c r="F79" s="36"/>
      <c r="G79" s="19">
        <f t="shared" si="3"/>
        <v>9003</v>
      </c>
      <c r="H79" s="4"/>
      <c r="I79" s="46"/>
    </row>
    <row r="80" spans="1:9" s="20" customFormat="1" ht="50.25" customHeight="1">
      <c r="A80" s="223" t="s">
        <v>336</v>
      </c>
      <c r="B80" s="227" t="s">
        <v>469</v>
      </c>
      <c r="C80" s="4" t="s">
        <v>533</v>
      </c>
      <c r="D80" s="17">
        <v>0</v>
      </c>
      <c r="E80" s="4" t="s">
        <v>533</v>
      </c>
      <c r="F80" s="19">
        <v>699466</v>
      </c>
      <c r="G80" s="19">
        <f t="shared" si="3"/>
        <v>699466</v>
      </c>
      <c r="H80" s="71" t="s">
        <v>235</v>
      </c>
      <c r="I80" s="46"/>
    </row>
    <row r="81" spans="1:9" s="20" customFormat="1" ht="47.25" hidden="1">
      <c r="A81" s="223"/>
      <c r="B81" s="227"/>
      <c r="C81" s="35" t="s">
        <v>229</v>
      </c>
      <c r="D81" s="36">
        <v>0</v>
      </c>
      <c r="E81" s="35" t="s">
        <v>229</v>
      </c>
      <c r="F81" s="36">
        <v>96920</v>
      </c>
      <c r="G81" s="19">
        <f t="shared" si="3"/>
        <v>96920</v>
      </c>
      <c r="H81" s="4"/>
      <c r="I81" s="46"/>
    </row>
    <row r="82" spans="1:9" s="20" customFormat="1" ht="15.75" hidden="1">
      <c r="A82" s="223"/>
      <c r="B82" s="227"/>
      <c r="C82" s="4"/>
      <c r="D82" s="19">
        <v>0</v>
      </c>
      <c r="E82" s="35"/>
      <c r="F82" s="36"/>
      <c r="G82" s="19">
        <f t="shared" si="3"/>
        <v>0</v>
      </c>
      <c r="H82" s="4"/>
      <c r="I82" s="46"/>
    </row>
    <row r="83" spans="1:9" s="20" customFormat="1" ht="47.25">
      <c r="A83" s="223" t="s">
        <v>298</v>
      </c>
      <c r="B83" s="227" t="s">
        <v>245</v>
      </c>
      <c r="C83" s="4" t="s">
        <v>533</v>
      </c>
      <c r="D83" s="17">
        <v>0</v>
      </c>
      <c r="E83" s="4" t="s">
        <v>533</v>
      </c>
      <c r="F83" s="19">
        <v>668216</v>
      </c>
      <c r="G83" s="19">
        <f t="shared" si="3"/>
        <v>668216</v>
      </c>
      <c r="H83" s="71" t="s">
        <v>235</v>
      </c>
      <c r="I83" s="46"/>
    </row>
    <row r="84" spans="1:9" s="20" customFormat="1" ht="47.25" hidden="1">
      <c r="A84" s="223"/>
      <c r="B84" s="227"/>
      <c r="C84" s="35" t="s">
        <v>229</v>
      </c>
      <c r="D84" s="36">
        <v>28156</v>
      </c>
      <c r="E84" s="35" t="s">
        <v>229</v>
      </c>
      <c r="F84" s="36">
        <v>10000</v>
      </c>
      <c r="G84" s="19">
        <f t="shared" si="3"/>
        <v>38156</v>
      </c>
      <c r="H84" s="4"/>
      <c r="I84" s="46"/>
    </row>
    <row r="85" spans="1:9" s="20" customFormat="1" ht="15.75" hidden="1">
      <c r="A85" s="223"/>
      <c r="B85" s="227"/>
      <c r="C85" s="4"/>
      <c r="D85" s="19">
        <v>0</v>
      </c>
      <c r="E85" s="35"/>
      <c r="F85" s="36"/>
      <c r="G85" s="19">
        <f t="shared" si="3"/>
        <v>0</v>
      </c>
      <c r="H85" s="4"/>
      <c r="I85" s="46"/>
    </row>
    <row r="86" spans="1:9" s="20" customFormat="1" ht="47.25" customHeight="1">
      <c r="A86" s="223" t="s">
        <v>299</v>
      </c>
      <c r="B86" s="227" t="s">
        <v>246</v>
      </c>
      <c r="C86" s="4" t="s">
        <v>533</v>
      </c>
      <c r="D86" s="17">
        <v>0</v>
      </c>
      <c r="E86" s="4" t="s">
        <v>533</v>
      </c>
      <c r="F86" s="19">
        <v>6000</v>
      </c>
      <c r="G86" s="19">
        <f t="shared" si="3"/>
        <v>6000</v>
      </c>
      <c r="H86" s="71">
        <v>265928</v>
      </c>
      <c r="I86" s="46"/>
    </row>
    <row r="87" spans="1:9" s="20" customFormat="1" ht="47.25" hidden="1">
      <c r="A87" s="223"/>
      <c r="B87" s="227"/>
      <c r="C87" s="4"/>
      <c r="D87" s="17"/>
      <c r="E87" s="35" t="s">
        <v>229</v>
      </c>
      <c r="F87" s="36">
        <v>6000</v>
      </c>
      <c r="G87" s="19">
        <f t="shared" si="3"/>
        <v>6000</v>
      </c>
      <c r="H87" s="4"/>
      <c r="I87" s="46"/>
    </row>
    <row r="88" spans="1:9" s="20" customFormat="1" ht="66" customHeight="1" hidden="1">
      <c r="A88" s="223"/>
      <c r="B88" s="227"/>
      <c r="C88" s="4"/>
      <c r="D88" s="17">
        <v>0</v>
      </c>
      <c r="E88" s="35"/>
      <c r="F88" s="36"/>
      <c r="G88" s="19">
        <f t="shared" si="3"/>
        <v>0</v>
      </c>
      <c r="H88" s="4"/>
      <c r="I88" s="46"/>
    </row>
    <row r="89" spans="1:9" s="53" customFormat="1" ht="50.25" customHeight="1">
      <c r="A89" s="221" t="s">
        <v>526</v>
      </c>
      <c r="B89" s="225" t="s">
        <v>527</v>
      </c>
      <c r="C89" s="4" t="s">
        <v>533</v>
      </c>
      <c r="D89" s="17">
        <v>0</v>
      </c>
      <c r="E89" s="4" t="s">
        <v>533</v>
      </c>
      <c r="F89" s="19">
        <v>5905334</v>
      </c>
      <c r="G89" s="19">
        <f t="shared" si="3"/>
        <v>5905334</v>
      </c>
      <c r="H89" s="71">
        <v>19555</v>
      </c>
      <c r="I89" s="46"/>
    </row>
    <row r="90" spans="1:9" s="53" customFormat="1" ht="60" customHeight="1" hidden="1">
      <c r="A90" s="222"/>
      <c r="B90" s="226"/>
      <c r="C90" s="4" t="s">
        <v>7</v>
      </c>
      <c r="D90" s="17">
        <v>4380</v>
      </c>
      <c r="E90" s="4"/>
      <c r="F90" s="19"/>
      <c r="G90" s="19">
        <f>D90+F90</f>
        <v>4380</v>
      </c>
      <c r="H90" s="71"/>
      <c r="I90" s="46"/>
    </row>
    <row r="91" spans="1:9" s="20" customFormat="1" ht="47.25" hidden="1">
      <c r="A91" s="18" t="s">
        <v>337</v>
      </c>
      <c r="B91" s="4" t="s">
        <v>338</v>
      </c>
      <c r="C91" s="4" t="s">
        <v>482</v>
      </c>
      <c r="D91" s="17">
        <v>9209185</v>
      </c>
      <c r="E91" s="4"/>
      <c r="F91" s="9"/>
      <c r="G91" s="19">
        <f t="shared" si="3"/>
        <v>9209185</v>
      </c>
      <c r="H91" s="4"/>
      <c r="I91" s="46"/>
    </row>
    <row r="92" spans="1:9" s="20" customFormat="1" ht="63.75" customHeight="1" hidden="1">
      <c r="A92" s="18" t="s">
        <v>39</v>
      </c>
      <c r="B92" s="4" t="s">
        <v>40</v>
      </c>
      <c r="C92" s="4"/>
      <c r="D92" s="17"/>
      <c r="E92" s="4" t="s">
        <v>38</v>
      </c>
      <c r="F92" s="19">
        <v>35000</v>
      </c>
      <c r="G92" s="19">
        <f t="shared" si="3"/>
        <v>35000</v>
      </c>
      <c r="H92" s="4"/>
      <c r="I92" s="46"/>
    </row>
    <row r="93" spans="1:9" s="20" customFormat="1" ht="46.5" customHeight="1" hidden="1">
      <c r="A93" s="18" t="s">
        <v>301</v>
      </c>
      <c r="B93" s="4" t="s">
        <v>470</v>
      </c>
      <c r="C93" s="4" t="s">
        <v>231</v>
      </c>
      <c r="D93" s="17">
        <v>3146037</v>
      </c>
      <c r="E93" s="4"/>
      <c r="F93" s="9"/>
      <c r="G93" s="19">
        <f t="shared" si="3"/>
        <v>3146037</v>
      </c>
      <c r="H93" s="4"/>
      <c r="I93" s="46"/>
    </row>
    <row r="94" spans="1:9" s="20" customFormat="1" ht="52.5" customHeight="1" hidden="1">
      <c r="A94" s="18" t="s">
        <v>309</v>
      </c>
      <c r="B94" s="4" t="s">
        <v>310</v>
      </c>
      <c r="C94" s="4"/>
      <c r="D94" s="5"/>
      <c r="E94" s="4" t="s">
        <v>38</v>
      </c>
      <c r="F94" s="19">
        <v>11179599</v>
      </c>
      <c r="G94" s="19">
        <f t="shared" si="3"/>
        <v>11179599</v>
      </c>
      <c r="H94" s="71"/>
      <c r="I94" s="46"/>
    </row>
    <row r="95" spans="1:9" s="20" customFormat="1" ht="36" customHeight="1" hidden="1">
      <c r="A95" s="223" t="s">
        <v>296</v>
      </c>
      <c r="B95" s="227" t="s">
        <v>330</v>
      </c>
      <c r="C95" s="4"/>
      <c r="D95" s="5"/>
      <c r="E95" s="4" t="s">
        <v>367</v>
      </c>
      <c r="F95" s="12"/>
      <c r="G95" s="9">
        <v>0</v>
      </c>
      <c r="H95" s="4"/>
      <c r="I95" s="46"/>
    </row>
    <row r="96" spans="1:9" s="20" customFormat="1" ht="33" customHeight="1" hidden="1">
      <c r="A96" s="223"/>
      <c r="B96" s="227"/>
      <c r="C96" s="4"/>
      <c r="D96" s="5"/>
      <c r="E96" s="4" t="s">
        <v>368</v>
      </c>
      <c r="F96" s="12"/>
      <c r="G96" s="9">
        <v>0</v>
      </c>
      <c r="H96" s="4"/>
      <c r="I96" s="46"/>
    </row>
    <row r="97" spans="1:9" s="20" customFormat="1" ht="49.5" customHeight="1" hidden="1">
      <c r="A97" s="22" t="s">
        <v>380</v>
      </c>
      <c r="B97" s="23" t="s">
        <v>276</v>
      </c>
      <c r="C97" s="4"/>
      <c r="D97" s="28">
        <f>D100+D103+D105+D106+D108+D109+D110+D111+D112+D113+D117+D119+D120+D101</f>
        <v>13820054</v>
      </c>
      <c r="E97" s="9"/>
      <c r="F97" s="28">
        <f>F98+F101+F105+F106+F108+F111+F114+F115</f>
        <v>4962683</v>
      </c>
      <c r="G97" s="28">
        <f>D97+F97</f>
        <v>18782737</v>
      </c>
      <c r="H97" s="71"/>
      <c r="I97" s="46"/>
    </row>
    <row r="98" spans="1:9" s="20" customFormat="1" ht="31.5" hidden="1">
      <c r="A98" s="223" t="s">
        <v>402</v>
      </c>
      <c r="B98" s="227" t="s">
        <v>403</v>
      </c>
      <c r="C98" s="4"/>
      <c r="D98" s="19"/>
      <c r="E98" s="4" t="s">
        <v>37</v>
      </c>
      <c r="F98" s="19">
        <v>523900</v>
      </c>
      <c r="G98" s="19">
        <f>D98+F98</f>
        <v>523900</v>
      </c>
      <c r="H98" s="4"/>
      <c r="I98" s="46"/>
    </row>
    <row r="99" spans="1:9" s="20" customFormat="1" ht="96.75" customHeight="1" hidden="1">
      <c r="A99" s="223"/>
      <c r="B99" s="227"/>
      <c r="C99" s="4" t="s">
        <v>468</v>
      </c>
      <c r="D99" s="17">
        <v>0</v>
      </c>
      <c r="E99" s="4"/>
      <c r="F99" s="9"/>
      <c r="G99" s="19">
        <f aca="true" t="shared" si="4" ref="G99:G120">D99+F99</f>
        <v>0</v>
      </c>
      <c r="H99" s="4"/>
      <c r="I99" s="46"/>
    </row>
    <row r="100" spans="1:9" s="20" customFormat="1" ht="64.5" customHeight="1" hidden="1">
      <c r="A100" s="223"/>
      <c r="B100" s="227"/>
      <c r="C100" s="4" t="s">
        <v>7</v>
      </c>
      <c r="D100" s="19">
        <v>5519</v>
      </c>
      <c r="E100" s="4"/>
      <c r="F100" s="9"/>
      <c r="G100" s="19">
        <f t="shared" si="4"/>
        <v>5519</v>
      </c>
      <c r="H100" s="4"/>
      <c r="I100" s="46"/>
    </row>
    <row r="101" spans="1:9" s="20" customFormat="1" ht="51.75" customHeight="1" hidden="1">
      <c r="A101" s="223" t="s">
        <v>304</v>
      </c>
      <c r="B101" s="227" t="s">
        <v>474</v>
      </c>
      <c r="C101" s="4" t="s">
        <v>7</v>
      </c>
      <c r="D101" s="19">
        <v>239</v>
      </c>
      <c r="E101" s="4" t="s">
        <v>56</v>
      </c>
      <c r="F101" s="19">
        <v>119850</v>
      </c>
      <c r="G101" s="19">
        <f t="shared" si="4"/>
        <v>120089</v>
      </c>
      <c r="H101" s="4"/>
      <c r="I101" s="46"/>
    </row>
    <row r="102" spans="1:9" s="20" customFormat="1" ht="63" hidden="1">
      <c r="A102" s="223"/>
      <c r="B102" s="227"/>
      <c r="C102" s="4" t="s">
        <v>523</v>
      </c>
      <c r="D102" s="17">
        <v>0</v>
      </c>
      <c r="E102" s="4"/>
      <c r="F102" s="19"/>
      <c r="G102" s="19">
        <f t="shared" si="4"/>
        <v>0</v>
      </c>
      <c r="H102" s="4"/>
      <c r="I102" s="46"/>
    </row>
    <row r="103" spans="1:9" s="20" customFormat="1" ht="47.25" hidden="1">
      <c r="A103" s="18" t="s">
        <v>305</v>
      </c>
      <c r="B103" s="4" t="s">
        <v>475</v>
      </c>
      <c r="C103" s="4" t="s">
        <v>56</v>
      </c>
      <c r="D103" s="17">
        <v>201763</v>
      </c>
      <c r="E103" s="4"/>
      <c r="F103" s="9"/>
      <c r="G103" s="19">
        <f t="shared" si="4"/>
        <v>201763</v>
      </c>
      <c r="H103" s="4"/>
      <c r="I103" s="46"/>
    </row>
    <row r="104" spans="1:9" s="20" customFormat="1" ht="47.25" hidden="1">
      <c r="A104" s="18" t="s">
        <v>306</v>
      </c>
      <c r="B104" s="4" t="s">
        <v>476</v>
      </c>
      <c r="C104" s="4"/>
      <c r="D104" s="17"/>
      <c r="E104" s="4"/>
      <c r="F104" s="9"/>
      <c r="G104" s="19">
        <f t="shared" si="4"/>
        <v>0</v>
      </c>
      <c r="H104" s="4"/>
      <c r="I104" s="46"/>
    </row>
    <row r="105" spans="1:9" s="20" customFormat="1" ht="47.25" customHeight="1" hidden="1">
      <c r="A105" s="223" t="s">
        <v>400</v>
      </c>
      <c r="B105" s="227" t="s">
        <v>401</v>
      </c>
      <c r="C105" s="4" t="s">
        <v>32</v>
      </c>
      <c r="D105" s="17">
        <v>3925134</v>
      </c>
      <c r="E105" s="4" t="s">
        <v>57</v>
      </c>
      <c r="F105" s="19">
        <v>53060</v>
      </c>
      <c r="G105" s="19">
        <f t="shared" si="4"/>
        <v>3978194</v>
      </c>
      <c r="H105" s="4"/>
      <c r="I105" s="46"/>
    </row>
    <row r="106" spans="1:9" s="20" customFormat="1" ht="50.25" customHeight="1" hidden="1">
      <c r="A106" s="223"/>
      <c r="B106" s="227"/>
      <c r="C106" s="4" t="s">
        <v>583</v>
      </c>
      <c r="D106" s="17">
        <v>24192</v>
      </c>
      <c r="E106" s="4" t="s">
        <v>583</v>
      </c>
      <c r="F106" s="19">
        <v>24192</v>
      </c>
      <c r="G106" s="19">
        <f t="shared" si="4"/>
        <v>48384</v>
      </c>
      <c r="H106" s="4"/>
      <c r="I106" s="46"/>
    </row>
    <row r="107" spans="1:9" s="20" customFormat="1" ht="110.25" customHeight="1" hidden="1">
      <c r="A107" s="223"/>
      <c r="B107" s="227"/>
      <c r="C107" s="4"/>
      <c r="D107" s="17"/>
      <c r="E107" s="4"/>
      <c r="F107" s="9"/>
      <c r="G107" s="19">
        <f t="shared" si="4"/>
        <v>0</v>
      </c>
      <c r="H107" s="4"/>
      <c r="I107" s="46"/>
    </row>
    <row r="108" spans="1:9" s="20" customFormat="1" ht="51" customHeight="1" hidden="1">
      <c r="A108" s="223"/>
      <c r="B108" s="227"/>
      <c r="C108" s="35" t="s">
        <v>229</v>
      </c>
      <c r="D108" s="37">
        <v>3500</v>
      </c>
      <c r="E108" s="35" t="s">
        <v>229</v>
      </c>
      <c r="F108" s="37">
        <v>23400</v>
      </c>
      <c r="G108" s="19">
        <f t="shared" si="4"/>
        <v>26900</v>
      </c>
      <c r="H108" s="4"/>
      <c r="I108" s="46"/>
    </row>
    <row r="109" spans="1:9" s="20" customFormat="1" ht="63" hidden="1">
      <c r="A109" s="223"/>
      <c r="B109" s="227"/>
      <c r="C109" s="4" t="s">
        <v>7</v>
      </c>
      <c r="D109" s="9">
        <v>8307</v>
      </c>
      <c r="E109" s="35"/>
      <c r="F109" s="37"/>
      <c r="G109" s="19">
        <f t="shared" si="4"/>
        <v>8307</v>
      </c>
      <c r="H109" s="4"/>
      <c r="I109" s="46"/>
    </row>
    <row r="110" spans="1:9" s="20" customFormat="1" ht="49.5" customHeight="1" hidden="1">
      <c r="A110" s="223" t="s">
        <v>248</v>
      </c>
      <c r="B110" s="227" t="s">
        <v>242</v>
      </c>
      <c r="C110" s="4" t="s">
        <v>33</v>
      </c>
      <c r="D110" s="17">
        <v>972100</v>
      </c>
      <c r="E110" s="4"/>
      <c r="F110" s="9"/>
      <c r="G110" s="19">
        <f t="shared" si="4"/>
        <v>972100</v>
      </c>
      <c r="H110" s="4"/>
      <c r="I110" s="46"/>
    </row>
    <row r="111" spans="1:9" s="20" customFormat="1" ht="47.25" hidden="1">
      <c r="A111" s="223"/>
      <c r="B111" s="227"/>
      <c r="C111" s="35" t="s">
        <v>504</v>
      </c>
      <c r="D111" s="37">
        <v>0</v>
      </c>
      <c r="E111" s="35" t="s">
        <v>504</v>
      </c>
      <c r="F111" s="37">
        <v>0</v>
      </c>
      <c r="G111" s="19">
        <f t="shared" si="4"/>
        <v>0</v>
      </c>
      <c r="H111" s="4"/>
      <c r="I111" s="46"/>
    </row>
    <row r="112" spans="1:9" s="20" customFormat="1" ht="48" customHeight="1" hidden="1">
      <c r="A112" s="223" t="s">
        <v>311</v>
      </c>
      <c r="B112" s="227" t="s">
        <v>318</v>
      </c>
      <c r="C112" s="4" t="s">
        <v>33</v>
      </c>
      <c r="D112" s="17">
        <v>7134400</v>
      </c>
      <c r="E112" s="4"/>
      <c r="F112" s="9"/>
      <c r="G112" s="19">
        <f>D112+F112</f>
        <v>7134400</v>
      </c>
      <c r="H112" s="4"/>
      <c r="I112" s="46"/>
    </row>
    <row r="113" spans="1:9" s="20" customFormat="1" ht="47.25" hidden="1">
      <c r="A113" s="223"/>
      <c r="B113" s="227"/>
      <c r="C113" s="35" t="s">
        <v>504</v>
      </c>
      <c r="D113" s="38">
        <v>0</v>
      </c>
      <c r="E113" s="35"/>
      <c r="F113" s="37"/>
      <c r="G113" s="19">
        <f t="shared" si="4"/>
        <v>0</v>
      </c>
      <c r="H113" s="4"/>
      <c r="I113" s="46"/>
    </row>
    <row r="114" spans="1:9" s="20" customFormat="1" ht="48" customHeight="1" hidden="1">
      <c r="A114" s="223" t="s">
        <v>309</v>
      </c>
      <c r="B114" s="227" t="s">
        <v>310</v>
      </c>
      <c r="C114" s="4"/>
      <c r="D114" s="17"/>
      <c r="E114" s="4" t="s">
        <v>510</v>
      </c>
      <c r="F114" s="12">
        <v>0</v>
      </c>
      <c r="G114" s="19">
        <f t="shared" si="4"/>
        <v>0</v>
      </c>
      <c r="H114" s="4"/>
      <c r="I114" s="46"/>
    </row>
    <row r="115" spans="1:9" s="20" customFormat="1" ht="45.75" customHeight="1" hidden="1">
      <c r="A115" s="223"/>
      <c r="B115" s="227"/>
      <c r="C115" s="4"/>
      <c r="D115" s="5"/>
      <c r="E115" s="4" t="s">
        <v>58</v>
      </c>
      <c r="F115" s="12">
        <v>4218281</v>
      </c>
      <c r="G115" s="19">
        <f t="shared" si="4"/>
        <v>4218281</v>
      </c>
      <c r="H115" s="4"/>
      <c r="I115" s="46"/>
    </row>
    <row r="116" spans="1:9" s="20" customFormat="1" ht="52.5" customHeight="1" hidden="1">
      <c r="A116" s="18" t="s">
        <v>258</v>
      </c>
      <c r="B116" s="227" t="s">
        <v>472</v>
      </c>
      <c r="C116" s="4" t="s">
        <v>369</v>
      </c>
      <c r="D116" s="17"/>
      <c r="E116" s="4"/>
      <c r="F116" s="16"/>
      <c r="G116" s="19">
        <f t="shared" si="4"/>
        <v>0</v>
      </c>
      <c r="H116" s="4"/>
      <c r="I116" s="46"/>
    </row>
    <row r="117" spans="1:9" s="20" customFormat="1" ht="53.25" customHeight="1" hidden="1">
      <c r="A117" s="223" t="s">
        <v>258</v>
      </c>
      <c r="B117" s="227"/>
      <c r="C117" s="4" t="s">
        <v>33</v>
      </c>
      <c r="D117" s="17">
        <v>174150</v>
      </c>
      <c r="E117" s="4"/>
      <c r="F117" s="16"/>
      <c r="G117" s="19">
        <f t="shared" si="4"/>
        <v>174150</v>
      </c>
      <c r="H117" s="4"/>
      <c r="I117" s="46"/>
    </row>
    <row r="118" spans="1:9" s="20" customFormat="1" ht="62.25" customHeight="1" hidden="1">
      <c r="A118" s="223"/>
      <c r="B118" s="227"/>
      <c r="C118" s="4" t="s">
        <v>468</v>
      </c>
      <c r="D118" s="17"/>
      <c r="E118" s="4"/>
      <c r="F118" s="16"/>
      <c r="G118" s="19">
        <f t="shared" si="4"/>
        <v>0</v>
      </c>
      <c r="H118" s="4"/>
      <c r="I118" s="46"/>
    </row>
    <row r="119" spans="1:9" s="20" customFormat="1" ht="57" customHeight="1" hidden="1">
      <c r="A119" s="18" t="s">
        <v>312</v>
      </c>
      <c r="B119" s="4" t="s">
        <v>473</v>
      </c>
      <c r="C119" s="4" t="s">
        <v>33</v>
      </c>
      <c r="D119" s="17">
        <v>500000</v>
      </c>
      <c r="E119" s="4"/>
      <c r="F119" s="16"/>
      <c r="G119" s="19">
        <f t="shared" si="4"/>
        <v>500000</v>
      </c>
      <c r="H119" s="4"/>
      <c r="I119" s="46"/>
    </row>
    <row r="120" spans="1:9" s="20" customFormat="1" ht="51" customHeight="1" hidden="1">
      <c r="A120" s="18" t="s">
        <v>342</v>
      </c>
      <c r="B120" s="4" t="s">
        <v>460</v>
      </c>
      <c r="C120" s="4" t="s">
        <v>33</v>
      </c>
      <c r="D120" s="17">
        <v>870750</v>
      </c>
      <c r="E120" s="4"/>
      <c r="F120" s="16"/>
      <c r="G120" s="19">
        <f t="shared" si="4"/>
        <v>870750</v>
      </c>
      <c r="H120" s="4"/>
      <c r="I120" s="46"/>
    </row>
    <row r="121" spans="1:9" s="20" customFormat="1" ht="68.25" customHeight="1" hidden="1">
      <c r="A121" s="22" t="s">
        <v>413</v>
      </c>
      <c r="B121" s="23" t="s">
        <v>417</v>
      </c>
      <c r="C121" s="4"/>
      <c r="D121" s="24">
        <v>0</v>
      </c>
      <c r="E121" s="4"/>
      <c r="F121" s="24">
        <v>0</v>
      </c>
      <c r="G121" s="24">
        <v>0</v>
      </c>
      <c r="H121" s="4"/>
      <c r="I121" s="46"/>
    </row>
    <row r="122" spans="1:9" s="20" customFormat="1" ht="31.5" hidden="1">
      <c r="A122" s="18" t="s">
        <v>402</v>
      </c>
      <c r="B122" s="4" t="s">
        <v>403</v>
      </c>
      <c r="C122" s="4" t="s">
        <v>414</v>
      </c>
      <c r="D122" s="17"/>
      <c r="E122" s="4" t="s">
        <v>414</v>
      </c>
      <c r="F122" s="12"/>
      <c r="G122" s="9">
        <v>0</v>
      </c>
      <c r="H122" s="4"/>
      <c r="I122" s="46"/>
    </row>
    <row r="123" spans="1:9" s="20" customFormat="1" ht="63" hidden="1">
      <c r="A123" s="22" t="s">
        <v>424</v>
      </c>
      <c r="B123" s="23" t="s">
        <v>425</v>
      </c>
      <c r="C123" s="4"/>
      <c r="D123" s="24">
        <f>D124</f>
        <v>0</v>
      </c>
      <c r="E123" s="4"/>
      <c r="F123" s="24">
        <f>F124</f>
        <v>7000</v>
      </c>
      <c r="G123" s="24">
        <f>D123+F123</f>
        <v>7000</v>
      </c>
      <c r="H123" s="4"/>
      <c r="I123" s="46"/>
    </row>
    <row r="124" spans="1:9" s="20" customFormat="1" ht="31.5" hidden="1">
      <c r="A124" s="18" t="s">
        <v>402</v>
      </c>
      <c r="B124" s="4" t="s">
        <v>403</v>
      </c>
      <c r="C124" s="4"/>
      <c r="D124" s="17"/>
      <c r="E124" s="4" t="s">
        <v>37</v>
      </c>
      <c r="F124" s="12">
        <v>7000</v>
      </c>
      <c r="G124" s="19">
        <f>D124+F124</f>
        <v>7000</v>
      </c>
      <c r="H124" s="4"/>
      <c r="I124" s="46"/>
    </row>
    <row r="125" spans="1:9" s="20" customFormat="1" ht="35.25" customHeight="1">
      <c r="A125" s="22" t="s">
        <v>385</v>
      </c>
      <c r="B125" s="23" t="s">
        <v>279</v>
      </c>
      <c r="C125" s="4"/>
      <c r="D125" s="24">
        <f>D127+D129+D130+D131+D132+D133+D135+D137+D138+D140+D141+D142+D128+D134+D143+D139+D136</f>
        <v>8363013</v>
      </c>
      <c r="E125" s="5"/>
      <c r="F125" s="24">
        <f>F127+F129+F130+F132+F133+F135+F140+F141+F144+F145+F137</f>
        <v>4246260</v>
      </c>
      <c r="G125" s="28">
        <f>D125+F125</f>
        <v>12609273</v>
      </c>
      <c r="H125" s="71"/>
      <c r="I125" s="46"/>
    </row>
    <row r="126" spans="1:9" s="20" customFormat="1" ht="31.5" hidden="1">
      <c r="A126" s="18" t="s">
        <v>402</v>
      </c>
      <c r="B126" s="4" t="s">
        <v>403</v>
      </c>
      <c r="C126" s="4" t="s">
        <v>416</v>
      </c>
      <c r="D126" s="17"/>
      <c r="E126" s="4"/>
      <c r="F126" s="19"/>
      <c r="G126" s="16">
        <v>0</v>
      </c>
      <c r="H126" s="4"/>
      <c r="I126" s="46"/>
    </row>
    <row r="127" spans="1:9" s="20" customFormat="1" ht="54" customHeight="1">
      <c r="A127" s="223" t="s">
        <v>396</v>
      </c>
      <c r="B127" s="227" t="s">
        <v>397</v>
      </c>
      <c r="C127" s="4" t="s">
        <v>228</v>
      </c>
      <c r="D127" s="17">
        <v>599140</v>
      </c>
      <c r="E127" s="4" t="s">
        <v>228</v>
      </c>
      <c r="F127" s="19">
        <v>1321</v>
      </c>
      <c r="G127" s="12">
        <f>D127+F127</f>
        <v>600461</v>
      </c>
      <c r="H127" s="71">
        <v>0</v>
      </c>
      <c r="I127" s="46"/>
    </row>
    <row r="128" spans="1:9" s="20" customFormat="1" ht="65.25" customHeight="1" hidden="1">
      <c r="A128" s="223"/>
      <c r="B128" s="227"/>
      <c r="C128" s="4" t="s">
        <v>7</v>
      </c>
      <c r="D128" s="17">
        <v>279</v>
      </c>
      <c r="E128" s="4"/>
      <c r="F128" s="19"/>
      <c r="G128" s="12">
        <f aca="true" t="shared" si="5" ref="G128:G144">D128+F128</f>
        <v>279</v>
      </c>
      <c r="H128" s="4"/>
      <c r="I128" s="46"/>
    </row>
    <row r="129" spans="1:9" s="20" customFormat="1" ht="54" customHeight="1">
      <c r="A129" s="223" t="s">
        <v>398</v>
      </c>
      <c r="B129" s="227" t="s">
        <v>399</v>
      </c>
      <c r="C129" s="4" t="s">
        <v>228</v>
      </c>
      <c r="D129" s="17">
        <v>2188093</v>
      </c>
      <c r="E129" s="4" t="s">
        <v>228</v>
      </c>
      <c r="F129" s="19">
        <v>207061</v>
      </c>
      <c r="G129" s="12">
        <f t="shared" si="5"/>
        <v>2395154</v>
      </c>
      <c r="H129" s="71">
        <v>0</v>
      </c>
      <c r="I129" s="46"/>
    </row>
    <row r="130" spans="1:9" s="20" customFormat="1" ht="47.25" hidden="1">
      <c r="A130" s="223"/>
      <c r="B130" s="227"/>
      <c r="C130" s="35" t="s">
        <v>229</v>
      </c>
      <c r="D130" s="36">
        <v>500</v>
      </c>
      <c r="E130" s="35" t="s">
        <v>229</v>
      </c>
      <c r="F130" s="36">
        <v>59018</v>
      </c>
      <c r="G130" s="12">
        <f t="shared" si="5"/>
        <v>59518</v>
      </c>
      <c r="H130" s="4"/>
      <c r="I130" s="46"/>
    </row>
    <row r="131" spans="1:9" s="20" customFormat="1" ht="66.75" customHeight="1" hidden="1">
      <c r="A131" s="223"/>
      <c r="B131" s="227"/>
      <c r="C131" s="4" t="s">
        <v>7</v>
      </c>
      <c r="D131" s="19">
        <v>2511</v>
      </c>
      <c r="E131" s="35"/>
      <c r="F131" s="36"/>
      <c r="G131" s="12">
        <f t="shared" si="5"/>
        <v>2511</v>
      </c>
      <c r="H131" s="4"/>
      <c r="I131" s="46"/>
    </row>
    <row r="132" spans="1:9" s="20" customFormat="1" ht="54" customHeight="1">
      <c r="A132" s="221" t="s">
        <v>406</v>
      </c>
      <c r="B132" s="225" t="s">
        <v>407</v>
      </c>
      <c r="C132" s="4" t="s">
        <v>228</v>
      </c>
      <c r="D132" s="17">
        <v>1255924</v>
      </c>
      <c r="E132" s="4" t="s">
        <v>228</v>
      </c>
      <c r="F132" s="19">
        <v>1931965</v>
      </c>
      <c r="G132" s="12">
        <f t="shared" si="5"/>
        <v>3187889</v>
      </c>
      <c r="H132" s="73">
        <f>149214+58070+7900+19790+167074+132486</f>
        <v>534534</v>
      </c>
      <c r="I132" s="72"/>
    </row>
    <row r="133" spans="1:9" s="20" customFormat="1" ht="47.25" hidden="1">
      <c r="A133" s="231"/>
      <c r="B133" s="232"/>
      <c r="C133" s="35" t="s">
        <v>229</v>
      </c>
      <c r="D133" s="36">
        <v>0</v>
      </c>
      <c r="E133" s="35" t="s">
        <v>229</v>
      </c>
      <c r="F133" s="36">
        <v>4920</v>
      </c>
      <c r="G133" s="12">
        <f t="shared" si="5"/>
        <v>4920</v>
      </c>
      <c r="H133" s="4"/>
      <c r="I133" s="46"/>
    </row>
    <row r="134" spans="1:9" s="20" customFormat="1" ht="63" hidden="1">
      <c r="A134" s="222"/>
      <c r="B134" s="226"/>
      <c r="C134" s="4" t="s">
        <v>7</v>
      </c>
      <c r="D134" s="19">
        <v>5829</v>
      </c>
      <c r="E134" s="35"/>
      <c r="F134" s="36"/>
      <c r="G134" s="12">
        <f>D134+F134</f>
        <v>5829</v>
      </c>
      <c r="H134" s="4"/>
      <c r="I134" s="46"/>
    </row>
    <row r="135" spans="1:9" s="20" customFormat="1" ht="51" customHeight="1">
      <c r="A135" s="223" t="s">
        <v>404</v>
      </c>
      <c r="B135" s="227" t="s">
        <v>405</v>
      </c>
      <c r="C135" s="4" t="s">
        <v>228</v>
      </c>
      <c r="D135" s="17">
        <v>536069</v>
      </c>
      <c r="E135" s="4" t="s">
        <v>228</v>
      </c>
      <c r="F135" s="19">
        <v>1820736</v>
      </c>
      <c r="G135" s="12">
        <f t="shared" si="5"/>
        <v>2356805</v>
      </c>
      <c r="H135" s="71">
        <v>321482</v>
      </c>
      <c r="I135" s="46"/>
    </row>
    <row r="136" spans="1:9" s="20" customFormat="1" ht="63" hidden="1">
      <c r="A136" s="223"/>
      <c r="B136" s="227"/>
      <c r="C136" s="4" t="s">
        <v>7</v>
      </c>
      <c r="D136" s="17">
        <v>2232</v>
      </c>
      <c r="E136" s="35"/>
      <c r="F136" s="36"/>
      <c r="G136" s="12">
        <f t="shared" si="5"/>
        <v>2232</v>
      </c>
      <c r="H136" s="4"/>
      <c r="I136" s="46"/>
    </row>
    <row r="137" spans="1:9" s="20" customFormat="1" ht="66" customHeight="1" hidden="1">
      <c r="A137" s="223"/>
      <c r="B137" s="227"/>
      <c r="C137" s="4"/>
      <c r="D137" s="17"/>
      <c r="E137" s="35" t="s">
        <v>229</v>
      </c>
      <c r="F137" s="36">
        <v>3000</v>
      </c>
      <c r="G137" s="12">
        <f t="shared" si="5"/>
        <v>3000</v>
      </c>
      <c r="H137" s="4"/>
      <c r="I137" s="46"/>
    </row>
    <row r="138" spans="1:9" s="20" customFormat="1" ht="47.25" hidden="1">
      <c r="A138" s="228">
        <v>110300</v>
      </c>
      <c r="B138" s="225" t="s">
        <v>255</v>
      </c>
      <c r="C138" s="4" t="s">
        <v>230</v>
      </c>
      <c r="D138" s="21">
        <v>1114809</v>
      </c>
      <c r="E138" s="4"/>
      <c r="F138" s="36"/>
      <c r="G138" s="12">
        <f t="shared" si="5"/>
        <v>1114809</v>
      </c>
      <c r="H138" s="4"/>
      <c r="I138" s="46"/>
    </row>
    <row r="139" spans="1:9" s="20" customFormat="1" ht="63" hidden="1">
      <c r="A139" s="229"/>
      <c r="B139" s="226"/>
      <c r="C139" s="4" t="s">
        <v>7</v>
      </c>
      <c r="D139" s="21">
        <v>13116</v>
      </c>
      <c r="E139" s="4"/>
      <c r="F139" s="36"/>
      <c r="G139" s="12">
        <f t="shared" si="5"/>
        <v>13116</v>
      </c>
      <c r="H139" s="4"/>
      <c r="I139" s="46"/>
    </row>
    <row r="140" spans="1:9" s="20" customFormat="1" ht="31.5">
      <c r="A140" s="233">
        <v>110502</v>
      </c>
      <c r="B140" s="227" t="s">
        <v>243</v>
      </c>
      <c r="C140" s="4" t="s">
        <v>225</v>
      </c>
      <c r="D140" s="15">
        <v>1693819</v>
      </c>
      <c r="E140" s="4" t="s">
        <v>59</v>
      </c>
      <c r="F140" s="16">
        <v>42020</v>
      </c>
      <c r="G140" s="12">
        <f t="shared" si="5"/>
        <v>1735839</v>
      </c>
      <c r="H140" s="71"/>
      <c r="I140" s="46"/>
    </row>
    <row r="141" spans="1:9" s="20" customFormat="1" ht="51" customHeight="1">
      <c r="A141" s="233"/>
      <c r="B141" s="227"/>
      <c r="C141" s="4" t="s">
        <v>228</v>
      </c>
      <c r="D141" s="15">
        <v>925412</v>
      </c>
      <c r="E141" s="4" t="s">
        <v>228</v>
      </c>
      <c r="F141" s="12">
        <v>39696</v>
      </c>
      <c r="G141" s="12">
        <f t="shared" si="5"/>
        <v>965108</v>
      </c>
      <c r="H141" s="4"/>
      <c r="I141" s="46"/>
    </row>
    <row r="142" spans="1:9" s="20" customFormat="1" ht="55.5" customHeight="1" hidden="1">
      <c r="A142" s="233"/>
      <c r="B142" s="227"/>
      <c r="C142" s="4" t="s">
        <v>224</v>
      </c>
      <c r="D142" s="15">
        <v>20000</v>
      </c>
      <c r="E142" s="35"/>
      <c r="F142" s="16"/>
      <c r="G142" s="12">
        <f t="shared" si="5"/>
        <v>20000</v>
      </c>
      <c r="H142" s="4"/>
      <c r="I142" s="46"/>
    </row>
    <row r="143" spans="1:9" s="20" customFormat="1" ht="68.25" customHeight="1" hidden="1">
      <c r="A143" s="233"/>
      <c r="B143" s="227"/>
      <c r="C143" s="4" t="s">
        <v>7</v>
      </c>
      <c r="D143" s="15">
        <v>5280</v>
      </c>
      <c r="E143" s="4"/>
      <c r="F143" s="16"/>
      <c r="G143" s="12">
        <f t="shared" si="5"/>
        <v>5280</v>
      </c>
      <c r="H143" s="4"/>
      <c r="I143" s="46"/>
    </row>
    <row r="144" spans="1:9" s="20" customFormat="1" ht="47.25" hidden="1">
      <c r="A144" s="233"/>
      <c r="B144" s="227"/>
      <c r="C144" s="4"/>
      <c r="D144" s="15"/>
      <c r="E144" s="35" t="s">
        <v>504</v>
      </c>
      <c r="F144" s="36"/>
      <c r="G144" s="12">
        <f t="shared" si="5"/>
        <v>0</v>
      </c>
      <c r="H144" s="4"/>
      <c r="I144" s="46"/>
    </row>
    <row r="145" spans="1:9" s="20" customFormat="1" ht="47.25" hidden="1">
      <c r="A145" s="18" t="s">
        <v>309</v>
      </c>
      <c r="B145" s="4" t="s">
        <v>310</v>
      </c>
      <c r="C145" s="4"/>
      <c r="D145" s="5"/>
      <c r="E145" s="4" t="s">
        <v>228</v>
      </c>
      <c r="F145" s="19">
        <v>136523</v>
      </c>
      <c r="G145" s="12">
        <f>D145+F145</f>
        <v>136523</v>
      </c>
      <c r="H145" s="71"/>
      <c r="I145" s="46"/>
    </row>
    <row r="146" spans="1:9" s="20" customFormat="1" ht="47.25" hidden="1">
      <c r="A146" s="22" t="s">
        <v>535</v>
      </c>
      <c r="B146" s="23" t="s">
        <v>536</v>
      </c>
      <c r="C146" s="4"/>
      <c r="D146" s="24">
        <v>0</v>
      </c>
      <c r="E146" s="5"/>
      <c r="F146" s="28">
        <v>0</v>
      </c>
      <c r="G146" s="27">
        <v>0</v>
      </c>
      <c r="H146" s="71"/>
      <c r="I146" s="46"/>
    </row>
    <row r="147" spans="1:9" s="20" customFormat="1" ht="47.25" hidden="1">
      <c r="A147" s="18" t="s">
        <v>402</v>
      </c>
      <c r="B147" s="4" t="s">
        <v>403</v>
      </c>
      <c r="C147" s="4"/>
      <c r="D147" s="5"/>
      <c r="E147" s="55" t="s">
        <v>508</v>
      </c>
      <c r="F147" s="56">
        <v>0</v>
      </c>
      <c r="G147" s="9">
        <v>0</v>
      </c>
      <c r="H147" s="71"/>
      <c r="I147" s="46"/>
    </row>
    <row r="148" spans="1:9" s="20" customFormat="1" ht="54" customHeight="1" hidden="1">
      <c r="A148" s="22" t="s">
        <v>384</v>
      </c>
      <c r="B148" s="23" t="s">
        <v>410</v>
      </c>
      <c r="C148" s="4"/>
      <c r="D148" s="24">
        <f>D149+D150+D151+D152</f>
        <v>228711</v>
      </c>
      <c r="E148" s="5"/>
      <c r="F148" s="28">
        <f>F149+F150</f>
        <v>1000201</v>
      </c>
      <c r="G148" s="28">
        <f aca="true" t="shared" si="6" ref="G148:G178">D148+F148</f>
        <v>1228912</v>
      </c>
      <c r="H148" s="71"/>
      <c r="I148" s="46"/>
    </row>
    <row r="149" spans="1:9" s="20" customFormat="1" ht="31.5" hidden="1">
      <c r="A149" s="18" t="s">
        <v>402</v>
      </c>
      <c r="B149" s="4" t="s">
        <v>403</v>
      </c>
      <c r="C149" s="4"/>
      <c r="D149" s="17"/>
      <c r="E149" s="4" t="s">
        <v>37</v>
      </c>
      <c r="F149" s="19">
        <v>14000</v>
      </c>
      <c r="G149" s="19">
        <f t="shared" si="6"/>
        <v>14000</v>
      </c>
      <c r="H149" s="4"/>
      <c r="I149" s="46"/>
    </row>
    <row r="150" spans="1:9" s="20" customFormat="1" ht="47.25" hidden="1">
      <c r="A150" s="18" t="s">
        <v>309</v>
      </c>
      <c r="B150" s="4" t="s">
        <v>310</v>
      </c>
      <c r="C150" s="4"/>
      <c r="D150" s="5"/>
      <c r="E150" s="4" t="s">
        <v>34</v>
      </c>
      <c r="F150" s="19">
        <v>986201</v>
      </c>
      <c r="G150" s="19">
        <f t="shared" si="6"/>
        <v>986201</v>
      </c>
      <c r="H150" s="4"/>
      <c r="I150" s="46"/>
    </row>
    <row r="151" spans="1:9" s="20" customFormat="1" ht="66" customHeight="1" hidden="1">
      <c r="A151" s="18" t="s">
        <v>302</v>
      </c>
      <c r="B151" s="4" t="s">
        <v>317</v>
      </c>
      <c r="C151" s="4" t="s">
        <v>582</v>
      </c>
      <c r="D151" s="17">
        <v>120711</v>
      </c>
      <c r="E151" s="4"/>
      <c r="F151" s="9"/>
      <c r="G151" s="19">
        <f t="shared" si="6"/>
        <v>120711</v>
      </c>
      <c r="H151" s="4"/>
      <c r="I151" s="46"/>
    </row>
    <row r="152" spans="1:9" s="20" customFormat="1" ht="47.25" hidden="1">
      <c r="A152" s="18" t="s">
        <v>327</v>
      </c>
      <c r="B152" s="4" t="s">
        <v>458</v>
      </c>
      <c r="C152" s="4" t="s">
        <v>574</v>
      </c>
      <c r="D152" s="17">
        <v>108000</v>
      </c>
      <c r="E152" s="4"/>
      <c r="F152" s="9"/>
      <c r="G152" s="19">
        <f t="shared" si="6"/>
        <v>108000</v>
      </c>
      <c r="H152" s="4"/>
      <c r="I152" s="46"/>
    </row>
    <row r="153" spans="1:9" s="20" customFormat="1" ht="47.25" hidden="1">
      <c r="A153" s="22" t="s">
        <v>419</v>
      </c>
      <c r="B153" s="23" t="s">
        <v>420</v>
      </c>
      <c r="C153" s="4"/>
      <c r="D153" s="24">
        <f>D154</f>
        <v>0</v>
      </c>
      <c r="E153" s="5"/>
      <c r="F153" s="24">
        <f>F154</f>
        <v>0</v>
      </c>
      <c r="G153" s="24">
        <f t="shared" si="6"/>
        <v>0</v>
      </c>
      <c r="H153" s="71"/>
      <c r="I153" s="46"/>
    </row>
    <row r="154" spans="1:9" s="20" customFormat="1" ht="48.75" customHeight="1" hidden="1">
      <c r="A154" s="18" t="s">
        <v>402</v>
      </c>
      <c r="B154" s="4" t="s">
        <v>403</v>
      </c>
      <c r="C154" s="4"/>
      <c r="D154" s="17"/>
      <c r="E154" s="4"/>
      <c r="F154" s="19">
        <v>0</v>
      </c>
      <c r="G154" s="24">
        <f t="shared" si="6"/>
        <v>0</v>
      </c>
      <c r="H154" s="4"/>
      <c r="I154" s="46"/>
    </row>
    <row r="155" spans="1:9" s="20" customFormat="1" ht="45.75" customHeight="1" hidden="1">
      <c r="A155" s="22" t="s">
        <v>382</v>
      </c>
      <c r="B155" s="23" t="s">
        <v>465</v>
      </c>
      <c r="C155" s="4"/>
      <c r="D155" s="24">
        <f>D157+D158+D159+D160+D166+D167+D179+D180+D164</f>
        <v>99545109</v>
      </c>
      <c r="E155" s="5"/>
      <c r="F155" s="28">
        <f>F156+F157+F158+F159+F160+F161+F163+F165+F166+F167+F169+F170+F172+F173+F174+F176+F177+F178+F179+F180+F164</f>
        <v>111898725</v>
      </c>
      <c r="G155" s="28">
        <f t="shared" si="6"/>
        <v>211443834</v>
      </c>
      <c r="H155" s="71"/>
      <c r="I155" s="46"/>
    </row>
    <row r="156" spans="1:9" s="20" customFormat="1" ht="45.75" customHeight="1" hidden="1">
      <c r="A156" s="223" t="s">
        <v>402</v>
      </c>
      <c r="B156" s="227" t="s">
        <v>403</v>
      </c>
      <c r="C156" s="4"/>
      <c r="D156" s="24"/>
      <c r="E156" s="4" t="s">
        <v>37</v>
      </c>
      <c r="F156" s="19">
        <v>35000</v>
      </c>
      <c r="G156" s="19">
        <f t="shared" si="6"/>
        <v>35000</v>
      </c>
      <c r="H156" s="71"/>
      <c r="I156" s="46"/>
    </row>
    <row r="157" spans="1:9" s="20" customFormat="1" ht="61.5" customHeight="1" hidden="1">
      <c r="A157" s="223"/>
      <c r="B157" s="227"/>
      <c r="C157" s="4" t="s">
        <v>7</v>
      </c>
      <c r="D157" s="17">
        <v>746</v>
      </c>
      <c r="E157" s="4"/>
      <c r="F157" s="19"/>
      <c r="G157" s="19">
        <f t="shared" si="6"/>
        <v>746</v>
      </c>
      <c r="H157" s="4"/>
      <c r="I157" s="46"/>
    </row>
    <row r="158" spans="1:9" s="20" customFormat="1" ht="47.25" hidden="1">
      <c r="A158" s="18" t="s">
        <v>311</v>
      </c>
      <c r="B158" s="4" t="s">
        <v>318</v>
      </c>
      <c r="C158" s="4" t="s">
        <v>60</v>
      </c>
      <c r="D158" s="17">
        <v>131000</v>
      </c>
      <c r="E158" s="4"/>
      <c r="F158" s="9"/>
      <c r="G158" s="19">
        <f t="shared" si="6"/>
        <v>131000</v>
      </c>
      <c r="H158" s="4"/>
      <c r="I158" s="46"/>
    </row>
    <row r="159" spans="1:9" s="20" customFormat="1" ht="47.25" hidden="1">
      <c r="A159" s="223" t="s">
        <v>456</v>
      </c>
      <c r="B159" s="227" t="s">
        <v>457</v>
      </c>
      <c r="C159" s="4" t="s">
        <v>60</v>
      </c>
      <c r="D159" s="17">
        <v>10566800</v>
      </c>
      <c r="E159" s="4"/>
      <c r="F159" s="9"/>
      <c r="G159" s="19">
        <f t="shared" si="6"/>
        <v>10566800</v>
      </c>
      <c r="H159" s="4"/>
      <c r="I159" s="46"/>
    </row>
    <row r="160" spans="1:9" s="20" customFormat="1" ht="47.25" hidden="1">
      <c r="A160" s="223"/>
      <c r="B160" s="227"/>
      <c r="C160" s="35" t="s">
        <v>229</v>
      </c>
      <c r="D160" s="37">
        <v>64035</v>
      </c>
      <c r="E160" s="4"/>
      <c r="F160" s="9"/>
      <c r="G160" s="19">
        <f t="shared" si="6"/>
        <v>64035</v>
      </c>
      <c r="H160" s="4"/>
      <c r="I160" s="46"/>
    </row>
    <row r="161" spans="1:9" s="20" customFormat="1" ht="47.25" hidden="1">
      <c r="A161" s="223" t="s">
        <v>339</v>
      </c>
      <c r="B161" s="227" t="s">
        <v>340</v>
      </c>
      <c r="C161" s="4"/>
      <c r="D161" s="17"/>
      <c r="E161" s="4" t="s">
        <v>61</v>
      </c>
      <c r="F161" s="19">
        <v>33149648</v>
      </c>
      <c r="G161" s="19">
        <f t="shared" si="6"/>
        <v>33149648</v>
      </c>
      <c r="H161" s="4"/>
      <c r="I161" s="46"/>
    </row>
    <row r="162" spans="1:9" s="20" customFormat="1" ht="47.25" customHeight="1" hidden="1">
      <c r="A162" s="223"/>
      <c r="B162" s="227"/>
      <c r="C162" s="4" t="s">
        <v>511</v>
      </c>
      <c r="D162" s="17">
        <v>0</v>
      </c>
      <c r="E162" s="4" t="s">
        <v>511</v>
      </c>
      <c r="F162" s="9"/>
      <c r="G162" s="19">
        <f t="shared" si="6"/>
        <v>0</v>
      </c>
      <c r="H162" s="4"/>
      <c r="I162" s="46"/>
    </row>
    <row r="163" spans="1:9" s="20" customFormat="1" ht="47.25" hidden="1">
      <c r="A163" s="223"/>
      <c r="B163" s="227"/>
      <c r="C163" s="4"/>
      <c r="D163" s="17"/>
      <c r="E163" s="35" t="s">
        <v>229</v>
      </c>
      <c r="F163" s="37">
        <v>66475</v>
      </c>
      <c r="G163" s="19">
        <f t="shared" si="6"/>
        <v>66475</v>
      </c>
      <c r="H163" s="4"/>
      <c r="I163" s="46"/>
    </row>
    <row r="164" spans="1:9" s="20" customFormat="1" ht="47.25" hidden="1">
      <c r="A164" s="18" t="s">
        <v>42</v>
      </c>
      <c r="B164" s="4" t="s">
        <v>43</v>
      </c>
      <c r="C164" s="4" t="s">
        <v>62</v>
      </c>
      <c r="D164" s="17">
        <v>449300</v>
      </c>
      <c r="E164" s="35"/>
      <c r="F164" s="37"/>
      <c r="G164" s="19">
        <f>D164+F164</f>
        <v>449300</v>
      </c>
      <c r="H164" s="4"/>
      <c r="I164" s="46"/>
    </row>
    <row r="165" spans="1:9" s="20" customFormat="1" ht="56.25" customHeight="1" hidden="1">
      <c r="A165" s="18" t="s">
        <v>500</v>
      </c>
      <c r="B165" s="4" t="s">
        <v>501</v>
      </c>
      <c r="C165" s="4"/>
      <c r="D165" s="17"/>
      <c r="E165" s="4" t="s">
        <v>62</v>
      </c>
      <c r="F165" s="19">
        <v>780803</v>
      </c>
      <c r="G165" s="19">
        <f t="shared" si="6"/>
        <v>780803</v>
      </c>
      <c r="H165" s="4"/>
      <c r="I165" s="46"/>
    </row>
    <row r="166" spans="1:9" s="20" customFormat="1" ht="51.75" customHeight="1" hidden="1">
      <c r="A166" s="223" t="s">
        <v>319</v>
      </c>
      <c r="B166" s="227" t="s">
        <v>341</v>
      </c>
      <c r="C166" s="4" t="s">
        <v>64</v>
      </c>
      <c r="D166" s="17">
        <v>82050000</v>
      </c>
      <c r="E166" s="4" t="s">
        <v>63</v>
      </c>
      <c r="F166" s="19">
        <v>672751</v>
      </c>
      <c r="G166" s="19">
        <f t="shared" si="6"/>
        <v>82722751</v>
      </c>
      <c r="H166" s="4"/>
      <c r="I166" s="46"/>
    </row>
    <row r="167" spans="1:9" s="20" customFormat="1" ht="47.25" hidden="1">
      <c r="A167" s="223"/>
      <c r="B167" s="227"/>
      <c r="C167" s="35" t="s">
        <v>229</v>
      </c>
      <c r="D167" s="37">
        <v>0</v>
      </c>
      <c r="E167" s="35" t="s">
        <v>229</v>
      </c>
      <c r="F167" s="37">
        <v>30000</v>
      </c>
      <c r="G167" s="19">
        <f t="shared" si="6"/>
        <v>30000</v>
      </c>
      <c r="H167" s="4"/>
      <c r="I167" s="46"/>
    </row>
    <row r="168" spans="1:9" s="20" customFormat="1" ht="47.25" hidden="1">
      <c r="A168" s="18" t="s">
        <v>528</v>
      </c>
      <c r="B168" s="4" t="s">
        <v>529</v>
      </c>
      <c r="C168" s="35"/>
      <c r="D168" s="37"/>
      <c r="E168" s="4" t="s">
        <v>511</v>
      </c>
      <c r="F168" s="36">
        <v>0</v>
      </c>
      <c r="G168" s="19">
        <f t="shared" si="6"/>
        <v>0</v>
      </c>
      <c r="H168" s="4"/>
      <c r="I168" s="46"/>
    </row>
    <row r="169" spans="1:9" s="20" customFormat="1" ht="51" customHeight="1" hidden="1">
      <c r="A169" s="223" t="s">
        <v>309</v>
      </c>
      <c r="B169" s="227" t="s">
        <v>310</v>
      </c>
      <c r="C169" s="4"/>
      <c r="D169" s="5"/>
      <c r="E169" s="4" t="s">
        <v>65</v>
      </c>
      <c r="F169" s="12">
        <v>31435500</v>
      </c>
      <c r="G169" s="19">
        <f t="shared" si="6"/>
        <v>31435500</v>
      </c>
      <c r="H169" s="4"/>
      <c r="I169" s="46"/>
    </row>
    <row r="170" spans="1:9" s="20" customFormat="1" ht="47.25" hidden="1">
      <c r="A170" s="223"/>
      <c r="B170" s="227"/>
      <c r="C170" s="4"/>
      <c r="D170" s="5"/>
      <c r="E170" s="35" t="s">
        <v>229</v>
      </c>
      <c r="F170" s="37">
        <v>17235</v>
      </c>
      <c r="G170" s="19">
        <f t="shared" si="6"/>
        <v>17235</v>
      </c>
      <c r="H170" s="4"/>
      <c r="I170" s="46"/>
    </row>
    <row r="171" spans="1:9" s="51" customFormat="1" ht="46.5" customHeight="1" hidden="1">
      <c r="A171" s="221" t="s">
        <v>264</v>
      </c>
      <c r="B171" s="225" t="s">
        <v>441</v>
      </c>
      <c r="C171" s="4"/>
      <c r="D171" s="5"/>
      <c r="E171" s="4" t="s">
        <v>511</v>
      </c>
      <c r="F171" s="19">
        <v>0</v>
      </c>
      <c r="G171" s="19">
        <f t="shared" si="6"/>
        <v>0</v>
      </c>
      <c r="H171" s="4"/>
      <c r="I171" s="52"/>
    </row>
    <row r="172" spans="1:9" s="51" customFormat="1" ht="69.75" customHeight="1" hidden="1">
      <c r="A172" s="231"/>
      <c r="B172" s="232"/>
      <c r="C172" s="4"/>
      <c r="D172" s="5"/>
      <c r="E172" s="4" t="s">
        <v>66</v>
      </c>
      <c r="F172" s="19">
        <v>1529939</v>
      </c>
      <c r="G172" s="19">
        <f t="shared" si="6"/>
        <v>1529939</v>
      </c>
      <c r="H172" s="4"/>
      <c r="I172" s="52"/>
    </row>
    <row r="173" spans="1:9" s="51" customFormat="1" ht="87" customHeight="1" hidden="1">
      <c r="A173" s="222"/>
      <c r="B173" s="226"/>
      <c r="C173" s="4"/>
      <c r="D173" s="5"/>
      <c r="E173" s="4" t="s">
        <v>44</v>
      </c>
      <c r="F173" s="19">
        <v>187691</v>
      </c>
      <c r="G173" s="19">
        <f t="shared" si="6"/>
        <v>187691</v>
      </c>
      <c r="H173" s="4"/>
      <c r="I173" s="52"/>
    </row>
    <row r="174" spans="1:9" s="20" customFormat="1" ht="69.75" customHeight="1" hidden="1">
      <c r="A174" s="18" t="s">
        <v>321</v>
      </c>
      <c r="B174" s="4" t="s">
        <v>322</v>
      </c>
      <c r="C174" s="4"/>
      <c r="D174" s="5"/>
      <c r="E174" s="4" t="s">
        <v>41</v>
      </c>
      <c r="F174" s="19">
        <v>31540500</v>
      </c>
      <c r="G174" s="19">
        <f t="shared" si="6"/>
        <v>31540500</v>
      </c>
      <c r="H174" s="4"/>
      <c r="I174" s="46"/>
    </row>
    <row r="175" spans="1:9" s="20" customFormat="1" ht="27.75" customHeight="1" hidden="1">
      <c r="A175" s="4">
        <v>180107</v>
      </c>
      <c r="B175" s="4" t="s">
        <v>453</v>
      </c>
      <c r="C175" s="4"/>
      <c r="D175" s="17"/>
      <c r="E175" s="4" t="s">
        <v>471</v>
      </c>
      <c r="F175" s="19">
        <v>0</v>
      </c>
      <c r="G175" s="19">
        <f t="shared" si="6"/>
        <v>0</v>
      </c>
      <c r="H175" s="4"/>
      <c r="I175" s="46"/>
    </row>
    <row r="176" spans="1:9" s="20" customFormat="1" ht="63" customHeight="1" hidden="1">
      <c r="A176" s="227">
        <v>180409</v>
      </c>
      <c r="B176" s="227" t="s">
        <v>464</v>
      </c>
      <c r="C176" s="4"/>
      <c r="D176" s="17"/>
      <c r="E176" s="4" t="s">
        <v>67</v>
      </c>
      <c r="F176" s="19">
        <v>6226733</v>
      </c>
      <c r="G176" s="19">
        <f t="shared" si="6"/>
        <v>6226733</v>
      </c>
      <c r="H176" s="4"/>
      <c r="I176" s="46"/>
    </row>
    <row r="177" spans="1:9" s="20" customFormat="1" ht="63" hidden="1">
      <c r="A177" s="227"/>
      <c r="B177" s="227"/>
      <c r="C177" s="4"/>
      <c r="D177" s="17"/>
      <c r="E177" s="4" t="s">
        <v>35</v>
      </c>
      <c r="F177" s="19">
        <v>2688100</v>
      </c>
      <c r="G177" s="19">
        <f t="shared" si="6"/>
        <v>2688100</v>
      </c>
      <c r="H177" s="4"/>
      <c r="I177" s="46"/>
    </row>
    <row r="178" spans="1:9" s="20" customFormat="1" ht="31.5" hidden="1">
      <c r="A178" s="18" t="s">
        <v>254</v>
      </c>
      <c r="B178" s="4" t="s">
        <v>331</v>
      </c>
      <c r="C178" s="4"/>
      <c r="D178" s="5"/>
      <c r="E178" s="4" t="s">
        <v>591</v>
      </c>
      <c r="F178" s="19">
        <v>2250578</v>
      </c>
      <c r="G178" s="19">
        <f t="shared" si="6"/>
        <v>2250578</v>
      </c>
      <c r="H178" s="4"/>
      <c r="I178" s="46"/>
    </row>
    <row r="179" spans="1:9" s="20" customFormat="1" ht="39.75" customHeight="1" hidden="1">
      <c r="A179" s="221" t="s">
        <v>302</v>
      </c>
      <c r="B179" s="225" t="s">
        <v>317</v>
      </c>
      <c r="C179" s="4" t="s">
        <v>68</v>
      </c>
      <c r="D179" s="17">
        <v>5627420</v>
      </c>
      <c r="E179" s="4" t="s">
        <v>68</v>
      </c>
      <c r="F179" s="12">
        <v>1287772</v>
      </c>
      <c r="G179" s="19">
        <f>D179+F179</f>
        <v>6915192</v>
      </c>
      <c r="H179" s="4"/>
      <c r="I179" s="46"/>
    </row>
    <row r="180" spans="1:9" s="20" customFormat="1" ht="45.75" customHeight="1" hidden="1">
      <c r="A180" s="222"/>
      <c r="B180" s="226"/>
      <c r="C180" s="4" t="s">
        <v>583</v>
      </c>
      <c r="D180" s="17">
        <v>655808</v>
      </c>
      <c r="E180" s="4"/>
      <c r="F180" s="12"/>
      <c r="G180" s="19">
        <f>D180+F180</f>
        <v>655808</v>
      </c>
      <c r="H180" s="4"/>
      <c r="I180" s="46"/>
    </row>
    <row r="181" spans="1:9" s="20" customFormat="1" ht="38.25" hidden="1">
      <c r="A181" s="18" t="s">
        <v>264</v>
      </c>
      <c r="B181" s="29" t="s">
        <v>441</v>
      </c>
      <c r="C181" s="4"/>
      <c r="D181" s="5"/>
      <c r="E181" s="4" t="s">
        <v>449</v>
      </c>
      <c r="F181" s="12">
        <v>0</v>
      </c>
      <c r="G181" s="9">
        <v>0</v>
      </c>
      <c r="H181" s="4"/>
      <c r="I181" s="46"/>
    </row>
    <row r="182" spans="1:9" s="20" customFormat="1" ht="70.5" customHeight="1" hidden="1">
      <c r="A182" s="22" t="s">
        <v>463</v>
      </c>
      <c r="B182" s="23" t="s">
        <v>462</v>
      </c>
      <c r="C182" s="23"/>
      <c r="D182" s="24">
        <v>0</v>
      </c>
      <c r="E182" s="23"/>
      <c r="F182" s="30"/>
      <c r="G182" s="27">
        <v>0</v>
      </c>
      <c r="H182" s="4"/>
      <c r="I182" s="46"/>
    </row>
    <row r="183" spans="1:9" s="20" customFormat="1" ht="36" customHeight="1" hidden="1">
      <c r="A183" s="18" t="s">
        <v>311</v>
      </c>
      <c r="B183" s="4" t="s">
        <v>318</v>
      </c>
      <c r="C183" s="4" t="s">
        <v>343</v>
      </c>
      <c r="D183" s="17">
        <v>0</v>
      </c>
      <c r="E183" s="4"/>
      <c r="F183" s="12"/>
      <c r="G183" s="9">
        <v>0</v>
      </c>
      <c r="H183" s="4"/>
      <c r="I183" s="46"/>
    </row>
    <row r="184" spans="1:9" s="20" customFormat="1" ht="47.25" customHeight="1" hidden="1">
      <c r="A184" s="18" t="s">
        <v>319</v>
      </c>
      <c r="B184" s="4" t="s">
        <v>341</v>
      </c>
      <c r="C184" s="4" t="s">
        <v>439</v>
      </c>
      <c r="D184" s="17">
        <v>0</v>
      </c>
      <c r="E184" s="4"/>
      <c r="F184" s="12"/>
      <c r="G184" s="9">
        <v>0</v>
      </c>
      <c r="H184" s="4"/>
      <c r="I184" s="46"/>
    </row>
    <row r="185" spans="1:9" s="20" customFormat="1" ht="47.25" hidden="1">
      <c r="A185" s="22" t="s">
        <v>383</v>
      </c>
      <c r="B185" s="23" t="s">
        <v>278</v>
      </c>
      <c r="C185" s="4"/>
      <c r="D185" s="24">
        <f>D187</f>
        <v>40159</v>
      </c>
      <c r="E185" s="5"/>
      <c r="F185" s="24">
        <f>F186</f>
        <v>61915</v>
      </c>
      <c r="G185" s="28">
        <f aca="true" t="shared" si="7" ref="G185:G192">D185+F185</f>
        <v>102074</v>
      </c>
      <c r="H185" s="71"/>
      <c r="I185" s="46"/>
    </row>
    <row r="186" spans="1:9" s="20" customFormat="1" ht="48" customHeight="1" hidden="1">
      <c r="A186" s="18" t="s">
        <v>402</v>
      </c>
      <c r="B186" s="4" t="s">
        <v>403</v>
      </c>
      <c r="C186" s="4"/>
      <c r="D186" s="17"/>
      <c r="E186" s="4" t="s">
        <v>37</v>
      </c>
      <c r="F186" s="19">
        <v>61915</v>
      </c>
      <c r="G186" s="19">
        <f t="shared" si="7"/>
        <v>61915</v>
      </c>
      <c r="H186" s="4"/>
      <c r="I186" s="46"/>
    </row>
    <row r="187" spans="1:9" s="20" customFormat="1" ht="63" hidden="1">
      <c r="A187" s="18" t="s">
        <v>302</v>
      </c>
      <c r="B187" s="4" t="s">
        <v>317</v>
      </c>
      <c r="C187" s="4" t="s">
        <v>7</v>
      </c>
      <c r="D187" s="17">
        <v>40159</v>
      </c>
      <c r="E187" s="4"/>
      <c r="F187" s="9"/>
      <c r="G187" s="19">
        <f t="shared" si="7"/>
        <v>40159</v>
      </c>
      <c r="H187" s="4"/>
      <c r="I187" s="46"/>
    </row>
    <row r="188" spans="1:9" s="20" customFormat="1" ht="47.25" hidden="1">
      <c r="A188" s="22" t="s">
        <v>387</v>
      </c>
      <c r="B188" s="23" t="s">
        <v>280</v>
      </c>
      <c r="C188" s="4"/>
      <c r="D188" s="24">
        <f>D189+D191+D192+D193+D190</f>
        <v>2934703</v>
      </c>
      <c r="E188" s="5"/>
      <c r="F188" s="28">
        <f>F189+F193+F191+F190</f>
        <v>1664951</v>
      </c>
      <c r="G188" s="28">
        <f>D188+F188</f>
        <v>4599654</v>
      </c>
      <c r="H188" s="4"/>
      <c r="I188" s="46"/>
    </row>
    <row r="189" spans="1:9" s="20" customFormat="1" ht="53.25" customHeight="1" hidden="1">
      <c r="A189" s="18" t="s">
        <v>402</v>
      </c>
      <c r="B189" s="4" t="s">
        <v>403</v>
      </c>
      <c r="C189" s="4"/>
      <c r="D189" s="17"/>
      <c r="E189" s="4" t="s">
        <v>37</v>
      </c>
      <c r="F189" s="19">
        <v>14000</v>
      </c>
      <c r="G189" s="19">
        <f t="shared" si="7"/>
        <v>14000</v>
      </c>
      <c r="H189" s="4"/>
      <c r="I189" s="46"/>
    </row>
    <row r="190" spans="1:9" s="20" customFormat="1" ht="63" customHeight="1" hidden="1">
      <c r="A190" s="18" t="s">
        <v>31</v>
      </c>
      <c r="B190" s="4" t="s">
        <v>36</v>
      </c>
      <c r="C190" s="4" t="s">
        <v>227</v>
      </c>
      <c r="D190" s="17">
        <v>24055</v>
      </c>
      <c r="E190" s="4" t="s">
        <v>227</v>
      </c>
      <c r="F190" s="9">
        <v>1550464</v>
      </c>
      <c r="G190" s="19">
        <f>D190+F190</f>
        <v>1574519</v>
      </c>
      <c r="H190" s="4"/>
      <c r="I190" s="46"/>
    </row>
    <row r="191" spans="1:9" s="20" customFormat="1" ht="47.25" hidden="1">
      <c r="A191" s="233">
        <v>250404</v>
      </c>
      <c r="B191" s="233" t="s">
        <v>317</v>
      </c>
      <c r="C191" s="4"/>
      <c r="D191" s="21"/>
      <c r="E191" s="4" t="s">
        <v>233</v>
      </c>
      <c r="F191" s="12">
        <v>100487</v>
      </c>
      <c r="G191" s="19">
        <f t="shared" si="7"/>
        <v>100487</v>
      </c>
      <c r="H191" s="4"/>
      <c r="I191" s="46"/>
    </row>
    <row r="192" spans="1:9" s="20" customFormat="1" ht="51" customHeight="1" hidden="1">
      <c r="A192" s="233"/>
      <c r="B192" s="233"/>
      <c r="C192" s="4" t="s">
        <v>226</v>
      </c>
      <c r="D192" s="21">
        <v>2910648</v>
      </c>
      <c r="E192" s="4"/>
      <c r="F192" s="31"/>
      <c r="G192" s="19">
        <f t="shared" si="7"/>
        <v>2910648</v>
      </c>
      <c r="H192" s="4"/>
      <c r="I192" s="46"/>
    </row>
    <row r="193" spans="1:9" s="20" customFormat="1" ht="66" customHeight="1" hidden="1">
      <c r="A193" s="234"/>
      <c r="B193" s="233"/>
      <c r="D193" s="21"/>
      <c r="E193" s="4"/>
      <c r="F193" s="9"/>
      <c r="G193" s="19">
        <f>D193+F193</f>
        <v>0</v>
      </c>
      <c r="H193" s="4"/>
      <c r="I193" s="46"/>
    </row>
    <row r="194" spans="1:9" s="20" customFormat="1" ht="31.5" hidden="1">
      <c r="A194" s="22">
        <v>50</v>
      </c>
      <c r="B194" s="23" t="s">
        <v>423</v>
      </c>
      <c r="C194" s="4"/>
      <c r="D194" s="24">
        <v>0</v>
      </c>
      <c r="E194" s="5"/>
      <c r="F194" s="27">
        <v>0</v>
      </c>
      <c r="G194" s="27">
        <v>0</v>
      </c>
      <c r="H194" s="4"/>
      <c r="I194" s="46"/>
    </row>
    <row r="195" spans="1:9" s="20" customFormat="1" ht="48.75" customHeight="1" hidden="1">
      <c r="A195" s="18" t="s">
        <v>402</v>
      </c>
      <c r="B195" s="4" t="s">
        <v>403</v>
      </c>
      <c r="C195" s="4" t="s">
        <v>415</v>
      </c>
      <c r="D195" s="21"/>
      <c r="E195" s="4"/>
      <c r="F195" s="9"/>
      <c r="G195" s="9">
        <v>0</v>
      </c>
      <c r="H195" s="4"/>
      <c r="I195" s="46"/>
    </row>
    <row r="196" spans="1:9" s="20" customFormat="1" ht="47.25" hidden="1">
      <c r="A196" s="22" t="s">
        <v>391</v>
      </c>
      <c r="B196" s="23" t="s">
        <v>284</v>
      </c>
      <c r="C196" s="23"/>
      <c r="D196" s="24">
        <v>0</v>
      </c>
      <c r="E196" s="32"/>
      <c r="F196" s="24">
        <f>F197+F198</f>
        <v>41720</v>
      </c>
      <c r="G196" s="24">
        <f aca="true" t="shared" si="8" ref="G196:G203">D196+F196</f>
        <v>41720</v>
      </c>
      <c r="H196" s="71"/>
      <c r="I196" s="46"/>
    </row>
    <row r="197" spans="1:9" s="20" customFormat="1" ht="31.5" hidden="1">
      <c r="A197" s="18" t="s">
        <v>402</v>
      </c>
      <c r="B197" s="4" t="s">
        <v>403</v>
      </c>
      <c r="C197" s="4"/>
      <c r="D197" s="17"/>
      <c r="E197" s="4" t="s">
        <v>37</v>
      </c>
      <c r="F197" s="17">
        <v>41720</v>
      </c>
      <c r="G197" s="17">
        <f t="shared" si="8"/>
        <v>41720</v>
      </c>
      <c r="H197" s="4"/>
      <c r="I197" s="46"/>
    </row>
    <row r="198" spans="1:9" s="20" customFormat="1" ht="47.25" hidden="1">
      <c r="A198" s="18" t="s">
        <v>266</v>
      </c>
      <c r="B198" s="4" t="s">
        <v>267</v>
      </c>
      <c r="C198" s="4"/>
      <c r="D198" s="17"/>
      <c r="E198" s="70" t="s">
        <v>542</v>
      </c>
      <c r="F198" s="19">
        <v>0</v>
      </c>
      <c r="G198" s="17">
        <f t="shared" si="8"/>
        <v>0</v>
      </c>
      <c r="H198" s="4"/>
      <c r="I198" s="46"/>
    </row>
    <row r="199" spans="1:9" s="20" customFormat="1" ht="53.25" customHeight="1" hidden="1">
      <c r="A199" s="22" t="s">
        <v>388</v>
      </c>
      <c r="B199" s="23" t="s">
        <v>281</v>
      </c>
      <c r="C199" s="4"/>
      <c r="D199" s="24">
        <f>D203+D200+D201</f>
        <v>0</v>
      </c>
      <c r="E199" s="5"/>
      <c r="F199" s="24">
        <f>F201+F202+F200</f>
        <v>14491369</v>
      </c>
      <c r="G199" s="24">
        <f t="shared" si="8"/>
        <v>14491369</v>
      </c>
      <c r="H199" s="71"/>
      <c r="I199" s="46"/>
    </row>
    <row r="200" spans="1:9" s="20" customFormat="1" ht="33" customHeight="1" hidden="1">
      <c r="A200" s="18" t="s">
        <v>402</v>
      </c>
      <c r="B200" s="4" t="s">
        <v>403</v>
      </c>
      <c r="C200" s="4"/>
      <c r="D200" s="17"/>
      <c r="E200" s="4" t="s">
        <v>37</v>
      </c>
      <c r="F200" s="19">
        <v>21000</v>
      </c>
      <c r="G200" s="17">
        <f>D200+F200</f>
        <v>21000</v>
      </c>
      <c r="H200" s="4"/>
      <c r="I200" s="46"/>
    </row>
    <row r="201" spans="1:9" s="20" customFormat="1" ht="32.25" customHeight="1" hidden="1">
      <c r="A201" s="4">
        <v>240601</v>
      </c>
      <c r="B201" s="4" t="s">
        <v>331</v>
      </c>
      <c r="C201" s="4"/>
      <c r="D201" s="5"/>
      <c r="E201" s="4" t="s">
        <v>591</v>
      </c>
      <c r="F201" s="19">
        <v>14470369</v>
      </c>
      <c r="G201" s="17">
        <f t="shared" si="8"/>
        <v>14470369</v>
      </c>
      <c r="H201" s="4"/>
      <c r="I201" s="46"/>
    </row>
    <row r="202" spans="1:9" s="20" customFormat="1" ht="72" customHeight="1" hidden="1">
      <c r="A202" s="4">
        <v>240900</v>
      </c>
      <c r="B202" s="4" t="s">
        <v>461</v>
      </c>
      <c r="C202" s="4"/>
      <c r="D202" s="5"/>
      <c r="E202" s="70" t="s">
        <v>598</v>
      </c>
      <c r="F202" s="19">
        <v>0</v>
      </c>
      <c r="G202" s="17">
        <f t="shared" si="8"/>
        <v>0</v>
      </c>
      <c r="H202" s="4"/>
      <c r="I202" s="46"/>
    </row>
    <row r="203" spans="1:9" s="20" customFormat="1" ht="54" customHeight="1" hidden="1">
      <c r="A203" s="4">
        <v>250404</v>
      </c>
      <c r="B203" s="4" t="s">
        <v>450</v>
      </c>
      <c r="C203" s="4" t="s">
        <v>549</v>
      </c>
      <c r="D203" s="17">
        <v>0</v>
      </c>
      <c r="E203" s="4"/>
      <c r="F203" s="19"/>
      <c r="G203" s="17">
        <f t="shared" si="8"/>
        <v>0</v>
      </c>
      <c r="H203" s="4"/>
      <c r="I203" s="46"/>
    </row>
    <row r="204" spans="1:9" s="20" customFormat="1" ht="47.25" hidden="1">
      <c r="A204" s="22" t="s">
        <v>386</v>
      </c>
      <c r="B204" s="23" t="s">
        <v>282</v>
      </c>
      <c r="C204" s="4"/>
      <c r="D204" s="24">
        <f>D206+D207+D213+D215+D214</f>
        <v>14847723</v>
      </c>
      <c r="E204" s="5"/>
      <c r="F204" s="24">
        <f>F205+F206+F208+F209+F210+F211+F213</f>
        <v>3804223</v>
      </c>
      <c r="G204" s="24">
        <f>D204+F204</f>
        <v>18651946</v>
      </c>
      <c r="H204" s="71"/>
      <c r="I204" s="46"/>
    </row>
    <row r="205" spans="1:9" s="20" customFormat="1" ht="48" customHeight="1" hidden="1">
      <c r="A205" s="18" t="s">
        <v>402</v>
      </c>
      <c r="B205" s="4" t="s">
        <v>403</v>
      </c>
      <c r="C205" s="4"/>
      <c r="D205" s="17"/>
      <c r="E205" s="4" t="s">
        <v>37</v>
      </c>
      <c r="F205" s="9">
        <v>7000</v>
      </c>
      <c r="G205" s="17">
        <f>D205+F205</f>
        <v>7000</v>
      </c>
      <c r="H205" s="4"/>
      <c r="I205" s="46"/>
    </row>
    <row r="206" spans="1:9" s="20" customFormat="1" ht="84.75" customHeight="1" hidden="1">
      <c r="A206" s="18" t="s">
        <v>256</v>
      </c>
      <c r="B206" s="4" t="s">
        <v>257</v>
      </c>
      <c r="C206" s="4" t="s">
        <v>29</v>
      </c>
      <c r="D206" s="17">
        <v>2300000</v>
      </c>
      <c r="E206" s="4" t="s">
        <v>29</v>
      </c>
      <c r="F206" s="19">
        <v>296214</v>
      </c>
      <c r="G206" s="17">
        <f>D206+F206</f>
        <v>2596214</v>
      </c>
      <c r="H206" s="4"/>
      <c r="I206" s="46"/>
    </row>
    <row r="207" spans="1:9" s="20" customFormat="1" ht="72.75" customHeight="1" hidden="1">
      <c r="A207" s="18" t="s">
        <v>307</v>
      </c>
      <c r="B207" s="4" t="s">
        <v>308</v>
      </c>
      <c r="C207" s="4" t="s">
        <v>45</v>
      </c>
      <c r="D207" s="17">
        <v>10000000</v>
      </c>
      <c r="E207" s="4"/>
      <c r="F207" s="9"/>
      <c r="G207" s="17">
        <f>D207+F207</f>
        <v>10000000</v>
      </c>
      <c r="H207" s="4"/>
      <c r="I207" s="46"/>
    </row>
    <row r="208" spans="1:9" s="20" customFormat="1" ht="78.75" hidden="1">
      <c r="A208" s="221" t="s">
        <v>309</v>
      </c>
      <c r="B208" s="225" t="s">
        <v>310</v>
      </c>
      <c r="C208" s="4"/>
      <c r="D208" s="17"/>
      <c r="E208" s="4" t="s">
        <v>45</v>
      </c>
      <c r="F208" s="19">
        <v>1355142</v>
      </c>
      <c r="G208" s="17">
        <f aca="true" t="shared" si="9" ref="G208:G215">D208+F208</f>
        <v>1355142</v>
      </c>
      <c r="H208" s="4"/>
      <c r="I208" s="46"/>
    </row>
    <row r="209" spans="1:9" s="20" customFormat="1" ht="47.25" hidden="1">
      <c r="A209" s="222"/>
      <c r="B209" s="226"/>
      <c r="C209" s="4"/>
      <c r="D209" s="17"/>
      <c r="E209" s="4" t="s">
        <v>601</v>
      </c>
      <c r="F209" s="19">
        <v>25880</v>
      </c>
      <c r="G209" s="17">
        <f t="shared" si="9"/>
        <v>25880</v>
      </c>
      <c r="H209" s="4"/>
      <c r="I209" s="46"/>
    </row>
    <row r="210" spans="1:9" s="20" customFormat="1" ht="62.25" customHeight="1" hidden="1">
      <c r="A210" s="223" t="s">
        <v>323</v>
      </c>
      <c r="B210" s="227" t="s">
        <v>464</v>
      </c>
      <c r="C210" s="227"/>
      <c r="D210" s="17"/>
      <c r="E210" s="4" t="s">
        <v>45</v>
      </c>
      <c r="F210" s="19">
        <v>66000</v>
      </c>
      <c r="G210" s="17">
        <f t="shared" si="9"/>
        <v>66000</v>
      </c>
      <c r="H210" s="4"/>
      <c r="I210" s="46"/>
    </row>
    <row r="211" spans="1:9" s="20" customFormat="1" ht="63" hidden="1">
      <c r="A211" s="223"/>
      <c r="B211" s="227"/>
      <c r="C211" s="227"/>
      <c r="D211" s="230"/>
      <c r="E211" s="4" t="s">
        <v>46</v>
      </c>
      <c r="F211" s="19">
        <v>1573041</v>
      </c>
      <c r="G211" s="17">
        <f t="shared" si="9"/>
        <v>1573041</v>
      </c>
      <c r="H211" s="4"/>
      <c r="I211" s="46"/>
    </row>
    <row r="212" spans="1:9" s="20" customFormat="1" ht="47.25" hidden="1">
      <c r="A212" s="223"/>
      <c r="B212" s="227"/>
      <c r="C212" s="227"/>
      <c r="D212" s="230"/>
      <c r="E212" s="4" t="s">
        <v>545</v>
      </c>
      <c r="F212" s="9">
        <v>0</v>
      </c>
      <c r="G212" s="17">
        <f t="shared" si="9"/>
        <v>0</v>
      </c>
      <c r="H212" s="4"/>
      <c r="I212" s="46"/>
    </row>
    <row r="213" spans="1:9" s="20" customFormat="1" ht="69" customHeight="1" hidden="1">
      <c r="A213" s="18" t="s">
        <v>454</v>
      </c>
      <c r="B213" s="4" t="s">
        <v>455</v>
      </c>
      <c r="C213" s="4" t="s">
        <v>45</v>
      </c>
      <c r="D213" s="17">
        <v>122723</v>
      </c>
      <c r="E213" s="4" t="s">
        <v>46</v>
      </c>
      <c r="F213" s="19">
        <v>480946</v>
      </c>
      <c r="G213" s="17">
        <f t="shared" si="9"/>
        <v>603669</v>
      </c>
      <c r="H213" s="4"/>
      <c r="I213" s="46"/>
    </row>
    <row r="214" spans="1:9" s="20" customFormat="1" ht="63" hidden="1">
      <c r="A214" s="223" t="s">
        <v>302</v>
      </c>
      <c r="B214" s="227" t="s">
        <v>317</v>
      </c>
      <c r="C214" s="4" t="s">
        <v>46</v>
      </c>
      <c r="D214" s="17">
        <v>2425000</v>
      </c>
      <c r="E214" s="4"/>
      <c r="F214" s="9"/>
      <c r="G214" s="17">
        <f t="shared" si="9"/>
        <v>2425000</v>
      </c>
      <c r="H214" s="4"/>
      <c r="I214" s="46"/>
    </row>
    <row r="215" spans="1:9" s="20" customFormat="1" ht="63" hidden="1">
      <c r="A215" s="223"/>
      <c r="B215" s="227"/>
      <c r="C215" s="4" t="s">
        <v>547</v>
      </c>
      <c r="D215" s="17">
        <v>0</v>
      </c>
      <c r="E215" s="4" t="s">
        <v>547</v>
      </c>
      <c r="F215" s="19">
        <v>0</v>
      </c>
      <c r="G215" s="17">
        <f t="shared" si="9"/>
        <v>0</v>
      </c>
      <c r="H215" s="4"/>
      <c r="I215" s="46"/>
    </row>
    <row r="216" spans="1:9" s="20" customFormat="1" ht="78.75" customHeight="1">
      <c r="A216" s="22" t="s">
        <v>381</v>
      </c>
      <c r="B216" s="23" t="s">
        <v>277</v>
      </c>
      <c r="C216" s="4"/>
      <c r="D216" s="24">
        <f>D218+D219+D220</f>
        <v>6262527</v>
      </c>
      <c r="E216" s="5"/>
      <c r="F216" s="28">
        <f>F218+F219+F217</f>
        <v>6501142</v>
      </c>
      <c r="G216" s="28">
        <f>D216+F216</f>
        <v>12763669</v>
      </c>
      <c r="H216" s="71"/>
      <c r="I216" s="46"/>
    </row>
    <row r="217" spans="1:9" s="20" customFormat="1" ht="42" customHeight="1" hidden="1">
      <c r="A217" s="18" t="s">
        <v>402</v>
      </c>
      <c r="B217" s="4" t="s">
        <v>403</v>
      </c>
      <c r="C217" s="4"/>
      <c r="D217" s="17"/>
      <c r="E217" s="4" t="s">
        <v>37</v>
      </c>
      <c r="F217" s="12">
        <v>7000</v>
      </c>
      <c r="G217" s="19">
        <f aca="true" t="shared" si="10" ref="G217:G233">D217+F217</f>
        <v>7000</v>
      </c>
      <c r="H217" s="4"/>
      <c r="I217" s="46"/>
    </row>
    <row r="218" spans="1:9" s="20" customFormat="1" ht="69.75" customHeight="1">
      <c r="A218" s="18" t="s">
        <v>313</v>
      </c>
      <c r="B218" s="4" t="s">
        <v>314</v>
      </c>
      <c r="C218" s="4" t="s">
        <v>47</v>
      </c>
      <c r="D218" s="17">
        <v>3201442</v>
      </c>
      <c r="E218" s="4" t="s">
        <v>47</v>
      </c>
      <c r="F218" s="12">
        <v>6203691</v>
      </c>
      <c r="G218" s="19">
        <f>D218+F218</f>
        <v>9405133</v>
      </c>
      <c r="H218" s="71">
        <v>82552</v>
      </c>
      <c r="I218" s="46"/>
    </row>
    <row r="219" spans="1:9" s="20" customFormat="1" ht="63">
      <c r="A219" s="223" t="s">
        <v>315</v>
      </c>
      <c r="B219" s="227" t="s">
        <v>316</v>
      </c>
      <c r="C219" s="4" t="s">
        <v>47</v>
      </c>
      <c r="D219" s="17">
        <v>3059895</v>
      </c>
      <c r="E219" s="4" t="s">
        <v>47</v>
      </c>
      <c r="F219" s="12">
        <v>290451</v>
      </c>
      <c r="G219" s="19">
        <f>D219+F219</f>
        <v>3350346</v>
      </c>
      <c r="H219" s="71">
        <v>64182</v>
      </c>
      <c r="I219" s="46"/>
    </row>
    <row r="220" spans="1:9" s="20" customFormat="1" ht="68.25" customHeight="1" hidden="1">
      <c r="A220" s="223"/>
      <c r="B220" s="227"/>
      <c r="C220" s="4" t="s">
        <v>7</v>
      </c>
      <c r="D220" s="17">
        <v>1190</v>
      </c>
      <c r="E220" s="4"/>
      <c r="F220" s="12"/>
      <c r="G220" s="19">
        <f t="shared" si="10"/>
        <v>1190</v>
      </c>
      <c r="H220" s="4"/>
      <c r="I220" s="46"/>
    </row>
    <row r="221" spans="1:9" s="20" customFormat="1" ht="47.25" hidden="1">
      <c r="A221" s="22" t="s">
        <v>390</v>
      </c>
      <c r="B221" s="23" t="s">
        <v>283</v>
      </c>
      <c r="C221" s="4"/>
      <c r="D221" s="24">
        <f>D226</f>
        <v>0</v>
      </c>
      <c r="E221" s="5"/>
      <c r="F221" s="24">
        <f>F222+F223+F224</f>
        <v>7046384</v>
      </c>
      <c r="G221" s="24">
        <f>D221+F221</f>
        <v>7046384</v>
      </c>
      <c r="H221" s="71"/>
      <c r="I221" s="46"/>
    </row>
    <row r="222" spans="1:9" s="20" customFormat="1" ht="31.5" hidden="1">
      <c r="A222" s="18" t="s">
        <v>402</v>
      </c>
      <c r="B222" s="4" t="s">
        <v>403</v>
      </c>
      <c r="C222" s="4"/>
      <c r="D222" s="17"/>
      <c r="E222" s="4" t="s">
        <v>37</v>
      </c>
      <c r="F222" s="17">
        <v>35000</v>
      </c>
      <c r="G222" s="17">
        <f t="shared" si="10"/>
        <v>35000</v>
      </c>
      <c r="H222" s="4"/>
      <c r="I222" s="46"/>
    </row>
    <row r="223" spans="1:9" s="20" customFormat="1" ht="47.25" hidden="1">
      <c r="A223" s="18" t="s">
        <v>309</v>
      </c>
      <c r="B223" s="4" t="s">
        <v>310</v>
      </c>
      <c r="C223" s="4"/>
      <c r="D223" s="5"/>
      <c r="E223" s="4" t="s">
        <v>48</v>
      </c>
      <c r="F223" s="12">
        <v>3511384</v>
      </c>
      <c r="G223" s="17">
        <f t="shared" si="10"/>
        <v>3511384</v>
      </c>
      <c r="H223" s="4"/>
      <c r="I223" s="46"/>
    </row>
    <row r="224" spans="1:9" s="20" customFormat="1" ht="79.5" customHeight="1" hidden="1">
      <c r="A224" s="18" t="s">
        <v>324</v>
      </c>
      <c r="B224" s="4" t="s">
        <v>325</v>
      </c>
      <c r="C224" s="4"/>
      <c r="D224" s="5"/>
      <c r="E224" s="4" t="s">
        <v>48</v>
      </c>
      <c r="F224" s="19">
        <v>3500000</v>
      </c>
      <c r="G224" s="17">
        <f t="shared" si="10"/>
        <v>3500000</v>
      </c>
      <c r="H224" s="4"/>
      <c r="I224" s="46"/>
    </row>
    <row r="225" spans="1:9" s="20" customFormat="1" ht="78.75" hidden="1">
      <c r="A225" s="18" t="s">
        <v>313</v>
      </c>
      <c r="B225" s="4" t="s">
        <v>459</v>
      </c>
      <c r="C225" s="4"/>
      <c r="D225" s="17"/>
      <c r="E225" s="4" t="s">
        <v>512</v>
      </c>
      <c r="F225" s="19">
        <v>0</v>
      </c>
      <c r="G225" s="24">
        <f t="shared" si="10"/>
        <v>0</v>
      </c>
      <c r="H225" s="4"/>
      <c r="I225" s="46"/>
    </row>
    <row r="226" spans="1:9" s="20" customFormat="1" ht="53.25" customHeight="1" hidden="1">
      <c r="A226" s="18" t="s">
        <v>302</v>
      </c>
      <c r="B226" s="4" t="s">
        <v>317</v>
      </c>
      <c r="C226" s="4" t="s">
        <v>496</v>
      </c>
      <c r="D226" s="17">
        <v>0</v>
      </c>
      <c r="E226" s="4"/>
      <c r="F226" s="19"/>
      <c r="G226" s="17">
        <f t="shared" si="10"/>
        <v>0</v>
      </c>
      <c r="H226" s="4"/>
      <c r="I226" s="46"/>
    </row>
    <row r="227" spans="1:9" s="20" customFormat="1" ht="46.5" customHeight="1" hidden="1">
      <c r="A227" s="22" t="s">
        <v>389</v>
      </c>
      <c r="B227" s="23" t="s">
        <v>262</v>
      </c>
      <c r="C227" s="4"/>
      <c r="D227" s="24">
        <f>D229+D230+D232</f>
        <v>35602</v>
      </c>
      <c r="E227" s="5"/>
      <c r="F227" s="28">
        <f>F229</f>
        <v>70000</v>
      </c>
      <c r="G227" s="28">
        <f t="shared" si="10"/>
        <v>105602</v>
      </c>
      <c r="H227" s="4"/>
      <c r="I227" s="46"/>
    </row>
    <row r="228" spans="1:9" s="20" customFormat="1" ht="46.5" customHeight="1" hidden="1">
      <c r="A228" s="26" t="s">
        <v>402</v>
      </c>
      <c r="B228" s="4" t="s">
        <v>403</v>
      </c>
      <c r="C228" s="4" t="s">
        <v>422</v>
      </c>
      <c r="D228" s="21"/>
      <c r="E228" s="5"/>
      <c r="F228" s="19"/>
      <c r="G228" s="28">
        <f t="shared" si="10"/>
        <v>0</v>
      </c>
      <c r="H228" s="4"/>
      <c r="I228" s="46"/>
    </row>
    <row r="229" spans="1:9" s="20" customFormat="1" ht="70.5" customHeight="1" hidden="1">
      <c r="A229" s="18" t="s">
        <v>402</v>
      </c>
      <c r="B229" s="4" t="s">
        <v>403</v>
      </c>
      <c r="C229" s="4" t="s">
        <v>7</v>
      </c>
      <c r="D229" s="21">
        <v>2602</v>
      </c>
      <c r="E229" s="4" t="s">
        <v>37</v>
      </c>
      <c r="F229" s="19">
        <v>70000</v>
      </c>
      <c r="G229" s="19">
        <f>D229+F229</f>
        <v>72602</v>
      </c>
      <c r="H229" s="4"/>
      <c r="I229" s="46"/>
    </row>
    <row r="230" spans="1:9" s="20" customFormat="1" ht="15.75" hidden="1">
      <c r="A230" s="26">
        <v>230000</v>
      </c>
      <c r="B230" s="4" t="s">
        <v>431</v>
      </c>
      <c r="C230" s="227" t="s">
        <v>590</v>
      </c>
      <c r="D230" s="21">
        <v>0</v>
      </c>
      <c r="E230" s="5"/>
      <c r="F230" s="27"/>
      <c r="G230" s="19">
        <f t="shared" si="10"/>
        <v>0</v>
      </c>
      <c r="H230" s="4"/>
      <c r="I230" s="46"/>
    </row>
    <row r="231" spans="1:9" s="20" customFormat="1" ht="48" customHeight="1" hidden="1">
      <c r="A231" s="26">
        <v>210105</v>
      </c>
      <c r="B231" s="4"/>
      <c r="C231" s="227"/>
      <c r="D231" s="21">
        <v>0</v>
      </c>
      <c r="E231" s="5"/>
      <c r="F231" s="19">
        <v>0</v>
      </c>
      <c r="G231" s="19">
        <f t="shared" si="10"/>
        <v>0</v>
      </c>
      <c r="H231" s="4"/>
      <c r="I231" s="46"/>
    </row>
    <row r="232" spans="1:9" s="20" customFormat="1" ht="33" customHeight="1" hidden="1">
      <c r="A232" s="18" t="s">
        <v>302</v>
      </c>
      <c r="B232" s="4" t="s">
        <v>317</v>
      </c>
      <c r="C232" s="227"/>
      <c r="D232" s="17">
        <v>33000</v>
      </c>
      <c r="E232" s="4"/>
      <c r="F232" s="9"/>
      <c r="G232" s="19">
        <f t="shared" si="10"/>
        <v>33000</v>
      </c>
      <c r="H232" s="4"/>
      <c r="I232" s="46"/>
    </row>
    <row r="233" spans="1:9" s="20" customFormat="1" ht="47.25" hidden="1">
      <c r="A233" s="22" t="s">
        <v>430</v>
      </c>
      <c r="B233" s="23" t="s">
        <v>262</v>
      </c>
      <c r="C233" s="4"/>
      <c r="D233" s="32">
        <v>0</v>
      </c>
      <c r="E233" s="4"/>
      <c r="F233" s="24">
        <f>F235+F236</f>
        <v>0</v>
      </c>
      <c r="G233" s="24">
        <f t="shared" si="10"/>
        <v>0</v>
      </c>
      <c r="H233" s="71"/>
      <c r="I233" s="46"/>
    </row>
    <row r="234" spans="1:9" s="20" customFormat="1" ht="45" customHeight="1" hidden="1">
      <c r="A234" s="18" t="s">
        <v>326</v>
      </c>
      <c r="B234" s="4" t="s">
        <v>432</v>
      </c>
      <c r="C234" s="4"/>
      <c r="D234" s="5"/>
      <c r="E234" s="4" t="s">
        <v>440</v>
      </c>
      <c r="F234" s="12">
        <v>0</v>
      </c>
      <c r="G234" s="9">
        <v>0</v>
      </c>
      <c r="H234" s="4"/>
      <c r="I234" s="46"/>
    </row>
    <row r="235" spans="1:9" s="20" customFormat="1" ht="51.75" customHeight="1" hidden="1">
      <c r="A235" s="228">
        <v>250380</v>
      </c>
      <c r="B235" s="225" t="s">
        <v>530</v>
      </c>
      <c r="C235" s="4"/>
      <c r="D235" s="5"/>
      <c r="E235" s="4" t="s">
        <v>511</v>
      </c>
      <c r="F235" s="19">
        <v>0</v>
      </c>
      <c r="G235" s="19">
        <f>F235</f>
        <v>0</v>
      </c>
      <c r="H235" s="4"/>
      <c r="I235" s="46"/>
    </row>
    <row r="236" spans="1:9" s="20" customFormat="1" ht="51.75" customHeight="1" hidden="1">
      <c r="A236" s="229"/>
      <c r="B236" s="226"/>
      <c r="C236" s="4"/>
      <c r="D236" s="5"/>
      <c r="E236" s="4" t="s">
        <v>533</v>
      </c>
      <c r="F236" s="19">
        <v>0</v>
      </c>
      <c r="G236" s="19">
        <f>F236</f>
        <v>0</v>
      </c>
      <c r="H236" s="4"/>
      <c r="I236" s="46"/>
    </row>
    <row r="237" spans="1:9" s="20" customFormat="1" ht="47.25" hidden="1">
      <c r="A237" s="22" t="s">
        <v>371</v>
      </c>
      <c r="B237" s="23" t="s">
        <v>265</v>
      </c>
      <c r="C237" s="4"/>
      <c r="D237" s="24">
        <f>D241+D244+D245+D246+D247+D250+D251</f>
        <v>996508</v>
      </c>
      <c r="E237" s="4"/>
      <c r="F237" s="24">
        <f>F240+F243</f>
        <v>68812</v>
      </c>
      <c r="G237" s="24">
        <f>D237+F237</f>
        <v>1065320</v>
      </c>
      <c r="H237" s="71"/>
      <c r="I237" s="46"/>
    </row>
    <row r="238" spans="1:9" s="20" customFormat="1" ht="49.5" customHeight="1" hidden="1">
      <c r="A238" s="18" t="s">
        <v>402</v>
      </c>
      <c r="B238" s="4" t="s">
        <v>403</v>
      </c>
      <c r="C238" s="4" t="s">
        <v>408</v>
      </c>
      <c r="D238" s="17"/>
      <c r="E238" s="4" t="s">
        <v>408</v>
      </c>
      <c r="F238" s="19"/>
      <c r="G238" s="9">
        <v>0</v>
      </c>
      <c r="H238" s="4"/>
      <c r="I238" s="46"/>
    </row>
    <row r="239" spans="1:9" s="20" customFormat="1" ht="72" customHeight="1" hidden="1">
      <c r="A239" s="223" t="s">
        <v>402</v>
      </c>
      <c r="B239" s="227" t="s">
        <v>403</v>
      </c>
      <c r="C239" s="4" t="s">
        <v>523</v>
      </c>
      <c r="D239" s="17">
        <v>0</v>
      </c>
      <c r="E239" s="4"/>
      <c r="F239" s="19"/>
      <c r="G239" s="19">
        <v>0</v>
      </c>
      <c r="H239" s="4"/>
      <c r="I239" s="46"/>
    </row>
    <row r="240" spans="1:9" s="20" customFormat="1" ht="53.25" customHeight="1" hidden="1">
      <c r="A240" s="223"/>
      <c r="B240" s="227"/>
      <c r="C240" s="4"/>
      <c r="D240" s="17"/>
      <c r="E240" s="4" t="s">
        <v>37</v>
      </c>
      <c r="F240" s="19">
        <v>68812</v>
      </c>
      <c r="G240" s="19">
        <f>F240</f>
        <v>68812</v>
      </c>
      <c r="H240" s="4"/>
      <c r="I240" s="46"/>
    </row>
    <row r="241" spans="1:9" s="20" customFormat="1" ht="47.25" customHeight="1" hidden="1">
      <c r="A241" s="18" t="s">
        <v>319</v>
      </c>
      <c r="B241" s="4" t="s">
        <v>320</v>
      </c>
      <c r="C241" s="4" t="s">
        <v>41</v>
      </c>
      <c r="D241" s="17">
        <v>510000</v>
      </c>
      <c r="E241" s="4"/>
      <c r="F241" s="19"/>
      <c r="G241" s="19">
        <f>D241</f>
        <v>510000</v>
      </c>
      <c r="H241" s="4"/>
      <c r="I241" s="46"/>
    </row>
    <row r="242" spans="1:9" s="20" customFormat="1" ht="42.75" customHeight="1" hidden="1">
      <c r="A242" s="18" t="s">
        <v>309</v>
      </c>
      <c r="B242" s="4" t="s">
        <v>310</v>
      </c>
      <c r="C242" s="4"/>
      <c r="D242" s="17"/>
      <c r="E242" s="4" t="s">
        <v>436</v>
      </c>
      <c r="F242" s="19">
        <v>0</v>
      </c>
      <c r="G242" s="9">
        <v>0</v>
      </c>
      <c r="H242" s="4"/>
      <c r="I242" s="46"/>
    </row>
    <row r="243" spans="1:9" s="20" customFormat="1" ht="95.25" customHeight="1" hidden="1">
      <c r="A243" s="18" t="s">
        <v>296</v>
      </c>
      <c r="B243" s="4" t="s">
        <v>461</v>
      </c>
      <c r="C243" s="4"/>
      <c r="D243" s="17"/>
      <c r="E243" s="70" t="s">
        <v>521</v>
      </c>
      <c r="F243" s="19">
        <v>0</v>
      </c>
      <c r="G243" s="19">
        <f>F243</f>
        <v>0</v>
      </c>
      <c r="H243" s="4"/>
      <c r="I243" s="46"/>
    </row>
    <row r="244" spans="1:9" s="20" customFormat="1" ht="47.25" hidden="1">
      <c r="A244" s="223" t="s">
        <v>302</v>
      </c>
      <c r="B244" s="227" t="s">
        <v>317</v>
      </c>
      <c r="C244" s="4" t="s">
        <v>580</v>
      </c>
      <c r="D244" s="17">
        <v>155037</v>
      </c>
      <c r="E244" s="4"/>
      <c r="F244" s="9"/>
      <c r="G244" s="19">
        <f>D244</f>
        <v>155037</v>
      </c>
      <c r="H244" s="4"/>
      <c r="I244" s="46"/>
    </row>
    <row r="245" spans="1:9" s="20" customFormat="1" ht="47.25" hidden="1">
      <c r="A245" s="223"/>
      <c r="B245" s="227"/>
      <c r="C245" s="4" t="s">
        <v>41</v>
      </c>
      <c r="D245" s="17">
        <v>66308</v>
      </c>
      <c r="E245" s="4"/>
      <c r="F245" s="9"/>
      <c r="G245" s="19">
        <f aca="true" t="shared" si="11" ref="G245:G251">D245</f>
        <v>66308</v>
      </c>
      <c r="H245" s="4"/>
      <c r="I245" s="46"/>
    </row>
    <row r="246" spans="1:9" s="20" customFormat="1" ht="47.25" hidden="1">
      <c r="A246" s="223"/>
      <c r="B246" s="227"/>
      <c r="C246" s="4" t="s">
        <v>12</v>
      </c>
      <c r="D246" s="17">
        <v>233800</v>
      </c>
      <c r="E246" s="4"/>
      <c r="F246" s="9"/>
      <c r="G246" s="19">
        <f t="shared" si="11"/>
        <v>233800</v>
      </c>
      <c r="H246" s="4"/>
      <c r="I246" s="46"/>
    </row>
    <row r="247" spans="1:9" s="20" customFormat="1" ht="66" customHeight="1" hidden="1">
      <c r="A247" s="223"/>
      <c r="B247" s="227"/>
      <c r="C247" s="4" t="s">
        <v>581</v>
      </c>
      <c r="D247" s="17">
        <v>5100</v>
      </c>
      <c r="E247" s="4"/>
      <c r="F247" s="9"/>
      <c r="G247" s="19">
        <f t="shared" si="11"/>
        <v>5100</v>
      </c>
      <c r="H247" s="4"/>
      <c r="I247" s="46"/>
    </row>
    <row r="248" spans="1:9" s="20" customFormat="1" ht="45.75" customHeight="1" hidden="1">
      <c r="A248" s="223"/>
      <c r="B248" s="227"/>
      <c r="C248" s="4"/>
      <c r="D248" s="5"/>
      <c r="E248" s="4"/>
      <c r="F248" s="9"/>
      <c r="G248" s="19">
        <f t="shared" si="11"/>
        <v>0</v>
      </c>
      <c r="H248" s="4"/>
      <c r="I248" s="46"/>
    </row>
    <row r="249" spans="1:9" s="20" customFormat="1" ht="56.25" customHeight="1" hidden="1">
      <c r="A249" s="223"/>
      <c r="B249" s="227"/>
      <c r="C249" s="4"/>
      <c r="D249" s="5"/>
      <c r="E249" s="4"/>
      <c r="F249" s="9"/>
      <c r="G249" s="19">
        <f t="shared" si="11"/>
        <v>0</v>
      </c>
      <c r="H249" s="4"/>
      <c r="I249" s="46"/>
    </row>
    <row r="250" spans="1:9" s="20" customFormat="1" ht="47.25" hidden="1">
      <c r="A250" s="223"/>
      <c r="B250" s="227"/>
      <c r="C250" s="4" t="s">
        <v>579</v>
      </c>
      <c r="D250" s="17">
        <v>25298</v>
      </c>
      <c r="E250" s="4"/>
      <c r="F250" s="9"/>
      <c r="G250" s="19">
        <f t="shared" si="11"/>
        <v>25298</v>
      </c>
      <c r="H250" s="4"/>
      <c r="I250" s="46"/>
    </row>
    <row r="251" spans="1:9" s="20" customFormat="1" ht="63.75" customHeight="1" hidden="1">
      <c r="A251" s="223"/>
      <c r="B251" s="227"/>
      <c r="C251" s="4" t="s">
        <v>7</v>
      </c>
      <c r="D251" s="17">
        <v>965</v>
      </c>
      <c r="E251" s="4"/>
      <c r="F251" s="9"/>
      <c r="G251" s="19">
        <f t="shared" si="11"/>
        <v>965</v>
      </c>
      <c r="H251" s="4"/>
      <c r="I251" s="46"/>
    </row>
    <row r="252" spans="1:9" s="20" customFormat="1" ht="47.25">
      <c r="A252" s="22" t="s">
        <v>372</v>
      </c>
      <c r="B252" s="23" t="s">
        <v>268</v>
      </c>
      <c r="C252" s="4"/>
      <c r="D252" s="24">
        <f>D254+D258+D260+D261+D262+D263</f>
        <v>509258</v>
      </c>
      <c r="E252" s="23"/>
      <c r="F252" s="24">
        <f>F253+F254+F255+F257</f>
        <v>33765</v>
      </c>
      <c r="G252" s="24">
        <f>D252+F252</f>
        <v>543023</v>
      </c>
      <c r="H252" s="71"/>
      <c r="I252" s="46"/>
    </row>
    <row r="253" spans="1:9" s="20" customFormat="1" ht="43.5" customHeight="1" hidden="1">
      <c r="A253" s="18" t="s">
        <v>402</v>
      </c>
      <c r="B253" s="4" t="s">
        <v>403</v>
      </c>
      <c r="C253" s="4"/>
      <c r="D253" s="17"/>
      <c r="E253" s="4" t="s">
        <v>37</v>
      </c>
      <c r="F253" s="19">
        <v>27827</v>
      </c>
      <c r="G253" s="19">
        <f>F253</f>
        <v>27827</v>
      </c>
      <c r="H253" s="4"/>
      <c r="I253" s="46"/>
    </row>
    <row r="254" spans="1:9" s="20" customFormat="1" ht="50.25" customHeight="1">
      <c r="A254" s="223" t="s">
        <v>319</v>
      </c>
      <c r="B254" s="227" t="s">
        <v>320</v>
      </c>
      <c r="C254" s="4" t="s">
        <v>41</v>
      </c>
      <c r="D254" s="17">
        <v>440000</v>
      </c>
      <c r="E254" s="4" t="s">
        <v>41</v>
      </c>
      <c r="F254" s="19">
        <v>5542</v>
      </c>
      <c r="G254" s="19">
        <f>D254+F254</f>
        <v>445542</v>
      </c>
      <c r="H254" s="4">
        <v>5146</v>
      </c>
      <c r="I254" s="46"/>
    </row>
    <row r="255" spans="1:9" s="20" customFormat="1" ht="47.25" hidden="1">
      <c r="A255" s="223"/>
      <c r="B255" s="227"/>
      <c r="C255" s="4"/>
      <c r="D255" s="17"/>
      <c r="E255" s="35" t="s">
        <v>229</v>
      </c>
      <c r="F255" s="39">
        <v>396</v>
      </c>
      <c r="G255" s="39">
        <f>F255</f>
        <v>396</v>
      </c>
      <c r="H255" s="4"/>
      <c r="I255" s="46"/>
    </row>
    <row r="256" spans="1:9" s="20" customFormat="1" ht="21.75" customHeight="1" hidden="1">
      <c r="A256" s="18" t="s">
        <v>309</v>
      </c>
      <c r="B256" s="4" t="s">
        <v>310</v>
      </c>
      <c r="C256" s="4"/>
      <c r="D256" s="17"/>
      <c r="E256" s="4"/>
      <c r="F256" s="19"/>
      <c r="G256" s="19">
        <v>0</v>
      </c>
      <c r="H256" s="4"/>
      <c r="I256" s="46"/>
    </row>
    <row r="257" spans="1:9" s="20" customFormat="1" ht="99.75" customHeight="1" hidden="1">
      <c r="A257" s="18" t="s">
        <v>296</v>
      </c>
      <c r="B257" s="4" t="s">
        <v>461</v>
      </c>
      <c r="C257" s="4"/>
      <c r="D257" s="17"/>
      <c r="E257" s="70" t="s">
        <v>521</v>
      </c>
      <c r="F257" s="19">
        <v>0</v>
      </c>
      <c r="G257" s="19">
        <f>F257</f>
        <v>0</v>
      </c>
      <c r="H257" s="4"/>
      <c r="I257" s="46"/>
    </row>
    <row r="258" spans="1:9" s="20" customFormat="1" ht="47.25" hidden="1">
      <c r="A258" s="223" t="s">
        <v>302</v>
      </c>
      <c r="B258" s="227" t="s">
        <v>317</v>
      </c>
      <c r="C258" s="4" t="s">
        <v>580</v>
      </c>
      <c r="D258" s="17">
        <v>10800</v>
      </c>
      <c r="E258" s="4"/>
      <c r="F258" s="9"/>
      <c r="G258" s="19">
        <f aca="true" t="shared" si="12" ref="G258:G263">D258</f>
        <v>10800</v>
      </c>
      <c r="H258" s="4"/>
      <c r="I258" s="46"/>
    </row>
    <row r="259" spans="1:9" s="20" customFormat="1" ht="34.5" customHeight="1" hidden="1">
      <c r="A259" s="223"/>
      <c r="B259" s="227"/>
      <c r="C259" s="4"/>
      <c r="D259" s="17"/>
      <c r="E259" s="4"/>
      <c r="F259" s="9"/>
      <c r="G259" s="19">
        <f t="shared" si="12"/>
        <v>0</v>
      </c>
      <c r="H259" s="4"/>
      <c r="I259" s="46"/>
    </row>
    <row r="260" spans="1:9" s="20" customFormat="1" ht="52.5" customHeight="1" hidden="1">
      <c r="A260" s="223"/>
      <c r="B260" s="227"/>
      <c r="C260" s="4" t="s">
        <v>12</v>
      </c>
      <c r="D260" s="17">
        <v>31950</v>
      </c>
      <c r="E260" s="4"/>
      <c r="F260" s="9"/>
      <c r="G260" s="19">
        <f t="shared" si="12"/>
        <v>31950</v>
      </c>
      <c r="H260" s="4"/>
      <c r="I260" s="46"/>
    </row>
    <row r="261" spans="1:9" s="20" customFormat="1" ht="63" hidden="1">
      <c r="A261" s="223"/>
      <c r="B261" s="227"/>
      <c r="C261" s="4" t="s">
        <v>581</v>
      </c>
      <c r="D261" s="17">
        <v>5100</v>
      </c>
      <c r="E261" s="4"/>
      <c r="F261" s="9"/>
      <c r="G261" s="19">
        <f t="shared" si="12"/>
        <v>5100</v>
      </c>
      <c r="H261" s="4"/>
      <c r="I261" s="46"/>
    </row>
    <row r="262" spans="1:9" s="20" customFormat="1" ht="47.25" hidden="1">
      <c r="A262" s="223"/>
      <c r="B262" s="227"/>
      <c r="C262" s="4" t="s">
        <v>41</v>
      </c>
      <c r="D262" s="17">
        <v>0</v>
      </c>
      <c r="E262" s="4"/>
      <c r="F262" s="9"/>
      <c r="G262" s="19">
        <f t="shared" si="12"/>
        <v>0</v>
      </c>
      <c r="H262" s="4"/>
      <c r="I262" s="46"/>
    </row>
    <row r="263" spans="1:9" s="20" customFormat="1" ht="47.25" hidden="1">
      <c r="A263" s="223"/>
      <c r="B263" s="227"/>
      <c r="C263" s="4" t="s">
        <v>579</v>
      </c>
      <c r="D263" s="17">
        <v>21408</v>
      </c>
      <c r="E263" s="4"/>
      <c r="F263" s="9"/>
      <c r="G263" s="19">
        <f t="shared" si="12"/>
        <v>21408</v>
      </c>
      <c r="H263" s="4"/>
      <c r="I263" s="46"/>
    </row>
    <row r="264" spans="1:9" s="20" customFormat="1" ht="47.25">
      <c r="A264" s="22" t="s">
        <v>373</v>
      </c>
      <c r="B264" s="23" t="s">
        <v>269</v>
      </c>
      <c r="C264" s="4"/>
      <c r="D264" s="24">
        <f>D265+D266+D269+D270+D271+D272+D274+D275</f>
        <v>970596</v>
      </c>
      <c r="E264" s="23"/>
      <c r="F264" s="24">
        <f>F265+F266+F267+F268</f>
        <v>4568094</v>
      </c>
      <c r="G264" s="24">
        <f>D264+F264</f>
        <v>5538690</v>
      </c>
      <c r="H264" s="71"/>
      <c r="I264" s="46"/>
    </row>
    <row r="265" spans="1:9" s="20" customFormat="1" ht="45" customHeight="1" hidden="1">
      <c r="A265" s="18" t="s">
        <v>402</v>
      </c>
      <c r="B265" s="4" t="s">
        <v>403</v>
      </c>
      <c r="C265" s="4"/>
      <c r="D265" s="17"/>
      <c r="E265" s="4" t="s">
        <v>37</v>
      </c>
      <c r="F265" s="19">
        <v>27975</v>
      </c>
      <c r="G265" s="19">
        <f>F265</f>
        <v>27975</v>
      </c>
      <c r="H265" s="4"/>
      <c r="I265" s="46"/>
    </row>
    <row r="266" spans="1:9" s="20" customFormat="1" ht="56.25" customHeight="1">
      <c r="A266" s="18" t="s">
        <v>319</v>
      </c>
      <c r="B266" s="4" t="s">
        <v>320</v>
      </c>
      <c r="C266" s="4" t="s">
        <v>41</v>
      </c>
      <c r="D266" s="17">
        <v>710000</v>
      </c>
      <c r="E266" s="4" t="s">
        <v>41</v>
      </c>
      <c r="F266" s="19">
        <v>132173</v>
      </c>
      <c r="G266" s="19">
        <f>D266+F266</f>
        <v>842173</v>
      </c>
      <c r="H266" s="4">
        <v>132173</v>
      </c>
      <c r="I266" s="46"/>
    </row>
    <row r="267" spans="1:9" s="20" customFormat="1" ht="47.25" hidden="1">
      <c r="A267" s="18" t="s">
        <v>309</v>
      </c>
      <c r="B267" s="4" t="s">
        <v>310</v>
      </c>
      <c r="C267" s="4"/>
      <c r="D267" s="17"/>
      <c r="E267" s="4" t="s">
        <v>41</v>
      </c>
      <c r="F267" s="19">
        <v>4407946</v>
      </c>
      <c r="G267" s="19">
        <f>F267</f>
        <v>4407946</v>
      </c>
      <c r="H267" s="4"/>
      <c r="I267" s="46"/>
    </row>
    <row r="268" spans="1:9" s="20" customFormat="1" ht="99.75" customHeight="1" hidden="1">
      <c r="A268" s="18" t="s">
        <v>296</v>
      </c>
      <c r="B268" s="4" t="s">
        <v>461</v>
      </c>
      <c r="C268" s="4"/>
      <c r="D268" s="17"/>
      <c r="E268" s="70" t="s">
        <v>521</v>
      </c>
      <c r="F268" s="19">
        <v>0</v>
      </c>
      <c r="G268" s="19">
        <f>F268</f>
        <v>0</v>
      </c>
      <c r="H268" s="4"/>
      <c r="I268" s="46"/>
    </row>
    <row r="269" spans="1:9" s="20" customFormat="1" ht="47.25" hidden="1">
      <c r="A269" s="223" t="s">
        <v>302</v>
      </c>
      <c r="B269" s="227" t="s">
        <v>317</v>
      </c>
      <c r="C269" s="4" t="s">
        <v>580</v>
      </c>
      <c r="D269" s="17">
        <v>108138</v>
      </c>
      <c r="E269" s="4"/>
      <c r="F269" s="9"/>
      <c r="G269" s="19">
        <f>D269</f>
        <v>108138</v>
      </c>
      <c r="H269" s="4"/>
      <c r="I269" s="46"/>
    </row>
    <row r="270" spans="1:9" s="20" customFormat="1" ht="47.25" hidden="1">
      <c r="A270" s="223"/>
      <c r="B270" s="227"/>
      <c r="C270" s="4" t="s">
        <v>41</v>
      </c>
      <c r="D270" s="17">
        <v>66600</v>
      </c>
      <c r="E270" s="4"/>
      <c r="F270" s="9"/>
      <c r="G270" s="19">
        <f aca="true" t="shared" si="13" ref="G270:G275">D270</f>
        <v>66600</v>
      </c>
      <c r="H270" s="4"/>
      <c r="I270" s="46"/>
    </row>
    <row r="271" spans="1:9" s="20" customFormat="1" ht="47.25" hidden="1">
      <c r="A271" s="223"/>
      <c r="B271" s="227"/>
      <c r="C271" s="4" t="s">
        <v>12</v>
      </c>
      <c r="D271" s="17">
        <v>38505</v>
      </c>
      <c r="E271" s="4"/>
      <c r="F271" s="9"/>
      <c r="G271" s="19">
        <f t="shared" si="13"/>
        <v>38505</v>
      </c>
      <c r="H271" s="4"/>
      <c r="I271" s="46"/>
    </row>
    <row r="272" spans="1:9" s="20" customFormat="1" ht="63" hidden="1">
      <c r="A272" s="223"/>
      <c r="B272" s="227"/>
      <c r="C272" s="4" t="s">
        <v>581</v>
      </c>
      <c r="D272" s="17">
        <v>2756</v>
      </c>
      <c r="E272" s="4"/>
      <c r="F272" s="9"/>
      <c r="G272" s="19">
        <f t="shared" si="13"/>
        <v>2756</v>
      </c>
      <c r="H272" s="4"/>
      <c r="I272" s="46"/>
    </row>
    <row r="273" spans="1:9" s="20" customFormat="1" ht="21.75" customHeight="1" hidden="1">
      <c r="A273" s="223"/>
      <c r="B273" s="227"/>
      <c r="C273" s="4"/>
      <c r="D273" s="5"/>
      <c r="E273" s="4"/>
      <c r="F273" s="9"/>
      <c r="G273" s="19">
        <f t="shared" si="13"/>
        <v>0</v>
      </c>
      <c r="H273" s="4"/>
      <c r="I273" s="46"/>
    </row>
    <row r="274" spans="1:9" s="20" customFormat="1" ht="47.25" hidden="1">
      <c r="A274" s="223"/>
      <c r="B274" s="227"/>
      <c r="C274" s="4" t="s">
        <v>579</v>
      </c>
      <c r="D274" s="17">
        <f>18932+14100</f>
        <v>33032</v>
      </c>
      <c r="E274" s="4"/>
      <c r="F274" s="9"/>
      <c r="G274" s="19">
        <f t="shared" si="13"/>
        <v>33032</v>
      </c>
      <c r="H274" s="4"/>
      <c r="I274" s="46"/>
    </row>
    <row r="275" spans="1:9" s="20" customFormat="1" ht="66.75" customHeight="1" hidden="1">
      <c r="A275" s="223"/>
      <c r="B275" s="227"/>
      <c r="C275" s="4" t="s">
        <v>7</v>
      </c>
      <c r="D275" s="17">
        <v>11565</v>
      </c>
      <c r="E275" s="4"/>
      <c r="F275" s="9"/>
      <c r="G275" s="19">
        <f t="shared" si="13"/>
        <v>11565</v>
      </c>
      <c r="H275" s="4"/>
      <c r="I275" s="46"/>
    </row>
    <row r="276" spans="1:9" s="20" customFormat="1" ht="47.25">
      <c r="A276" s="22" t="s">
        <v>374</v>
      </c>
      <c r="B276" s="23" t="s">
        <v>270</v>
      </c>
      <c r="C276" s="4"/>
      <c r="D276" s="24">
        <f>D278+D280+D281+D282+D283+D284+D285</f>
        <v>663789</v>
      </c>
      <c r="E276" s="23"/>
      <c r="F276" s="24">
        <f>F277+F278+F279</f>
        <v>273375</v>
      </c>
      <c r="G276" s="28">
        <f>D276+F276</f>
        <v>937164</v>
      </c>
      <c r="H276" s="74"/>
      <c r="I276" s="46"/>
    </row>
    <row r="277" spans="1:9" s="20" customFormat="1" ht="31.5" hidden="1">
      <c r="A277" s="18" t="s">
        <v>402</v>
      </c>
      <c r="B277" s="4" t="s">
        <v>403</v>
      </c>
      <c r="C277" s="4"/>
      <c r="D277" s="17"/>
      <c r="E277" s="4" t="s">
        <v>37</v>
      </c>
      <c r="F277" s="19">
        <v>42375</v>
      </c>
      <c r="G277" s="19">
        <f>F277</f>
        <v>42375</v>
      </c>
      <c r="H277" s="23"/>
      <c r="I277" s="46"/>
    </row>
    <row r="278" spans="1:9" s="20" customFormat="1" ht="66" customHeight="1">
      <c r="A278" s="18" t="s">
        <v>319</v>
      </c>
      <c r="B278" s="4" t="s">
        <v>320</v>
      </c>
      <c r="C278" s="4" t="s">
        <v>41</v>
      </c>
      <c r="D278" s="17">
        <v>480000</v>
      </c>
      <c r="E278" s="4" t="s">
        <v>41</v>
      </c>
      <c r="F278" s="19">
        <v>10000</v>
      </c>
      <c r="G278" s="19">
        <f>D278+F278</f>
        <v>490000</v>
      </c>
      <c r="H278" s="4">
        <v>10000</v>
      </c>
      <c r="I278" s="46"/>
    </row>
    <row r="279" spans="1:9" s="20" customFormat="1" ht="55.5" customHeight="1" hidden="1">
      <c r="A279" s="18" t="s">
        <v>309</v>
      </c>
      <c r="B279" s="4" t="s">
        <v>310</v>
      </c>
      <c r="C279" s="4"/>
      <c r="D279" s="17"/>
      <c r="E279" s="4" t="s">
        <v>41</v>
      </c>
      <c r="F279" s="19">
        <v>221000</v>
      </c>
      <c r="G279" s="19">
        <f>F279</f>
        <v>221000</v>
      </c>
      <c r="H279" s="4"/>
      <c r="I279" s="46"/>
    </row>
    <row r="280" spans="1:9" s="20" customFormat="1" ht="47.25" hidden="1">
      <c r="A280" s="223" t="s">
        <v>302</v>
      </c>
      <c r="B280" s="227" t="s">
        <v>317</v>
      </c>
      <c r="C280" s="4" t="s">
        <v>580</v>
      </c>
      <c r="D280" s="17">
        <v>111797</v>
      </c>
      <c r="E280" s="4"/>
      <c r="F280" s="9"/>
      <c r="G280" s="19">
        <f aca="true" t="shared" si="14" ref="G280:G285">D280</f>
        <v>111797</v>
      </c>
      <c r="H280" s="4"/>
      <c r="I280" s="46"/>
    </row>
    <row r="281" spans="1:9" s="20" customFormat="1" ht="47.25" hidden="1">
      <c r="A281" s="223"/>
      <c r="B281" s="227"/>
      <c r="C281" s="4" t="s">
        <v>41</v>
      </c>
      <c r="D281" s="17">
        <v>16686</v>
      </c>
      <c r="E281" s="4"/>
      <c r="F281" s="9"/>
      <c r="G281" s="19">
        <f t="shared" si="14"/>
        <v>16686</v>
      </c>
      <c r="H281" s="4"/>
      <c r="I281" s="46"/>
    </row>
    <row r="282" spans="1:9" s="20" customFormat="1" ht="47.25" hidden="1">
      <c r="A282" s="223"/>
      <c r="B282" s="227"/>
      <c r="C282" s="4" t="s">
        <v>12</v>
      </c>
      <c r="D282" s="17">
        <v>26015</v>
      </c>
      <c r="E282" s="4"/>
      <c r="F282" s="9"/>
      <c r="G282" s="19">
        <f t="shared" si="14"/>
        <v>26015</v>
      </c>
      <c r="H282" s="4"/>
      <c r="I282" s="46"/>
    </row>
    <row r="283" spans="1:9" s="20" customFormat="1" ht="63" hidden="1">
      <c r="A283" s="223"/>
      <c r="B283" s="227"/>
      <c r="C283" s="4" t="s">
        <v>581</v>
      </c>
      <c r="D283" s="17">
        <v>4133</v>
      </c>
      <c r="E283" s="4"/>
      <c r="F283" s="9"/>
      <c r="G283" s="19">
        <f t="shared" si="14"/>
        <v>4133</v>
      </c>
      <c r="H283" s="4"/>
      <c r="I283" s="46"/>
    </row>
    <row r="284" spans="1:9" s="20" customFormat="1" ht="47.25" hidden="1">
      <c r="A284" s="223"/>
      <c r="B284" s="227"/>
      <c r="C284" s="4" t="s">
        <v>579</v>
      </c>
      <c r="D284" s="17">
        <v>23096</v>
      </c>
      <c r="E284" s="4"/>
      <c r="F284" s="9"/>
      <c r="G284" s="19">
        <f t="shared" si="14"/>
        <v>23096</v>
      </c>
      <c r="H284" s="4"/>
      <c r="I284" s="46"/>
    </row>
    <row r="285" spans="1:9" s="20" customFormat="1" ht="63.75" customHeight="1" hidden="1">
      <c r="A285" s="223"/>
      <c r="B285" s="227"/>
      <c r="C285" s="4" t="s">
        <v>7</v>
      </c>
      <c r="D285" s="17">
        <v>2062</v>
      </c>
      <c r="E285" s="4"/>
      <c r="F285" s="9"/>
      <c r="G285" s="19">
        <f t="shared" si="14"/>
        <v>2062</v>
      </c>
      <c r="H285" s="4"/>
      <c r="I285" s="46"/>
    </row>
    <row r="286" spans="1:9" s="33" customFormat="1" ht="47.25" hidden="1">
      <c r="A286" s="22" t="s">
        <v>375</v>
      </c>
      <c r="B286" s="23" t="s">
        <v>271</v>
      </c>
      <c r="C286" s="23"/>
      <c r="D286" s="24">
        <f>D288+D290+D292+D294+D296+D297+D298+D299+D300+D301</f>
        <v>1140260</v>
      </c>
      <c r="E286" s="23"/>
      <c r="F286" s="24">
        <f>F289+F293</f>
        <v>77975</v>
      </c>
      <c r="G286" s="24">
        <f>D286+F286</f>
        <v>1218235</v>
      </c>
      <c r="H286" s="74"/>
      <c r="I286" s="46"/>
    </row>
    <row r="287" spans="1:9" s="33" customFormat="1" ht="55.5" customHeight="1" hidden="1">
      <c r="A287" s="18" t="s">
        <v>402</v>
      </c>
      <c r="B287" s="4" t="s">
        <v>403</v>
      </c>
      <c r="C287" s="4" t="s">
        <v>409</v>
      </c>
      <c r="D287" s="17"/>
      <c r="E287" s="4" t="s">
        <v>409</v>
      </c>
      <c r="F287" s="19"/>
      <c r="G287" s="19">
        <v>0</v>
      </c>
      <c r="H287" s="23"/>
      <c r="I287" s="46"/>
    </row>
    <row r="288" spans="1:9" s="33" customFormat="1" ht="69" customHeight="1" hidden="1">
      <c r="A288" s="221" t="s">
        <v>402</v>
      </c>
      <c r="B288" s="225" t="s">
        <v>403</v>
      </c>
      <c r="C288" s="4" t="s">
        <v>7</v>
      </c>
      <c r="D288" s="17">
        <v>7791</v>
      </c>
      <c r="E288" s="4"/>
      <c r="F288" s="19"/>
      <c r="G288" s="19">
        <f>D288</f>
        <v>7791</v>
      </c>
      <c r="H288" s="23"/>
      <c r="I288" s="46"/>
    </row>
    <row r="289" spans="1:9" s="33" customFormat="1" ht="54.75" customHeight="1" hidden="1">
      <c r="A289" s="222"/>
      <c r="B289" s="226"/>
      <c r="C289" s="4"/>
      <c r="D289" s="17"/>
      <c r="E289" s="4" t="s">
        <v>37</v>
      </c>
      <c r="F289" s="19">
        <v>27975</v>
      </c>
      <c r="G289" s="19">
        <f>F289</f>
        <v>27975</v>
      </c>
      <c r="H289" s="23"/>
      <c r="I289" s="46"/>
    </row>
    <row r="290" spans="1:9" s="20" customFormat="1" ht="49.5" customHeight="1" hidden="1">
      <c r="A290" s="223" t="s">
        <v>319</v>
      </c>
      <c r="B290" s="227" t="s">
        <v>320</v>
      </c>
      <c r="C290" s="4" t="s">
        <v>41</v>
      </c>
      <c r="D290" s="17">
        <v>768655</v>
      </c>
      <c r="E290" s="4"/>
      <c r="F290" s="19"/>
      <c r="G290" s="19">
        <f>D290</f>
        <v>768655</v>
      </c>
      <c r="H290" s="4"/>
      <c r="I290" s="46"/>
    </row>
    <row r="291" spans="1:9" s="20" customFormat="1" ht="47.25" hidden="1">
      <c r="A291" s="223"/>
      <c r="B291" s="227"/>
      <c r="C291" s="4"/>
      <c r="D291" s="17"/>
      <c r="E291" s="35" t="s">
        <v>504</v>
      </c>
      <c r="F291" s="39">
        <v>0</v>
      </c>
      <c r="G291" s="39">
        <v>0</v>
      </c>
      <c r="H291" s="4"/>
      <c r="I291" s="46"/>
    </row>
    <row r="292" spans="1:9" s="20" customFormat="1" ht="47.25" hidden="1">
      <c r="A292" s="18" t="s">
        <v>477</v>
      </c>
      <c r="B292" s="4" t="s">
        <v>317</v>
      </c>
      <c r="C292" s="4" t="s">
        <v>499</v>
      </c>
      <c r="D292" s="17">
        <v>0</v>
      </c>
      <c r="E292" s="4"/>
      <c r="F292" s="19"/>
      <c r="G292" s="19">
        <f>D292</f>
        <v>0</v>
      </c>
      <c r="H292" s="4"/>
      <c r="I292" s="46"/>
    </row>
    <row r="293" spans="1:9" s="20" customFormat="1" ht="93.75" customHeight="1" hidden="1">
      <c r="A293" s="18" t="s">
        <v>296</v>
      </c>
      <c r="B293" s="4" t="s">
        <v>461</v>
      </c>
      <c r="C293" s="4"/>
      <c r="D293" s="17"/>
      <c r="E293" s="4" t="s">
        <v>599</v>
      </c>
      <c r="F293" s="19">
        <v>50000</v>
      </c>
      <c r="G293" s="19">
        <f>F293</f>
        <v>50000</v>
      </c>
      <c r="H293" s="4"/>
      <c r="I293" s="46"/>
    </row>
    <row r="294" spans="1:9" s="20" customFormat="1" ht="47.25" hidden="1">
      <c r="A294" s="223" t="s">
        <v>302</v>
      </c>
      <c r="B294" s="227" t="s">
        <v>317</v>
      </c>
      <c r="C294" s="4" t="s">
        <v>580</v>
      </c>
      <c r="D294" s="17">
        <v>245113</v>
      </c>
      <c r="E294" s="4"/>
      <c r="F294" s="9"/>
      <c r="G294" s="19">
        <f>D294</f>
        <v>245113</v>
      </c>
      <c r="H294" s="4"/>
      <c r="I294" s="46"/>
    </row>
    <row r="295" spans="1:9" s="20" customFormat="1" ht="21" customHeight="1" hidden="1">
      <c r="A295" s="223"/>
      <c r="B295" s="227"/>
      <c r="C295" s="4"/>
      <c r="D295" s="17"/>
      <c r="E295" s="4"/>
      <c r="F295" s="9"/>
      <c r="G295" s="19">
        <f aca="true" t="shared" si="15" ref="G295:G301">D295</f>
        <v>0</v>
      </c>
      <c r="H295" s="4"/>
      <c r="I295" s="46"/>
    </row>
    <row r="296" spans="1:9" s="20" customFormat="1" ht="15.75" hidden="1">
      <c r="A296" s="223"/>
      <c r="B296" s="227"/>
      <c r="C296" s="4"/>
      <c r="D296" s="17">
        <v>0</v>
      </c>
      <c r="E296" s="4"/>
      <c r="F296" s="9"/>
      <c r="G296" s="19">
        <f t="shared" si="15"/>
        <v>0</v>
      </c>
      <c r="H296" s="4"/>
      <c r="I296" s="46"/>
    </row>
    <row r="297" spans="1:9" s="20" customFormat="1" ht="47.25" hidden="1">
      <c r="A297" s="223"/>
      <c r="B297" s="227"/>
      <c r="C297" s="4" t="s">
        <v>12</v>
      </c>
      <c r="D297" s="17">
        <v>63468</v>
      </c>
      <c r="E297" s="4"/>
      <c r="F297" s="9"/>
      <c r="G297" s="19">
        <f t="shared" si="15"/>
        <v>63468</v>
      </c>
      <c r="H297" s="4"/>
      <c r="I297" s="46"/>
    </row>
    <row r="298" spans="1:9" s="20" customFormat="1" ht="63" hidden="1">
      <c r="A298" s="223"/>
      <c r="B298" s="227"/>
      <c r="C298" s="4" t="s">
        <v>581</v>
      </c>
      <c r="D298" s="17">
        <v>3100</v>
      </c>
      <c r="E298" s="4"/>
      <c r="F298" s="9"/>
      <c r="G298" s="19">
        <f t="shared" si="15"/>
        <v>3100</v>
      </c>
      <c r="H298" s="4"/>
      <c r="I298" s="46"/>
    </row>
    <row r="299" spans="1:9" s="20" customFormat="1" ht="47.25" hidden="1">
      <c r="A299" s="223"/>
      <c r="B299" s="227"/>
      <c r="C299" s="4" t="s">
        <v>579</v>
      </c>
      <c r="D299" s="17">
        <v>18610</v>
      </c>
      <c r="E299" s="4"/>
      <c r="F299" s="9"/>
      <c r="G299" s="19">
        <f t="shared" si="15"/>
        <v>18610</v>
      </c>
      <c r="H299" s="4"/>
      <c r="I299" s="46"/>
    </row>
    <row r="300" spans="1:9" s="20" customFormat="1" ht="47.25" hidden="1">
      <c r="A300" s="223"/>
      <c r="B300" s="227"/>
      <c r="C300" s="4" t="s">
        <v>41</v>
      </c>
      <c r="D300" s="17">
        <v>32058</v>
      </c>
      <c r="E300" s="4"/>
      <c r="F300" s="9"/>
      <c r="G300" s="19">
        <f t="shared" si="15"/>
        <v>32058</v>
      </c>
      <c r="H300" s="4"/>
      <c r="I300" s="46"/>
    </row>
    <row r="301" spans="1:9" s="20" customFormat="1" ht="65.25" customHeight="1" hidden="1">
      <c r="A301" s="223"/>
      <c r="B301" s="227"/>
      <c r="C301" s="4" t="s">
        <v>7</v>
      </c>
      <c r="D301" s="17">
        <v>1465</v>
      </c>
      <c r="E301" s="4"/>
      <c r="F301" s="9"/>
      <c r="G301" s="19">
        <f t="shared" si="15"/>
        <v>1465</v>
      </c>
      <c r="H301" s="4"/>
      <c r="I301" s="46"/>
    </row>
    <row r="302" spans="1:9" s="33" customFormat="1" ht="47.25" hidden="1">
      <c r="A302" s="22" t="s">
        <v>376</v>
      </c>
      <c r="B302" s="23" t="s">
        <v>272</v>
      </c>
      <c r="C302" s="23"/>
      <c r="D302" s="24">
        <f>D305+D307+D309+D310+D311+D312+D313</f>
        <v>828027</v>
      </c>
      <c r="E302" s="23"/>
      <c r="F302" s="24">
        <f>F303+F304+F305+F306</f>
        <v>80975</v>
      </c>
      <c r="G302" s="28">
        <f>D302+F302</f>
        <v>909002</v>
      </c>
      <c r="H302" s="74"/>
      <c r="I302" s="46"/>
    </row>
    <row r="303" spans="1:9" s="33" customFormat="1" ht="49.5" customHeight="1" hidden="1">
      <c r="A303" s="18" t="s">
        <v>402</v>
      </c>
      <c r="B303" s="4" t="s">
        <v>403</v>
      </c>
      <c r="C303" s="4"/>
      <c r="D303" s="17"/>
      <c r="E303" s="4" t="s">
        <v>37</v>
      </c>
      <c r="F303" s="19">
        <v>27975</v>
      </c>
      <c r="G303" s="19">
        <f>F303</f>
        <v>27975</v>
      </c>
      <c r="H303" s="23"/>
      <c r="I303" s="46"/>
    </row>
    <row r="304" spans="1:9" s="33" customFormat="1" ht="49.5" customHeight="1" hidden="1">
      <c r="A304" s="18" t="s">
        <v>309</v>
      </c>
      <c r="B304" s="4" t="s">
        <v>310</v>
      </c>
      <c r="C304" s="4"/>
      <c r="D304" s="17"/>
      <c r="E304" s="4" t="s">
        <v>41</v>
      </c>
      <c r="F304" s="19">
        <v>3000</v>
      </c>
      <c r="G304" s="19">
        <f>F304</f>
        <v>3000</v>
      </c>
      <c r="H304" s="23"/>
      <c r="I304" s="46"/>
    </row>
    <row r="305" spans="1:9" s="20" customFormat="1" ht="48" customHeight="1" hidden="1">
      <c r="A305" s="18" t="s">
        <v>319</v>
      </c>
      <c r="B305" s="4" t="s">
        <v>320</v>
      </c>
      <c r="C305" s="4" t="s">
        <v>41</v>
      </c>
      <c r="D305" s="17">
        <v>650000</v>
      </c>
      <c r="E305" s="4"/>
      <c r="F305" s="19"/>
      <c r="G305" s="19">
        <f>D305+F305</f>
        <v>650000</v>
      </c>
      <c r="H305" s="4"/>
      <c r="I305" s="46"/>
    </row>
    <row r="306" spans="1:9" s="20" customFormat="1" ht="93.75" customHeight="1" hidden="1">
      <c r="A306" s="18" t="s">
        <v>296</v>
      </c>
      <c r="B306" s="4" t="s">
        <v>461</v>
      </c>
      <c r="C306" s="4"/>
      <c r="D306" s="17"/>
      <c r="E306" s="4" t="s">
        <v>599</v>
      </c>
      <c r="F306" s="19">
        <v>50000</v>
      </c>
      <c r="G306" s="19">
        <f>F306</f>
        <v>50000</v>
      </c>
      <c r="H306" s="4"/>
      <c r="I306" s="46"/>
    </row>
    <row r="307" spans="1:9" s="20" customFormat="1" ht="47.25" hidden="1">
      <c r="A307" s="223" t="s">
        <v>302</v>
      </c>
      <c r="B307" s="227" t="s">
        <v>317</v>
      </c>
      <c r="C307" s="4" t="s">
        <v>580</v>
      </c>
      <c r="D307" s="17">
        <v>72092</v>
      </c>
      <c r="E307" s="4"/>
      <c r="F307" s="9"/>
      <c r="G307" s="19">
        <f aca="true" t="shared" si="16" ref="G307:G313">D307</f>
        <v>72092</v>
      </c>
      <c r="H307" s="4"/>
      <c r="I307" s="46"/>
    </row>
    <row r="308" spans="1:9" s="20" customFormat="1" ht="30.75" customHeight="1" hidden="1">
      <c r="A308" s="223"/>
      <c r="B308" s="227"/>
      <c r="C308" s="4"/>
      <c r="D308" s="17"/>
      <c r="E308" s="4"/>
      <c r="F308" s="9"/>
      <c r="G308" s="19">
        <f t="shared" si="16"/>
        <v>0</v>
      </c>
      <c r="H308" s="4"/>
      <c r="I308" s="46"/>
    </row>
    <row r="309" spans="1:9" s="20" customFormat="1" ht="47.25" hidden="1">
      <c r="A309" s="223"/>
      <c r="B309" s="227"/>
      <c r="C309" s="4" t="s">
        <v>12</v>
      </c>
      <c r="D309" s="17">
        <v>43038</v>
      </c>
      <c r="E309" s="4"/>
      <c r="F309" s="9"/>
      <c r="G309" s="19">
        <f t="shared" si="16"/>
        <v>43038</v>
      </c>
      <c r="H309" s="4"/>
      <c r="I309" s="46"/>
    </row>
    <row r="310" spans="1:9" s="20" customFormat="1" ht="63" hidden="1">
      <c r="A310" s="223"/>
      <c r="B310" s="227"/>
      <c r="C310" s="4" t="s">
        <v>581</v>
      </c>
      <c r="D310" s="17">
        <v>2067</v>
      </c>
      <c r="E310" s="4"/>
      <c r="F310" s="9"/>
      <c r="G310" s="19">
        <f t="shared" si="16"/>
        <v>2067</v>
      </c>
      <c r="H310" s="4"/>
      <c r="I310" s="46"/>
    </row>
    <row r="311" spans="1:9" s="20" customFormat="1" ht="47.25" hidden="1">
      <c r="A311" s="223"/>
      <c r="B311" s="227"/>
      <c r="C311" s="4" t="s">
        <v>579</v>
      </c>
      <c r="D311" s="17">
        <v>26781</v>
      </c>
      <c r="E311" s="4"/>
      <c r="F311" s="9"/>
      <c r="G311" s="19">
        <f t="shared" si="16"/>
        <v>26781</v>
      </c>
      <c r="H311" s="4"/>
      <c r="I311" s="46"/>
    </row>
    <row r="312" spans="1:9" s="20" customFormat="1" ht="47.25" hidden="1">
      <c r="A312" s="223"/>
      <c r="B312" s="227"/>
      <c r="C312" s="4" t="s">
        <v>41</v>
      </c>
      <c r="D312" s="17">
        <v>33132</v>
      </c>
      <c r="E312" s="4"/>
      <c r="F312" s="9"/>
      <c r="G312" s="19">
        <f t="shared" si="16"/>
        <v>33132</v>
      </c>
      <c r="H312" s="4"/>
      <c r="I312" s="46"/>
    </row>
    <row r="313" spans="1:9" s="20" customFormat="1" ht="69" customHeight="1" hidden="1">
      <c r="A313" s="223"/>
      <c r="B313" s="227"/>
      <c r="C313" s="4" t="s">
        <v>7</v>
      </c>
      <c r="D313" s="17">
        <v>917</v>
      </c>
      <c r="E313" s="4"/>
      <c r="F313" s="9"/>
      <c r="G313" s="19">
        <f t="shared" si="16"/>
        <v>917</v>
      </c>
      <c r="H313" s="4"/>
      <c r="I313" s="46"/>
    </row>
    <row r="314" spans="1:9" s="20" customFormat="1" ht="46.5" customHeight="1" hidden="1">
      <c r="A314" s="22" t="s">
        <v>377</v>
      </c>
      <c r="B314" s="23" t="s">
        <v>273</v>
      </c>
      <c r="C314" s="4"/>
      <c r="D314" s="24">
        <f>D315+D317+D318+D320+D321+D323+D324+D325</f>
        <v>745594</v>
      </c>
      <c r="E314" s="4"/>
      <c r="F314" s="24">
        <f>F316</f>
        <v>27975</v>
      </c>
      <c r="G314" s="24">
        <f>D314+F314</f>
        <v>773569</v>
      </c>
      <c r="H314" s="71"/>
      <c r="I314" s="46"/>
    </row>
    <row r="315" spans="1:9" s="20" customFormat="1" ht="67.5" customHeight="1" hidden="1">
      <c r="A315" s="223" t="s">
        <v>402</v>
      </c>
      <c r="B315" s="227" t="s">
        <v>403</v>
      </c>
      <c r="C315" s="4" t="s">
        <v>7</v>
      </c>
      <c r="D315" s="17">
        <v>339</v>
      </c>
      <c r="E315" s="4"/>
      <c r="F315" s="24"/>
      <c r="G315" s="19">
        <f>D315</f>
        <v>339</v>
      </c>
      <c r="H315" s="71"/>
      <c r="I315" s="46"/>
    </row>
    <row r="316" spans="1:9" s="20" customFormat="1" ht="64.5" customHeight="1" hidden="1">
      <c r="A316" s="223"/>
      <c r="B316" s="227"/>
      <c r="C316" s="4"/>
      <c r="D316" s="17"/>
      <c r="E316" s="4" t="s">
        <v>37</v>
      </c>
      <c r="F316" s="19">
        <v>27975</v>
      </c>
      <c r="G316" s="19">
        <f>F316</f>
        <v>27975</v>
      </c>
      <c r="H316" s="4"/>
      <c r="I316" s="46"/>
    </row>
    <row r="317" spans="1:9" s="20" customFormat="1" ht="45.75" customHeight="1" hidden="1">
      <c r="A317" s="18" t="s">
        <v>319</v>
      </c>
      <c r="B317" s="4" t="s">
        <v>320</v>
      </c>
      <c r="C317" s="4" t="s">
        <v>41</v>
      </c>
      <c r="D317" s="17">
        <v>527000</v>
      </c>
      <c r="E317" s="4"/>
      <c r="F317" s="19"/>
      <c r="G317" s="19">
        <f>D317</f>
        <v>527000</v>
      </c>
      <c r="H317" s="4"/>
      <c r="I317" s="46"/>
    </row>
    <row r="318" spans="1:9" s="20" customFormat="1" ht="47.25" hidden="1">
      <c r="A318" s="223" t="s">
        <v>302</v>
      </c>
      <c r="B318" s="227" t="s">
        <v>317</v>
      </c>
      <c r="C318" s="4" t="s">
        <v>580</v>
      </c>
      <c r="D318" s="17">
        <v>100929</v>
      </c>
      <c r="E318" s="4"/>
      <c r="F318" s="9"/>
      <c r="G318" s="19">
        <f aca="true" t="shared" si="17" ref="G318:G325">D318</f>
        <v>100929</v>
      </c>
      <c r="H318" s="4"/>
      <c r="I318" s="46"/>
    </row>
    <row r="319" spans="1:9" s="20" customFormat="1" ht="15.75" customHeight="1" hidden="1">
      <c r="A319" s="223"/>
      <c r="B319" s="227"/>
      <c r="C319" s="4"/>
      <c r="D319" s="17"/>
      <c r="E319" s="4"/>
      <c r="F319" s="19">
        <v>0</v>
      </c>
      <c r="G319" s="19">
        <f t="shared" si="17"/>
        <v>0</v>
      </c>
      <c r="H319" s="4"/>
      <c r="I319" s="46"/>
    </row>
    <row r="320" spans="1:9" s="20" customFormat="1" ht="47.25" hidden="1">
      <c r="A320" s="223"/>
      <c r="B320" s="227"/>
      <c r="C320" s="4" t="s">
        <v>12</v>
      </c>
      <c r="D320" s="17">
        <v>60000</v>
      </c>
      <c r="E320" s="4"/>
      <c r="F320" s="9"/>
      <c r="G320" s="19">
        <f t="shared" si="17"/>
        <v>60000</v>
      </c>
      <c r="H320" s="4"/>
      <c r="I320" s="46"/>
    </row>
    <row r="321" spans="1:9" s="20" customFormat="1" ht="63" hidden="1">
      <c r="A321" s="223"/>
      <c r="B321" s="227"/>
      <c r="C321" s="4" t="s">
        <v>581</v>
      </c>
      <c r="D321" s="17">
        <v>3500</v>
      </c>
      <c r="E321" s="4"/>
      <c r="F321" s="9"/>
      <c r="G321" s="19">
        <f t="shared" si="17"/>
        <v>3500</v>
      </c>
      <c r="H321" s="4"/>
      <c r="I321" s="46"/>
    </row>
    <row r="322" spans="1:9" s="20" customFormat="1" ht="24.75" customHeight="1" hidden="1">
      <c r="A322" s="223"/>
      <c r="B322" s="227"/>
      <c r="C322" s="4"/>
      <c r="D322" s="5"/>
      <c r="E322" s="4"/>
      <c r="F322" s="9"/>
      <c r="G322" s="19">
        <f t="shared" si="17"/>
        <v>0</v>
      </c>
      <c r="H322" s="4"/>
      <c r="I322" s="46"/>
    </row>
    <row r="323" spans="1:9" s="20" customFormat="1" ht="47.25" hidden="1">
      <c r="A323" s="223"/>
      <c r="B323" s="227"/>
      <c r="C323" s="4" t="s">
        <v>579</v>
      </c>
      <c r="D323" s="17">
        <v>19000</v>
      </c>
      <c r="E323" s="4"/>
      <c r="F323" s="9"/>
      <c r="G323" s="19">
        <f t="shared" si="17"/>
        <v>19000</v>
      </c>
      <c r="H323" s="4"/>
      <c r="I323" s="46"/>
    </row>
    <row r="324" spans="1:9" s="20" customFormat="1" ht="47.25" hidden="1">
      <c r="A324" s="223"/>
      <c r="B324" s="227"/>
      <c r="C324" s="4" t="s">
        <v>41</v>
      </c>
      <c r="D324" s="17">
        <v>32792</v>
      </c>
      <c r="E324" s="4"/>
      <c r="F324" s="9"/>
      <c r="G324" s="19">
        <f t="shared" si="17"/>
        <v>32792</v>
      </c>
      <c r="H324" s="4"/>
      <c r="I324" s="46"/>
    </row>
    <row r="325" spans="1:9" s="20" customFormat="1" ht="68.25" customHeight="1" hidden="1">
      <c r="A325" s="223"/>
      <c r="B325" s="227"/>
      <c r="C325" s="4" t="s">
        <v>7</v>
      </c>
      <c r="D325" s="17">
        <v>2034</v>
      </c>
      <c r="E325" s="4"/>
      <c r="F325" s="9"/>
      <c r="G325" s="19">
        <f t="shared" si="17"/>
        <v>2034</v>
      </c>
      <c r="H325" s="4"/>
      <c r="I325" s="46"/>
    </row>
    <row r="326" spans="1:11" s="34" customFormat="1" ht="15.75" hidden="1">
      <c r="A326" s="23"/>
      <c r="B326" s="23" t="s">
        <v>291</v>
      </c>
      <c r="C326" s="23"/>
      <c r="D326" s="28">
        <f>D11+D31+D73+D97+D125+D148+D153+D155+D185+D188+D196+D199+D204+D216+D221+D227+D233+D237+D252+D264+D276+D286+D302+D314</f>
        <v>220295134</v>
      </c>
      <c r="E326" s="27"/>
      <c r="F326" s="28">
        <f>F11+F31+F73+F97+F125+F148+F153+F155+F185+F188+F196+F199+F204+F216+F221+F227+F233+F237+F252+F264+F276+F286+F302+F314</f>
        <v>205915535</v>
      </c>
      <c r="G326" s="28">
        <f>D326+F326</f>
        <v>426210669</v>
      </c>
      <c r="H326" s="9"/>
      <c r="I326" s="46"/>
      <c r="K326" s="45"/>
    </row>
    <row r="327" spans="1:8" ht="15" customHeight="1" hidden="1">
      <c r="A327" s="65"/>
      <c r="B327" s="65"/>
      <c r="C327" s="65"/>
      <c r="D327" s="65"/>
      <c r="E327" s="65"/>
      <c r="F327" s="65"/>
      <c r="G327" s="65"/>
      <c r="H327" s="63"/>
    </row>
    <row r="328" spans="1:6" s="11" customFormat="1" ht="35.25" customHeight="1" hidden="1">
      <c r="A328" s="224" t="s">
        <v>437</v>
      </c>
      <c r="B328" s="224"/>
      <c r="C328" s="66"/>
      <c r="D328" s="67"/>
      <c r="E328" s="54"/>
      <c r="F328" s="57" t="s">
        <v>438</v>
      </c>
    </row>
    <row r="329" spans="4:7" ht="18" customHeight="1" hidden="1">
      <c r="D329" s="10"/>
      <c r="F329" s="34"/>
      <c r="G329" s="45"/>
    </row>
    <row r="330" spans="4:7" ht="18" customHeight="1" hidden="1">
      <c r="D330" s="10"/>
      <c r="F330" s="34"/>
      <c r="G330" s="45"/>
    </row>
    <row r="331" ht="18" customHeight="1" hidden="1"/>
    <row r="332" spans="4:9" ht="18" customHeight="1" hidden="1">
      <c r="D332" s="10"/>
      <c r="F332" s="41"/>
      <c r="G332" s="42"/>
      <c r="H332" s="41"/>
      <c r="I332" s="10"/>
    </row>
    <row r="333" spans="4:6" ht="18" customHeight="1" hidden="1">
      <c r="D333" s="10"/>
      <c r="F333" s="10"/>
    </row>
    <row r="334" spans="1:6" ht="18" customHeight="1" hidden="1">
      <c r="A334" s="1">
        <v>250404</v>
      </c>
      <c r="B334" s="1" t="s">
        <v>584</v>
      </c>
      <c r="D334" s="10">
        <f>D318+D307+D294+D280+D269+D258+D244</f>
        <v>803906</v>
      </c>
      <c r="F334" s="10"/>
    </row>
    <row r="335" spans="2:6" ht="15.75" hidden="1">
      <c r="B335" s="1" t="s">
        <v>585</v>
      </c>
      <c r="D335" s="10">
        <f>D321+D310+D298+D283+D272+D261+D247</f>
        <v>25756</v>
      </c>
      <c r="F335" s="10"/>
    </row>
    <row r="336" spans="2:6" ht="15.75" hidden="1">
      <c r="B336" s="1" t="s">
        <v>586</v>
      </c>
      <c r="C336" s="3"/>
      <c r="D336" s="10">
        <f>D323+D311+D299+D284+D274+D263+D250</f>
        <v>167225</v>
      </c>
      <c r="F336" s="10"/>
    </row>
    <row r="337" spans="2:6" ht="15.75" hidden="1">
      <c r="B337" s="1" t="s">
        <v>587</v>
      </c>
      <c r="D337" s="10">
        <f>D320+D309+D297+D282+D271+D260+D246</f>
        <v>496776</v>
      </c>
      <c r="F337" s="10"/>
    </row>
    <row r="338" spans="2:6" ht="15.75" hidden="1">
      <c r="B338" s="1" t="s">
        <v>588</v>
      </c>
      <c r="D338" s="10">
        <f>D325+D313+D301+D285+D275+D251+D315+D288+D229+D220+D187+D157+D143+D139+D137+D134+D131+D128+D109+D101++D100+D90+D79+D74+D13+D136+D33+D36+D42+D44+D50+D51+D53+D55+D56+D63+D65</f>
        <v>757108</v>
      </c>
      <c r="F338" s="10"/>
    </row>
    <row r="339" spans="2:6" ht="15.75" hidden="1">
      <c r="B339" s="1" t="s">
        <v>589</v>
      </c>
      <c r="D339" s="10">
        <f>D324+D312+D300+D281+D270+D262+D245</f>
        <v>247576</v>
      </c>
      <c r="F339" s="10"/>
    </row>
    <row r="340" ht="15.75" hidden="1">
      <c r="F340" s="10"/>
    </row>
    <row r="341" ht="15.75" hidden="1">
      <c r="F341" s="10"/>
    </row>
    <row r="342" spans="2:6" ht="15.75" hidden="1">
      <c r="B342" s="1" t="s">
        <v>592</v>
      </c>
      <c r="D342" s="10">
        <f>D151</f>
        <v>120711</v>
      </c>
      <c r="F342" s="10"/>
    </row>
    <row r="343" spans="2:6" ht="15.75" hidden="1">
      <c r="B343" s="1" t="s">
        <v>593</v>
      </c>
      <c r="D343" s="10">
        <f>D106+D180</f>
        <v>680000</v>
      </c>
      <c r="E343" s="1" t="s">
        <v>594</v>
      </c>
      <c r="F343" s="10">
        <f>F106</f>
        <v>24192</v>
      </c>
    </row>
    <row r="344" spans="2:6" ht="15.75" hidden="1">
      <c r="B344" s="1" t="s">
        <v>595</v>
      </c>
      <c r="D344" s="10">
        <f>D232</f>
        <v>33000</v>
      </c>
      <c r="F344" s="10"/>
    </row>
    <row r="345" spans="2:6" ht="15.75" hidden="1">
      <c r="B345" s="1" t="s">
        <v>597</v>
      </c>
      <c r="D345" s="10">
        <f>D26</f>
        <v>3348800</v>
      </c>
      <c r="F345" s="10"/>
    </row>
    <row r="346" spans="2:6" ht="15.75" hidden="1">
      <c r="B346" s="1" t="s">
        <v>600</v>
      </c>
      <c r="D346" s="10">
        <f>D14</f>
        <v>480000</v>
      </c>
      <c r="F346" s="10"/>
    </row>
    <row r="347" spans="2:6" ht="15.75" hidden="1">
      <c r="B347" s="1" t="s">
        <v>1</v>
      </c>
      <c r="D347" s="10">
        <f>D23</f>
        <v>304955</v>
      </c>
      <c r="F347" s="10"/>
    </row>
    <row r="348" spans="2:6" ht="15.75" hidden="1">
      <c r="B348" s="1" t="s">
        <v>2</v>
      </c>
      <c r="D348" s="10">
        <f>D24</f>
        <v>209200</v>
      </c>
      <c r="F348" s="10">
        <f>F16</f>
        <v>415760</v>
      </c>
    </row>
    <row r="349" spans="2:6" ht="15.75" hidden="1">
      <c r="B349" s="1" t="s">
        <v>3</v>
      </c>
      <c r="D349" s="10">
        <f>D206</f>
        <v>2300000</v>
      </c>
      <c r="F349" s="10"/>
    </row>
    <row r="350" spans="2:8" ht="15.75" hidden="1">
      <c r="B350" s="1" t="s">
        <v>4</v>
      </c>
      <c r="D350" s="10">
        <f>D152</f>
        <v>108000</v>
      </c>
      <c r="E350" s="7"/>
      <c r="F350" s="10"/>
      <c r="H350" s="10"/>
    </row>
    <row r="351" spans="2:6" ht="15.75" hidden="1">
      <c r="B351" s="1" t="s">
        <v>9</v>
      </c>
      <c r="D351" s="10">
        <f>D190</f>
        <v>24055</v>
      </c>
      <c r="F351" s="1">
        <f>F190</f>
        <v>1550464</v>
      </c>
    </row>
    <row r="352" spans="2:7" ht="15.75" hidden="1">
      <c r="B352" s="1" t="s">
        <v>10</v>
      </c>
      <c r="C352" s="43"/>
      <c r="D352" s="44"/>
      <c r="E352" s="43"/>
      <c r="F352" s="10">
        <f>F191</f>
        <v>100487</v>
      </c>
      <c r="G352" s="43"/>
    </row>
    <row r="353" spans="2:7" ht="15.75" hidden="1">
      <c r="B353" s="1" t="s">
        <v>11</v>
      </c>
      <c r="C353" s="43"/>
      <c r="D353" s="10">
        <f>D192</f>
        <v>2910648</v>
      </c>
      <c r="E353" s="43"/>
      <c r="F353" s="44"/>
      <c r="G353" s="43"/>
    </row>
    <row r="354" spans="2:7" ht="15.75" hidden="1">
      <c r="B354" s="1" t="s">
        <v>5</v>
      </c>
      <c r="C354" s="43"/>
      <c r="D354" s="43"/>
      <c r="E354" s="43"/>
      <c r="F354" s="10">
        <f>F306+F293+F21</f>
        <v>300000</v>
      </c>
      <c r="G354" s="44"/>
    </row>
    <row r="355" ht="15.75" hidden="1"/>
    <row r="356" ht="15.75" hidden="1"/>
    <row r="357" spans="2:6" ht="15.75" hidden="1">
      <c r="B357" s="1" t="s">
        <v>13</v>
      </c>
      <c r="D357" s="10">
        <f>D324+D317+D312+D305+D300+D290+D281+D278+D270+D266+D262+D254+D245+D241+D179+D166+D162+D159+D158</f>
        <v>102708451</v>
      </c>
      <c r="F357" s="10">
        <f>F305+F304+F279+F278+F267+F266+F254+F235+F179+F176+F174+F169+F166+F165+F162</f>
        <v>76723720</v>
      </c>
    </row>
    <row r="358" ht="15.75" hidden="1"/>
    <row r="359" spans="2:6" ht="15.75" hidden="1">
      <c r="B359" s="1" t="s">
        <v>14</v>
      </c>
      <c r="D359" s="10">
        <f>D34+D37+D43+D54</f>
        <v>11151843</v>
      </c>
      <c r="F359" s="10">
        <f>F34+F37+F54+F67</f>
        <v>15404849</v>
      </c>
    </row>
    <row r="360" spans="2:4" ht="15.75" hidden="1">
      <c r="B360" s="1" t="s">
        <v>15</v>
      </c>
      <c r="D360" s="10">
        <f>D40+D58</f>
        <v>4900252</v>
      </c>
    </row>
    <row r="361" spans="2:4" ht="15.75" hidden="1">
      <c r="B361" s="1" t="s">
        <v>16</v>
      </c>
      <c r="D361" s="10">
        <f>D46</f>
        <v>29827597</v>
      </c>
    </row>
    <row r="362" spans="2:6" ht="15.75" hidden="1">
      <c r="B362" s="1" t="s">
        <v>17</v>
      </c>
      <c r="D362" s="10">
        <f>D59+D60+D61+D66</f>
        <v>1199500</v>
      </c>
      <c r="F362" s="10">
        <f>F66+F69</f>
        <v>1108725</v>
      </c>
    </row>
    <row r="363" spans="2:6" ht="15.75" hidden="1">
      <c r="B363" s="1" t="s">
        <v>18</v>
      </c>
      <c r="D363" s="10">
        <f>D57+D71+D72</f>
        <v>2578544</v>
      </c>
      <c r="F363" s="1">
        <f>F71</f>
        <v>31358</v>
      </c>
    </row>
    <row r="364" ht="15.75" hidden="1"/>
    <row r="365" ht="15.75" hidden="1"/>
    <row r="366" spans="2:6" ht="15.75" hidden="1">
      <c r="B366" s="1" t="s">
        <v>19</v>
      </c>
      <c r="D366" s="10">
        <f>D75+D80+D83+D86+D89</f>
        <v>0</v>
      </c>
      <c r="F366" s="10">
        <f>F75+F80+F83+F86+F89+F94+F236</f>
        <v>22518298</v>
      </c>
    </row>
    <row r="367" spans="2:6" ht="15.75" hidden="1">
      <c r="B367" s="1" t="s">
        <v>20</v>
      </c>
      <c r="D367" s="10">
        <f>D127+D129+D132+D135+D141</f>
        <v>5504638</v>
      </c>
      <c r="F367" s="10">
        <f>F127+F129+F132+F135+F141+F145</f>
        <v>4137302</v>
      </c>
    </row>
    <row r="368" spans="2:4" ht="15.75" hidden="1">
      <c r="B368" s="1" t="s">
        <v>21</v>
      </c>
      <c r="D368" s="10">
        <f>D138</f>
        <v>1114809</v>
      </c>
    </row>
    <row r="369" spans="2:6" ht="15.75" hidden="1">
      <c r="B369" s="1" t="s">
        <v>22</v>
      </c>
      <c r="D369" s="1">
        <f>D140</f>
        <v>1693819</v>
      </c>
      <c r="F369" s="1">
        <f>F140</f>
        <v>42020</v>
      </c>
    </row>
    <row r="370" ht="15.75" hidden="1"/>
    <row r="371" spans="2:6" ht="15.75" hidden="1">
      <c r="B371" s="1" t="s">
        <v>23</v>
      </c>
      <c r="D371" s="10">
        <f>D105+D110+D112+D117+D119+D120+D103</f>
        <v>13778297</v>
      </c>
      <c r="F371" s="10">
        <f>F105+F115</f>
        <v>4271341</v>
      </c>
    </row>
    <row r="372" spans="2:6" ht="15.75" hidden="1">
      <c r="B372" s="1" t="s">
        <v>24</v>
      </c>
      <c r="F372" s="10">
        <f>F114</f>
        <v>0</v>
      </c>
    </row>
    <row r="373" spans="4:6" ht="15.75" hidden="1">
      <c r="D373" s="10"/>
      <c r="F373" s="10"/>
    </row>
    <row r="374" ht="15.75" hidden="1">
      <c r="F374" s="10"/>
    </row>
    <row r="376" spans="2:6" ht="15.75">
      <c r="B376" s="1" t="s">
        <v>25</v>
      </c>
      <c r="D376" s="10">
        <f>D207+D213</f>
        <v>10122723</v>
      </c>
      <c r="F376" s="10">
        <f>F210</f>
        <v>66000</v>
      </c>
    </row>
    <row r="377" spans="2:6" ht="15.75">
      <c r="B377" s="1" t="s">
        <v>26</v>
      </c>
      <c r="D377" s="10">
        <f>D214</f>
        <v>2425000</v>
      </c>
      <c r="F377" s="10">
        <f>F211+F213</f>
        <v>2053987</v>
      </c>
    </row>
    <row r="378" spans="2:6" ht="15.75">
      <c r="B378" s="1" t="s">
        <v>27</v>
      </c>
      <c r="D378" s="10">
        <f>D215</f>
        <v>0</v>
      </c>
      <c r="F378" s="10">
        <f>F215</f>
        <v>0</v>
      </c>
    </row>
    <row r="380" spans="2:6" ht="15.75">
      <c r="B380" s="1" t="s">
        <v>28</v>
      </c>
      <c r="F380" s="10">
        <f>F201+F178+F70</f>
        <v>16840000</v>
      </c>
    </row>
  </sheetData>
  <sheetProtection/>
  <mergeCells count="127">
    <mergeCell ref="B37:B42"/>
    <mergeCell ref="A16:A19"/>
    <mergeCell ref="B16:B19"/>
    <mergeCell ref="A12:A13"/>
    <mergeCell ref="C16:C19"/>
    <mergeCell ref="A23:A30"/>
    <mergeCell ref="B23:B30"/>
    <mergeCell ref="B12:B13"/>
    <mergeCell ref="A14:A15"/>
    <mergeCell ref="B14:B15"/>
    <mergeCell ref="A5:G5"/>
    <mergeCell ref="B8:B9"/>
    <mergeCell ref="C8:D8"/>
    <mergeCell ref="E8:F8"/>
    <mergeCell ref="B54:B55"/>
    <mergeCell ref="A46:A50"/>
    <mergeCell ref="A34:A36"/>
    <mergeCell ref="B34:B36"/>
    <mergeCell ref="A37:A42"/>
    <mergeCell ref="B46:B50"/>
    <mergeCell ref="A52:A53"/>
    <mergeCell ref="B52:B53"/>
    <mergeCell ref="A43:A45"/>
    <mergeCell ref="B43:B45"/>
    <mergeCell ref="B83:B85"/>
    <mergeCell ref="A83:A85"/>
    <mergeCell ref="A65:A66"/>
    <mergeCell ref="B65:B66"/>
    <mergeCell ref="A67:A69"/>
    <mergeCell ref="B67:B69"/>
    <mergeCell ref="A61:A63"/>
    <mergeCell ref="B61:B63"/>
    <mergeCell ref="A54:A55"/>
    <mergeCell ref="B116:B118"/>
    <mergeCell ref="A117:A118"/>
    <mergeCell ref="A98:A100"/>
    <mergeCell ref="B98:B100"/>
    <mergeCell ref="A105:A109"/>
    <mergeCell ref="B105:B109"/>
    <mergeCell ref="A89:A90"/>
    <mergeCell ref="C71:C72"/>
    <mergeCell ref="A75:A79"/>
    <mergeCell ref="B75:B79"/>
    <mergeCell ref="A80:A82"/>
    <mergeCell ref="B80:B82"/>
    <mergeCell ref="A101:A102"/>
    <mergeCell ref="B101:B102"/>
    <mergeCell ref="B89:B90"/>
    <mergeCell ref="A95:A96"/>
    <mergeCell ref="B95:B96"/>
    <mergeCell ref="A86:A88"/>
    <mergeCell ref="B86:B88"/>
    <mergeCell ref="A129:A131"/>
    <mergeCell ref="B129:B131"/>
    <mergeCell ref="A110:A111"/>
    <mergeCell ref="B110:B111"/>
    <mergeCell ref="A112:A113"/>
    <mergeCell ref="B112:B113"/>
    <mergeCell ref="A127:A128"/>
    <mergeCell ref="B127:B128"/>
    <mergeCell ref="A161:A163"/>
    <mergeCell ref="B161:B163"/>
    <mergeCell ref="A114:A115"/>
    <mergeCell ref="B114:B115"/>
    <mergeCell ref="A132:A134"/>
    <mergeCell ref="B132:B134"/>
    <mergeCell ref="A135:A137"/>
    <mergeCell ref="B135:B137"/>
    <mergeCell ref="A159:A160"/>
    <mergeCell ref="B159:B160"/>
    <mergeCell ref="A156:A157"/>
    <mergeCell ref="B156:B157"/>
    <mergeCell ref="A169:A170"/>
    <mergeCell ref="B169:B170"/>
    <mergeCell ref="A166:A167"/>
    <mergeCell ref="B166:B167"/>
    <mergeCell ref="A138:A139"/>
    <mergeCell ref="B138:B139"/>
    <mergeCell ref="A140:A144"/>
    <mergeCell ref="B140:B144"/>
    <mergeCell ref="A191:A193"/>
    <mergeCell ref="B191:B193"/>
    <mergeCell ref="A179:A180"/>
    <mergeCell ref="B179:B180"/>
    <mergeCell ref="A171:A173"/>
    <mergeCell ref="B171:B173"/>
    <mergeCell ref="A176:A177"/>
    <mergeCell ref="B176:B177"/>
    <mergeCell ref="B258:B263"/>
    <mergeCell ref="A219:A220"/>
    <mergeCell ref="B219:B220"/>
    <mergeCell ref="A208:A209"/>
    <mergeCell ref="B208:B209"/>
    <mergeCell ref="C210:C212"/>
    <mergeCell ref="D211:D212"/>
    <mergeCell ref="A214:A215"/>
    <mergeCell ref="B214:B215"/>
    <mergeCell ref="A210:A212"/>
    <mergeCell ref="B210:B212"/>
    <mergeCell ref="A254:A255"/>
    <mergeCell ref="B254:B255"/>
    <mergeCell ref="A244:A251"/>
    <mergeCell ref="B280:B285"/>
    <mergeCell ref="B244:B251"/>
    <mergeCell ref="A315:A316"/>
    <mergeCell ref="B315:B316"/>
    <mergeCell ref="A290:A291"/>
    <mergeCell ref="B290:B291"/>
    <mergeCell ref="B288:B289"/>
    <mergeCell ref="A269:A275"/>
    <mergeCell ref="B269:B275"/>
    <mergeCell ref="A258:A263"/>
    <mergeCell ref="B239:B240"/>
    <mergeCell ref="B235:B236"/>
    <mergeCell ref="A239:A240"/>
    <mergeCell ref="C230:C232"/>
    <mergeCell ref="A235:A236"/>
    <mergeCell ref="A288:A289"/>
    <mergeCell ref="A280:A285"/>
    <mergeCell ref="A328:B328"/>
    <mergeCell ref="H8:H9"/>
    <mergeCell ref="A294:A301"/>
    <mergeCell ref="B294:B301"/>
    <mergeCell ref="A307:A313"/>
    <mergeCell ref="B307:B313"/>
    <mergeCell ref="A318:A325"/>
    <mergeCell ref="B318:B325"/>
  </mergeCells>
  <printOptions/>
  <pageMargins left="0.3937007874015748" right="0.2362204724409449" top="0.3937007874015748" bottom="0.31496062992125984" header="0.2362204724409449" footer="0.2362204724409449"/>
  <pageSetup fitToHeight="16" horizontalDpi="600" verticalDpi="600" orientation="portrait" paperSize="9" scale="66"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345"/>
  <sheetViews>
    <sheetView view="pageBreakPreview" zoomScale="75" zoomScaleSheetLayoutView="75" zoomScalePageLayoutView="0" workbookViewId="0" topLeftCell="A1">
      <selection activeCell="C14" sqref="C14"/>
    </sheetView>
  </sheetViews>
  <sheetFormatPr defaultColWidth="9.140625" defaultRowHeight="12.75"/>
  <cols>
    <col min="1" max="1" width="9.28125" style="1" customWidth="1"/>
    <col min="2" max="2" width="35.8515625" style="1" customWidth="1"/>
    <col min="3" max="3" width="62.8515625" style="1" customWidth="1"/>
    <col min="4" max="4" width="12.57421875" style="1" customWidth="1"/>
    <col min="5" max="5" width="62.7109375" style="1" customWidth="1"/>
    <col min="6" max="6" width="13.421875" style="1" customWidth="1"/>
    <col min="7" max="7" width="15.28125" style="1" customWidth="1"/>
    <col min="8" max="8" width="16.28125" style="1" customWidth="1"/>
    <col min="9" max="9" width="14.421875" style="1" customWidth="1"/>
    <col min="10" max="10" width="11.00390625" style="1" bestFit="1" customWidth="1"/>
    <col min="11" max="11" width="12.140625" style="1" bestFit="1" customWidth="1"/>
    <col min="12" max="16384" width="9.140625" style="1" customWidth="1"/>
  </cols>
  <sheetData>
    <row r="1" spans="5:7" ht="55.5" customHeight="1">
      <c r="E1" s="14" t="s">
        <v>434</v>
      </c>
      <c r="G1" s="13"/>
    </row>
    <row r="2" spans="5:7" ht="28.5" customHeight="1">
      <c r="E2" s="14" t="s">
        <v>435</v>
      </c>
      <c r="G2" s="13"/>
    </row>
    <row r="3" spans="3:7" ht="39.75" customHeight="1">
      <c r="C3" s="8"/>
      <c r="E3" s="14" t="s">
        <v>548</v>
      </c>
      <c r="G3" s="13"/>
    </row>
    <row r="5" spans="1:10" s="6" customFormat="1" ht="28.5" customHeight="1">
      <c r="A5" s="235" t="s">
        <v>578</v>
      </c>
      <c r="B5" s="235"/>
      <c r="C5" s="235"/>
      <c r="D5" s="235"/>
      <c r="E5" s="235"/>
      <c r="F5" s="235"/>
      <c r="G5" s="235"/>
      <c r="H5" s="49"/>
      <c r="J5" s="50"/>
    </row>
    <row r="6" spans="1:4" ht="5.25" customHeight="1">
      <c r="A6" s="63"/>
      <c r="B6" s="63"/>
      <c r="C6" s="63"/>
      <c r="D6" s="63"/>
    </row>
    <row r="7" spans="1:8" ht="16.5" customHeight="1">
      <c r="A7" s="63"/>
      <c r="B7" s="63"/>
      <c r="C7" s="63"/>
      <c r="D7" s="63"/>
      <c r="E7" s="63"/>
      <c r="F7" s="63"/>
      <c r="G7" s="68" t="s">
        <v>290</v>
      </c>
      <c r="H7" s="63"/>
    </row>
    <row r="8" spans="1:8" s="2" customFormat="1" ht="45.75" customHeight="1">
      <c r="A8" s="64" t="s">
        <v>259</v>
      </c>
      <c r="B8" s="227" t="s">
        <v>261</v>
      </c>
      <c r="C8" s="227" t="s">
        <v>285</v>
      </c>
      <c r="D8" s="227"/>
      <c r="E8" s="227" t="s">
        <v>288</v>
      </c>
      <c r="F8" s="227"/>
      <c r="G8" s="4" t="s">
        <v>289</v>
      </c>
      <c r="H8" s="20"/>
    </row>
    <row r="9" spans="1:8" s="2" customFormat="1" ht="57.75" customHeight="1">
      <c r="A9" s="64" t="s">
        <v>260</v>
      </c>
      <c r="B9" s="227"/>
      <c r="C9" s="4" t="s">
        <v>286</v>
      </c>
      <c r="D9" s="4" t="s">
        <v>287</v>
      </c>
      <c r="E9" s="4" t="s">
        <v>286</v>
      </c>
      <c r="F9" s="4" t="s">
        <v>287</v>
      </c>
      <c r="G9" s="4" t="s">
        <v>287</v>
      </c>
      <c r="H9" s="20"/>
    </row>
    <row r="10" spans="1:8" s="2" customFormat="1" ht="16.5" customHeight="1">
      <c r="A10" s="4">
        <v>1</v>
      </c>
      <c r="B10" s="4">
        <v>2</v>
      </c>
      <c r="C10" s="4">
        <v>3</v>
      </c>
      <c r="D10" s="4">
        <v>4</v>
      </c>
      <c r="E10" s="4">
        <v>5</v>
      </c>
      <c r="F10" s="4">
        <v>6</v>
      </c>
      <c r="G10" s="4">
        <v>7</v>
      </c>
      <c r="H10" s="20"/>
    </row>
    <row r="11" spans="1:9" s="2" customFormat="1" ht="31.5">
      <c r="A11" s="22" t="s">
        <v>370</v>
      </c>
      <c r="B11" s="23" t="s">
        <v>263</v>
      </c>
      <c r="C11" s="4"/>
      <c r="D11" s="24">
        <f>D13+D14+D23+D24+D26+D28+D29+D30</f>
        <v>0</v>
      </c>
      <c r="E11" s="4"/>
      <c r="F11" s="28">
        <f>F12+F15+F16+F20+F21+F23+F24+F26+F28+F29+F30</f>
        <v>0</v>
      </c>
      <c r="G11" s="28">
        <f>D11+F11</f>
        <v>0</v>
      </c>
      <c r="H11" s="47"/>
      <c r="I11" s="46"/>
    </row>
    <row r="12" spans="1:9" s="20" customFormat="1" ht="47.25">
      <c r="A12" s="223" t="s">
        <v>402</v>
      </c>
      <c r="B12" s="227" t="s">
        <v>403</v>
      </c>
      <c r="C12" s="4"/>
      <c r="D12" s="17"/>
      <c r="E12" s="4" t="s">
        <v>556</v>
      </c>
      <c r="F12" s="19"/>
      <c r="G12" s="19">
        <f>D12+F12</f>
        <v>0</v>
      </c>
      <c r="I12" s="46"/>
    </row>
    <row r="13" spans="1:9" s="20" customFormat="1" ht="68.25" customHeight="1">
      <c r="A13" s="223"/>
      <c r="B13" s="227"/>
      <c r="C13" s="61" t="s">
        <v>523</v>
      </c>
      <c r="D13" s="17"/>
      <c r="E13" s="4"/>
      <c r="F13" s="19"/>
      <c r="G13" s="19">
        <f aca="true" t="shared" si="0" ref="G13:G25">D13+F13</f>
        <v>0</v>
      </c>
      <c r="I13" s="46"/>
    </row>
    <row r="14" spans="1:9" s="20" customFormat="1" ht="51" customHeight="1">
      <c r="A14" s="223" t="s">
        <v>303</v>
      </c>
      <c r="B14" s="227" t="s">
        <v>329</v>
      </c>
      <c r="C14" s="4" t="s">
        <v>559</v>
      </c>
      <c r="D14" s="17"/>
      <c r="E14" s="4"/>
      <c r="F14" s="9"/>
      <c r="G14" s="19">
        <f t="shared" si="0"/>
        <v>0</v>
      </c>
      <c r="I14" s="46"/>
    </row>
    <row r="15" spans="1:9" s="20" customFormat="1" ht="31.5">
      <c r="A15" s="223"/>
      <c r="B15" s="227"/>
      <c r="C15" s="4"/>
      <c r="D15" s="17"/>
      <c r="E15" s="35" t="s">
        <v>558</v>
      </c>
      <c r="F15" s="36"/>
      <c r="G15" s="59">
        <f t="shared" si="0"/>
        <v>0</v>
      </c>
      <c r="I15" s="46"/>
    </row>
    <row r="16" spans="1:9" s="20" customFormat="1" ht="63">
      <c r="A16" s="223" t="s">
        <v>309</v>
      </c>
      <c r="B16" s="227" t="s">
        <v>310</v>
      </c>
      <c r="C16" s="227"/>
      <c r="D16" s="17"/>
      <c r="E16" s="4" t="s">
        <v>557</v>
      </c>
      <c r="F16" s="19"/>
      <c r="G16" s="19">
        <f t="shared" si="0"/>
        <v>0</v>
      </c>
      <c r="I16" s="46"/>
    </row>
    <row r="17" spans="1:9" s="20" customFormat="1" ht="44.25" customHeight="1" hidden="1">
      <c r="A17" s="223"/>
      <c r="B17" s="227"/>
      <c r="C17" s="227"/>
      <c r="D17" s="5"/>
      <c r="E17" s="4" t="s">
        <v>365</v>
      </c>
      <c r="F17" s="9"/>
      <c r="G17" s="19">
        <f t="shared" si="0"/>
        <v>0</v>
      </c>
      <c r="I17" s="46"/>
    </row>
    <row r="18" spans="1:9" s="20" customFormat="1" ht="47.25" customHeight="1" hidden="1">
      <c r="A18" s="223"/>
      <c r="B18" s="227"/>
      <c r="C18" s="227"/>
      <c r="D18" s="5"/>
      <c r="E18" s="4" t="s">
        <v>364</v>
      </c>
      <c r="F18" s="19">
        <v>0</v>
      </c>
      <c r="G18" s="19">
        <f t="shared" si="0"/>
        <v>0</v>
      </c>
      <c r="I18" s="46"/>
    </row>
    <row r="19" spans="1:9" s="20" customFormat="1" ht="15.75" hidden="1">
      <c r="A19" s="223"/>
      <c r="B19" s="227"/>
      <c r="C19" s="227"/>
      <c r="D19" s="5"/>
      <c r="E19" s="4"/>
      <c r="F19" s="19">
        <v>0</v>
      </c>
      <c r="G19" s="19">
        <f t="shared" si="0"/>
        <v>0</v>
      </c>
      <c r="I19" s="46"/>
    </row>
    <row r="20" spans="1:9" s="20" customFormat="1" ht="222" customHeight="1">
      <c r="A20" s="18" t="s">
        <v>451</v>
      </c>
      <c r="B20" s="40" t="s">
        <v>452</v>
      </c>
      <c r="C20" s="4"/>
      <c r="D20" s="5"/>
      <c r="E20" s="4" t="s">
        <v>494</v>
      </c>
      <c r="F20" s="19"/>
      <c r="G20" s="19">
        <f t="shared" si="0"/>
        <v>0</v>
      </c>
      <c r="I20" s="46"/>
    </row>
    <row r="21" spans="1:9" s="20" customFormat="1" ht="46.5" customHeight="1">
      <c r="A21" s="26">
        <v>240900</v>
      </c>
      <c r="B21" s="4" t="s">
        <v>330</v>
      </c>
      <c r="C21" s="16"/>
      <c r="D21" s="15"/>
      <c r="E21" s="4" t="s">
        <v>560</v>
      </c>
      <c r="F21" s="19"/>
      <c r="G21" s="19">
        <f t="shared" si="0"/>
        <v>0</v>
      </c>
      <c r="I21" s="46"/>
    </row>
    <row r="22" spans="1:9" s="20" customFormat="1" ht="75" customHeight="1" hidden="1">
      <c r="A22" s="26">
        <v>250203</v>
      </c>
      <c r="B22" s="4" t="s">
        <v>429</v>
      </c>
      <c r="C22" s="4"/>
      <c r="D22" s="21">
        <v>0</v>
      </c>
      <c r="E22" s="4"/>
      <c r="F22" s="9"/>
      <c r="G22" s="19">
        <f t="shared" si="0"/>
        <v>0</v>
      </c>
      <c r="I22" s="46"/>
    </row>
    <row r="23" spans="1:9" s="20" customFormat="1" ht="94.5">
      <c r="A23" s="233">
        <v>250404</v>
      </c>
      <c r="B23" s="227" t="s">
        <v>317</v>
      </c>
      <c r="C23" s="4" t="s">
        <v>539</v>
      </c>
      <c r="D23" s="21">
        <v>0</v>
      </c>
      <c r="E23" s="9"/>
      <c r="F23" s="12"/>
      <c r="G23" s="19">
        <f t="shared" si="0"/>
        <v>0</v>
      </c>
      <c r="I23" s="46"/>
    </row>
    <row r="24" spans="1:9" s="20" customFormat="1" ht="63">
      <c r="A24" s="233"/>
      <c r="B24" s="227"/>
      <c r="C24" s="4" t="s">
        <v>557</v>
      </c>
      <c r="D24" s="17">
        <v>0</v>
      </c>
      <c r="E24" s="4"/>
      <c r="F24" s="19">
        <v>0</v>
      </c>
      <c r="G24" s="19">
        <f t="shared" si="0"/>
        <v>0</v>
      </c>
      <c r="I24" s="46"/>
    </row>
    <row r="25" spans="1:9" s="20" customFormat="1" ht="32.25" customHeight="1" hidden="1">
      <c r="A25" s="233"/>
      <c r="B25" s="227"/>
      <c r="C25" s="4" t="s">
        <v>366</v>
      </c>
      <c r="D25" s="17">
        <v>120000</v>
      </c>
      <c r="E25" s="4" t="s">
        <v>366</v>
      </c>
      <c r="F25" s="19">
        <v>0</v>
      </c>
      <c r="G25" s="19">
        <f t="shared" si="0"/>
        <v>120000</v>
      </c>
      <c r="I25" s="46"/>
    </row>
    <row r="26" spans="1:9" s="20" customFormat="1" ht="65.25" customHeight="1">
      <c r="A26" s="233"/>
      <c r="B26" s="227"/>
      <c r="C26" s="4" t="s">
        <v>561</v>
      </c>
      <c r="D26" s="17">
        <v>0</v>
      </c>
      <c r="E26" s="4"/>
      <c r="F26" s="19">
        <v>0</v>
      </c>
      <c r="G26" s="19">
        <f aca="true" t="shared" si="1" ref="G26:G31">D26+F26</f>
        <v>0</v>
      </c>
      <c r="I26" s="46"/>
    </row>
    <row r="27" spans="1:9" s="20" customFormat="1" ht="38.25" customHeight="1" hidden="1">
      <c r="A27" s="233"/>
      <c r="B27" s="227"/>
      <c r="C27" s="4" t="s">
        <v>433</v>
      </c>
      <c r="D27" s="17">
        <v>0</v>
      </c>
      <c r="E27" s="4"/>
      <c r="F27" s="19"/>
      <c r="G27" s="19">
        <f t="shared" si="1"/>
        <v>0</v>
      </c>
      <c r="I27" s="46"/>
    </row>
    <row r="28" spans="1:9" s="20" customFormat="1" ht="46.5" customHeight="1">
      <c r="A28" s="233"/>
      <c r="B28" s="227"/>
      <c r="C28" s="35" t="s">
        <v>558</v>
      </c>
      <c r="D28" s="38">
        <v>0</v>
      </c>
      <c r="E28" s="35"/>
      <c r="F28" s="36"/>
      <c r="G28" s="59">
        <f t="shared" si="1"/>
        <v>0</v>
      </c>
      <c r="I28" s="46"/>
    </row>
    <row r="29" spans="1:9" s="20" customFormat="1" ht="62.25" customHeight="1">
      <c r="A29" s="233"/>
      <c r="B29" s="227"/>
      <c r="C29" s="4" t="s">
        <v>555</v>
      </c>
      <c r="D29" s="17"/>
      <c r="E29" s="35"/>
      <c r="F29" s="36"/>
      <c r="G29" s="19">
        <f t="shared" si="1"/>
        <v>0</v>
      </c>
      <c r="I29" s="46"/>
    </row>
    <row r="30" spans="1:9" s="20" customFormat="1" ht="63">
      <c r="A30" s="233"/>
      <c r="B30" s="227"/>
      <c r="C30" s="4" t="s">
        <v>494</v>
      </c>
      <c r="D30" s="17"/>
      <c r="E30" s="4"/>
      <c r="F30" s="19"/>
      <c r="G30" s="19">
        <f t="shared" si="1"/>
        <v>0</v>
      </c>
      <c r="I30" s="46"/>
    </row>
    <row r="31" spans="1:9" s="20" customFormat="1" ht="47.25">
      <c r="A31" s="22" t="s">
        <v>378</v>
      </c>
      <c r="B31" s="23" t="s">
        <v>274</v>
      </c>
      <c r="C31" s="4"/>
      <c r="D31" s="24">
        <f>D33+D34+D35+D36+D37+D40+D41+D42+D44++D46+D49+D50+D51+D52+D53+D54+D55+D56+D57+D58+D59+D60+D61+D62+D63+D68+D69</f>
        <v>0</v>
      </c>
      <c r="E31" s="5"/>
      <c r="F31" s="24">
        <f>F34+F35+F37+F41+F45+F46+F49+F59+F52+F63+F64+F65+F66+F67+F68</f>
        <v>0</v>
      </c>
      <c r="G31" s="24">
        <f t="shared" si="1"/>
        <v>0</v>
      </c>
      <c r="H31" s="47"/>
      <c r="I31" s="46"/>
    </row>
    <row r="32" spans="1:9" s="20" customFormat="1" ht="44.25" customHeight="1" hidden="1">
      <c r="A32" s="18" t="s">
        <v>402</v>
      </c>
      <c r="B32" s="4" t="s">
        <v>403</v>
      </c>
      <c r="C32" s="4" t="s">
        <v>427</v>
      </c>
      <c r="D32" s="17"/>
      <c r="E32" s="4"/>
      <c r="F32" s="19"/>
      <c r="G32" s="9">
        <v>0</v>
      </c>
      <c r="I32" s="46"/>
    </row>
    <row r="33" spans="1:9" s="20" customFormat="1" ht="66" customHeight="1">
      <c r="A33" s="18" t="s">
        <v>402</v>
      </c>
      <c r="B33" s="4" t="s">
        <v>403</v>
      </c>
      <c r="C33" s="58" t="s">
        <v>523</v>
      </c>
      <c r="D33" s="17">
        <v>0</v>
      </c>
      <c r="E33" s="4"/>
      <c r="F33" s="19"/>
      <c r="G33" s="19">
        <f>D33+F33</f>
        <v>0</v>
      </c>
      <c r="I33" s="46"/>
    </row>
    <row r="34" spans="1:9" s="20" customFormat="1" ht="33" customHeight="1">
      <c r="A34" s="223" t="s">
        <v>292</v>
      </c>
      <c r="B34" s="227" t="s">
        <v>332</v>
      </c>
      <c r="C34" s="58" t="s">
        <v>515</v>
      </c>
      <c r="D34" s="17">
        <v>0</v>
      </c>
      <c r="E34" s="4" t="s">
        <v>562</v>
      </c>
      <c r="F34" s="19">
        <v>0</v>
      </c>
      <c r="G34" s="19">
        <f>D34+F34</f>
        <v>0</v>
      </c>
      <c r="H34" s="47"/>
      <c r="I34" s="46"/>
    </row>
    <row r="35" spans="1:9" s="20" customFormat="1" ht="47.25">
      <c r="A35" s="223"/>
      <c r="B35" s="227"/>
      <c r="C35" s="35" t="s">
        <v>504</v>
      </c>
      <c r="D35" s="38">
        <v>0</v>
      </c>
      <c r="E35" s="35" t="s">
        <v>504</v>
      </c>
      <c r="F35" s="36">
        <v>0</v>
      </c>
      <c r="G35" s="19">
        <f>D35+F35</f>
        <v>0</v>
      </c>
      <c r="I35" s="46"/>
    </row>
    <row r="36" spans="1:9" s="20" customFormat="1" ht="71.25" customHeight="1">
      <c r="A36" s="223"/>
      <c r="B36" s="227"/>
      <c r="C36" s="58" t="s">
        <v>523</v>
      </c>
      <c r="D36" s="17">
        <v>0</v>
      </c>
      <c r="E36" s="35"/>
      <c r="F36" s="36"/>
      <c r="G36" s="19">
        <f>D36+F36</f>
        <v>0</v>
      </c>
      <c r="I36" s="46"/>
    </row>
    <row r="37" spans="1:9" s="20" customFormat="1" ht="35.25" customHeight="1">
      <c r="A37" s="223" t="s">
        <v>293</v>
      </c>
      <c r="B37" s="223" t="s">
        <v>333</v>
      </c>
      <c r="C37" s="58" t="s">
        <v>515</v>
      </c>
      <c r="D37" s="17">
        <v>0</v>
      </c>
      <c r="E37" s="4" t="s">
        <v>562</v>
      </c>
      <c r="F37" s="19">
        <v>0</v>
      </c>
      <c r="G37" s="19">
        <f>D37+F37</f>
        <v>0</v>
      </c>
      <c r="H37" s="47"/>
      <c r="I37" s="46"/>
    </row>
    <row r="38" spans="1:9" s="20" customFormat="1" ht="32.25" customHeight="1" hidden="1">
      <c r="A38" s="223"/>
      <c r="B38" s="223"/>
      <c r="C38" s="58" t="s">
        <v>467</v>
      </c>
      <c r="D38" s="17"/>
      <c r="E38" s="4" t="s">
        <v>467</v>
      </c>
      <c r="F38" s="19"/>
      <c r="G38" s="19">
        <f aca="true" t="shared" si="2" ref="G38:G48">D38+F38</f>
        <v>0</v>
      </c>
      <c r="I38" s="46"/>
    </row>
    <row r="39" spans="1:9" s="20" customFormat="1" ht="66" customHeight="1" hidden="1">
      <c r="A39" s="223"/>
      <c r="B39" s="223"/>
      <c r="C39" s="58" t="s">
        <v>467</v>
      </c>
      <c r="D39" s="17"/>
      <c r="E39" s="4" t="s">
        <v>467</v>
      </c>
      <c r="F39" s="19"/>
      <c r="G39" s="19">
        <f t="shared" si="2"/>
        <v>0</v>
      </c>
      <c r="I39" s="46"/>
    </row>
    <row r="40" spans="1:9" s="20" customFormat="1" ht="35.25" customHeight="1">
      <c r="A40" s="223"/>
      <c r="B40" s="223"/>
      <c r="C40" s="58" t="s">
        <v>520</v>
      </c>
      <c r="D40" s="17">
        <v>0</v>
      </c>
      <c r="E40" s="4"/>
      <c r="F40" s="19"/>
      <c r="G40" s="19">
        <f t="shared" si="2"/>
        <v>0</v>
      </c>
      <c r="I40" s="46"/>
    </row>
    <row r="41" spans="1:9" s="20" customFormat="1" ht="47.25">
      <c r="A41" s="223"/>
      <c r="B41" s="223"/>
      <c r="C41" s="35" t="s">
        <v>504</v>
      </c>
      <c r="D41" s="38">
        <v>0</v>
      </c>
      <c r="E41" s="35" t="s">
        <v>504</v>
      </c>
      <c r="F41" s="36">
        <v>0</v>
      </c>
      <c r="G41" s="19">
        <f t="shared" si="2"/>
        <v>0</v>
      </c>
      <c r="I41" s="46"/>
    </row>
    <row r="42" spans="1:9" s="20" customFormat="1" ht="66" customHeight="1">
      <c r="A42" s="223"/>
      <c r="B42" s="223"/>
      <c r="C42" s="58" t="s">
        <v>523</v>
      </c>
      <c r="D42" s="17">
        <v>0</v>
      </c>
      <c r="E42" s="35"/>
      <c r="F42" s="36"/>
      <c r="G42" s="19">
        <f t="shared" si="2"/>
        <v>0</v>
      </c>
      <c r="I42" s="46"/>
    </row>
    <row r="43" spans="1:9" s="20" customFormat="1" ht="35.25" customHeight="1">
      <c r="A43" s="223" t="s">
        <v>294</v>
      </c>
      <c r="B43" s="227" t="s">
        <v>334</v>
      </c>
      <c r="C43" s="58" t="s">
        <v>515</v>
      </c>
      <c r="D43" s="17">
        <v>0</v>
      </c>
      <c r="E43" s="4"/>
      <c r="F43" s="19"/>
      <c r="G43" s="19">
        <f t="shared" si="2"/>
        <v>0</v>
      </c>
      <c r="I43" s="46"/>
    </row>
    <row r="44" spans="1:9" s="20" customFormat="1" ht="70.5" customHeight="1">
      <c r="A44" s="223"/>
      <c r="B44" s="227"/>
      <c r="C44" s="58" t="s">
        <v>523</v>
      </c>
      <c r="D44" s="17">
        <v>0</v>
      </c>
      <c r="E44" s="4"/>
      <c r="F44" s="19"/>
      <c r="G44" s="19">
        <f t="shared" si="2"/>
        <v>0</v>
      </c>
      <c r="I44" s="46"/>
    </row>
    <row r="45" spans="1:9" s="20" customFormat="1" ht="31.5">
      <c r="A45" s="223"/>
      <c r="B45" s="227"/>
      <c r="C45" s="4"/>
      <c r="D45" s="17"/>
      <c r="E45" s="35" t="s">
        <v>558</v>
      </c>
      <c r="F45" s="36">
        <v>0</v>
      </c>
      <c r="G45" s="19">
        <f t="shared" si="2"/>
        <v>0</v>
      </c>
      <c r="H45" s="47"/>
      <c r="I45" s="46"/>
    </row>
    <row r="46" spans="1:9" s="20" customFormat="1" ht="39" customHeight="1">
      <c r="A46" s="223" t="s">
        <v>251</v>
      </c>
      <c r="B46" s="227" t="s">
        <v>252</v>
      </c>
      <c r="C46" s="58" t="s">
        <v>503</v>
      </c>
      <c r="D46" s="17">
        <v>0</v>
      </c>
      <c r="E46" s="4" t="s">
        <v>563</v>
      </c>
      <c r="F46" s="19">
        <v>0</v>
      </c>
      <c r="G46" s="19">
        <f t="shared" si="2"/>
        <v>0</v>
      </c>
      <c r="H46" s="47"/>
      <c r="I46" s="46"/>
    </row>
    <row r="47" spans="1:9" s="20" customFormat="1" ht="46.5" customHeight="1" hidden="1">
      <c r="A47" s="223"/>
      <c r="B47" s="227"/>
      <c r="C47" s="4" t="s">
        <v>546</v>
      </c>
      <c r="D47" s="17">
        <v>0</v>
      </c>
      <c r="E47" s="4" t="s">
        <v>546</v>
      </c>
      <c r="F47" s="19">
        <v>0</v>
      </c>
      <c r="G47" s="19">
        <f t="shared" si="2"/>
        <v>0</v>
      </c>
      <c r="I47" s="46"/>
    </row>
    <row r="48" spans="1:9" s="20" customFormat="1" ht="51.75" customHeight="1" hidden="1">
      <c r="A48" s="223"/>
      <c r="B48" s="227"/>
      <c r="C48" s="4"/>
      <c r="D48" s="21">
        <v>0</v>
      </c>
      <c r="E48" s="26"/>
      <c r="F48" s="16"/>
      <c r="G48" s="19">
        <f t="shared" si="2"/>
        <v>0</v>
      </c>
      <c r="I48" s="46"/>
    </row>
    <row r="49" spans="1:9" s="20" customFormat="1" ht="47.25">
      <c r="A49" s="223"/>
      <c r="B49" s="227"/>
      <c r="C49" s="35" t="s">
        <v>504</v>
      </c>
      <c r="D49" s="36">
        <v>0</v>
      </c>
      <c r="E49" s="35" t="s">
        <v>504</v>
      </c>
      <c r="F49" s="36">
        <v>0</v>
      </c>
      <c r="G49" s="19">
        <f>D49+F49</f>
        <v>0</v>
      </c>
      <c r="I49" s="46"/>
    </row>
    <row r="50" spans="1:9" s="20" customFormat="1" ht="66.75" customHeight="1">
      <c r="A50" s="223"/>
      <c r="B50" s="227"/>
      <c r="C50" s="58" t="s">
        <v>523</v>
      </c>
      <c r="D50" s="19">
        <v>0</v>
      </c>
      <c r="E50" s="35"/>
      <c r="F50" s="36"/>
      <c r="G50" s="19">
        <f aca="true" t="shared" si="3" ref="G50:G67">D50+F50</f>
        <v>0</v>
      </c>
      <c r="I50" s="46"/>
    </row>
    <row r="51" spans="1:9" s="20" customFormat="1" ht="63.75" customHeight="1">
      <c r="A51" s="18" t="s">
        <v>517</v>
      </c>
      <c r="B51" s="4" t="s">
        <v>516</v>
      </c>
      <c r="C51" s="58" t="s">
        <v>523</v>
      </c>
      <c r="D51" s="19">
        <v>0</v>
      </c>
      <c r="E51" s="35"/>
      <c r="F51" s="36"/>
      <c r="G51" s="19">
        <f t="shared" si="3"/>
        <v>0</v>
      </c>
      <c r="I51" s="46"/>
    </row>
    <row r="52" spans="1:9" s="51" customFormat="1" ht="46.5" customHeight="1">
      <c r="A52" s="18" t="s">
        <v>524</v>
      </c>
      <c r="B52" s="4" t="s">
        <v>525</v>
      </c>
      <c r="C52" s="58" t="s">
        <v>515</v>
      </c>
      <c r="D52" s="19">
        <v>0</v>
      </c>
      <c r="E52" s="4" t="s">
        <v>562</v>
      </c>
      <c r="F52" s="19">
        <v>0</v>
      </c>
      <c r="G52" s="19">
        <f t="shared" si="3"/>
        <v>0</v>
      </c>
      <c r="H52" s="47"/>
      <c r="I52" s="52"/>
    </row>
    <row r="53" spans="1:9" s="20" customFormat="1" ht="60.75" customHeight="1">
      <c r="A53" s="18" t="s">
        <v>518</v>
      </c>
      <c r="B53" s="4" t="s">
        <v>519</v>
      </c>
      <c r="C53" s="60" t="s">
        <v>523</v>
      </c>
      <c r="D53" s="19">
        <v>0</v>
      </c>
      <c r="E53" s="35"/>
      <c r="F53" s="36"/>
      <c r="G53" s="19">
        <f t="shared" si="3"/>
        <v>0</v>
      </c>
      <c r="I53" s="46"/>
    </row>
    <row r="54" spans="1:9" s="20" customFormat="1" ht="47.25">
      <c r="A54" s="25" t="s">
        <v>306</v>
      </c>
      <c r="B54" s="4" t="s">
        <v>253</v>
      </c>
      <c r="C54" s="4" t="s">
        <v>565</v>
      </c>
      <c r="D54" s="21">
        <v>0</v>
      </c>
      <c r="E54" s="4"/>
      <c r="F54" s="16"/>
      <c r="G54" s="19">
        <f t="shared" si="3"/>
        <v>0</v>
      </c>
      <c r="I54" s="46"/>
    </row>
    <row r="55" spans="1:9" s="20" customFormat="1" ht="95.25" customHeight="1">
      <c r="A55" s="18" t="s">
        <v>295</v>
      </c>
      <c r="B55" s="4" t="s">
        <v>328</v>
      </c>
      <c r="C55" s="60" t="s">
        <v>520</v>
      </c>
      <c r="D55" s="17">
        <v>0</v>
      </c>
      <c r="E55" s="4"/>
      <c r="F55" s="9"/>
      <c r="G55" s="19">
        <f t="shared" si="3"/>
        <v>0</v>
      </c>
      <c r="I55" s="46"/>
    </row>
    <row r="56" spans="1:9" s="20" customFormat="1" ht="35.25" customHeight="1">
      <c r="A56" s="18" t="s">
        <v>394</v>
      </c>
      <c r="B56" s="4" t="s">
        <v>395</v>
      </c>
      <c r="C56" s="60" t="s">
        <v>481</v>
      </c>
      <c r="D56" s="17">
        <v>0</v>
      </c>
      <c r="E56" s="4"/>
      <c r="F56" s="9"/>
      <c r="G56" s="19">
        <f t="shared" si="3"/>
        <v>0</v>
      </c>
      <c r="I56" s="46"/>
    </row>
    <row r="57" spans="1:9" s="20" customFormat="1" ht="47.25">
      <c r="A57" s="18" t="s">
        <v>478</v>
      </c>
      <c r="B57" s="4" t="s">
        <v>479</v>
      </c>
      <c r="C57" s="60" t="s">
        <v>481</v>
      </c>
      <c r="D57" s="17">
        <v>0</v>
      </c>
      <c r="E57" s="4"/>
      <c r="F57" s="19"/>
      <c r="G57" s="19">
        <f t="shared" si="3"/>
        <v>0</v>
      </c>
      <c r="I57" s="46"/>
    </row>
    <row r="58" spans="1:9" s="20" customFormat="1" ht="31.5" customHeight="1">
      <c r="A58" s="223" t="s">
        <v>335</v>
      </c>
      <c r="B58" s="227" t="s">
        <v>428</v>
      </c>
      <c r="C58" s="60" t="s">
        <v>481</v>
      </c>
      <c r="D58" s="17">
        <v>0</v>
      </c>
      <c r="E58" s="4"/>
      <c r="F58" s="19"/>
      <c r="G58" s="19">
        <f t="shared" si="3"/>
        <v>0</v>
      </c>
      <c r="I58" s="46"/>
    </row>
    <row r="59" spans="1:9" s="20" customFormat="1" ht="47.25">
      <c r="A59" s="223"/>
      <c r="B59" s="227"/>
      <c r="C59" s="35" t="s">
        <v>504</v>
      </c>
      <c r="D59" s="36">
        <v>0</v>
      </c>
      <c r="E59" s="35" t="s">
        <v>558</v>
      </c>
      <c r="F59" s="36">
        <v>0</v>
      </c>
      <c r="G59" s="19">
        <f t="shared" si="3"/>
        <v>0</v>
      </c>
      <c r="H59" s="47"/>
      <c r="I59" s="46"/>
    </row>
    <row r="60" spans="1:9" s="20" customFormat="1" ht="65.25" customHeight="1">
      <c r="A60" s="223"/>
      <c r="B60" s="227"/>
      <c r="C60" s="4" t="s">
        <v>523</v>
      </c>
      <c r="D60" s="19">
        <v>0</v>
      </c>
      <c r="E60" s="35"/>
      <c r="F60" s="36"/>
      <c r="G60" s="19">
        <f t="shared" si="3"/>
        <v>0</v>
      </c>
      <c r="I60" s="46"/>
    </row>
    <row r="61" spans="1:9" s="20" customFormat="1" ht="47.25">
      <c r="A61" s="18" t="s">
        <v>392</v>
      </c>
      <c r="B61" s="4" t="s">
        <v>393</v>
      </c>
      <c r="C61" s="4" t="s">
        <v>495</v>
      </c>
      <c r="D61" s="17">
        <v>0</v>
      </c>
      <c r="E61" s="4"/>
      <c r="F61" s="19"/>
      <c r="G61" s="19">
        <f t="shared" si="3"/>
        <v>0</v>
      </c>
      <c r="I61" s="46"/>
    </row>
    <row r="62" spans="1:9" s="20" customFormat="1" ht="63">
      <c r="A62" s="233">
        <v>130112</v>
      </c>
      <c r="B62" s="227" t="s">
        <v>317</v>
      </c>
      <c r="C62" s="58" t="s">
        <v>523</v>
      </c>
      <c r="D62" s="17">
        <v>0</v>
      </c>
      <c r="E62" s="4"/>
      <c r="F62" s="19"/>
      <c r="G62" s="19">
        <f t="shared" si="3"/>
        <v>0</v>
      </c>
      <c r="I62" s="46"/>
    </row>
    <row r="63" spans="1:9" s="20" customFormat="1" ht="37.5" customHeight="1">
      <c r="A63" s="233"/>
      <c r="B63" s="227"/>
      <c r="C63" s="4" t="s">
        <v>564</v>
      </c>
      <c r="D63" s="21">
        <v>0</v>
      </c>
      <c r="E63" s="60" t="s">
        <v>481</v>
      </c>
      <c r="F63" s="12">
        <v>0</v>
      </c>
      <c r="G63" s="19">
        <f t="shared" si="3"/>
        <v>0</v>
      </c>
      <c r="H63" s="47"/>
      <c r="I63" s="46"/>
    </row>
    <row r="64" spans="1:9" s="20" customFormat="1" ht="31.5">
      <c r="A64" s="223" t="s">
        <v>309</v>
      </c>
      <c r="B64" s="227" t="s">
        <v>310</v>
      </c>
      <c r="C64" s="4"/>
      <c r="D64" s="5"/>
      <c r="E64" s="4" t="s">
        <v>562</v>
      </c>
      <c r="F64" s="12">
        <v>0</v>
      </c>
      <c r="G64" s="19">
        <f t="shared" si="3"/>
        <v>0</v>
      </c>
      <c r="H64" s="47"/>
      <c r="I64" s="46"/>
    </row>
    <row r="65" spans="1:9" s="20" customFormat="1" ht="31.5">
      <c r="A65" s="223"/>
      <c r="B65" s="227"/>
      <c r="C65" s="4"/>
      <c r="D65" s="5"/>
      <c r="E65" s="4" t="s">
        <v>563</v>
      </c>
      <c r="F65" s="12">
        <v>0</v>
      </c>
      <c r="G65" s="19">
        <f t="shared" si="3"/>
        <v>0</v>
      </c>
      <c r="I65" s="46"/>
    </row>
    <row r="66" spans="1:9" s="20" customFormat="1" ht="31.5">
      <c r="A66" s="223"/>
      <c r="B66" s="227"/>
      <c r="C66" s="4"/>
      <c r="D66" s="5"/>
      <c r="E66" s="4" t="s">
        <v>566</v>
      </c>
      <c r="F66" s="12">
        <v>0</v>
      </c>
      <c r="G66" s="19">
        <f t="shared" si="3"/>
        <v>0</v>
      </c>
      <c r="I66" s="46"/>
    </row>
    <row r="67" spans="1:9" s="20" customFormat="1" ht="47.25">
      <c r="A67" s="4">
        <v>240601</v>
      </c>
      <c r="B67" s="4" t="s">
        <v>331</v>
      </c>
      <c r="C67" s="4"/>
      <c r="D67" s="5"/>
      <c r="E67" s="4" t="s">
        <v>567</v>
      </c>
      <c r="F67" s="19">
        <v>0</v>
      </c>
      <c r="G67" s="19">
        <f t="shared" si="3"/>
        <v>0</v>
      </c>
      <c r="H67" s="47"/>
      <c r="I67" s="46"/>
    </row>
    <row r="68" spans="1:9" s="20" customFormat="1" ht="77.25" customHeight="1">
      <c r="A68" s="25" t="s">
        <v>249</v>
      </c>
      <c r="B68" s="4" t="s">
        <v>250</v>
      </c>
      <c r="C68" s="225" t="s">
        <v>565</v>
      </c>
      <c r="D68" s="15">
        <v>0</v>
      </c>
      <c r="E68" s="60" t="s">
        <v>480</v>
      </c>
      <c r="F68" s="16">
        <v>0</v>
      </c>
      <c r="G68" s="19">
        <f>D68+F68</f>
        <v>0</v>
      </c>
      <c r="I68" s="46"/>
    </row>
    <row r="69" spans="1:9" s="20" customFormat="1" ht="94.5">
      <c r="A69" s="25" t="s">
        <v>543</v>
      </c>
      <c r="B69" s="4" t="s">
        <v>544</v>
      </c>
      <c r="C69" s="226"/>
      <c r="D69" s="15">
        <v>0</v>
      </c>
      <c r="E69" s="4"/>
      <c r="F69" s="16"/>
      <c r="G69" s="19">
        <f>D69+F69</f>
        <v>0</v>
      </c>
      <c r="I69" s="46"/>
    </row>
    <row r="70" spans="1:9" s="20" customFormat="1" ht="46.5" customHeight="1">
      <c r="A70" s="22" t="s">
        <v>379</v>
      </c>
      <c r="B70" s="23" t="s">
        <v>275</v>
      </c>
      <c r="C70" s="4"/>
      <c r="D70" s="24">
        <f>D72+D73+D74+D75+D76+D77+D78+D79+D80+D81+D83+D82+D85+D86+D87+D89</f>
        <v>0</v>
      </c>
      <c r="E70" s="5"/>
      <c r="F70" s="24">
        <f>F72+F73+F75+F77+F78+F80+F81+F83+F84+F86+F90</f>
        <v>0</v>
      </c>
      <c r="G70" s="28">
        <f>D70+F70</f>
        <v>0</v>
      </c>
      <c r="H70" s="47"/>
      <c r="I70" s="46"/>
    </row>
    <row r="71" spans="1:9" s="20" customFormat="1" ht="34.5" customHeight="1" hidden="1">
      <c r="A71" s="18" t="s">
        <v>402</v>
      </c>
      <c r="B71" s="4" t="s">
        <v>403</v>
      </c>
      <c r="C71" s="4" t="s">
        <v>411</v>
      </c>
      <c r="D71" s="17"/>
      <c r="E71" s="4"/>
      <c r="F71" s="19"/>
      <c r="G71" s="19">
        <v>0</v>
      </c>
      <c r="I71" s="46"/>
    </row>
    <row r="72" spans="1:9" s="20" customFormat="1" ht="52.5" customHeight="1">
      <c r="A72" s="223" t="s">
        <v>297</v>
      </c>
      <c r="B72" s="227" t="s">
        <v>244</v>
      </c>
      <c r="C72" s="60" t="s">
        <v>533</v>
      </c>
      <c r="D72" s="17">
        <v>0</v>
      </c>
      <c r="E72" s="4" t="s">
        <v>568</v>
      </c>
      <c r="F72" s="19">
        <v>0</v>
      </c>
      <c r="G72" s="19">
        <f>D72+F72</f>
        <v>0</v>
      </c>
      <c r="H72" s="47"/>
      <c r="I72" s="46"/>
    </row>
    <row r="73" spans="1:9" s="20" customFormat="1" ht="51.75" customHeight="1">
      <c r="A73" s="223"/>
      <c r="B73" s="227"/>
      <c r="C73" s="4" t="s">
        <v>546</v>
      </c>
      <c r="D73" s="17">
        <v>0</v>
      </c>
      <c r="E73" s="4" t="s">
        <v>546</v>
      </c>
      <c r="F73" s="19">
        <v>0</v>
      </c>
      <c r="G73" s="19">
        <f aca="true" t="shared" si="4" ref="G73:G90">D73+F73</f>
        <v>0</v>
      </c>
      <c r="I73" s="46"/>
    </row>
    <row r="74" spans="1:9" s="20" customFormat="1" ht="54.75" customHeight="1">
      <c r="A74" s="223"/>
      <c r="B74" s="227"/>
      <c r="C74" s="60" t="s">
        <v>534</v>
      </c>
      <c r="D74" s="17">
        <v>0</v>
      </c>
      <c r="E74" s="4"/>
      <c r="F74" s="19"/>
      <c r="G74" s="19">
        <f t="shared" si="4"/>
        <v>0</v>
      </c>
      <c r="I74" s="46"/>
    </row>
    <row r="75" spans="1:9" s="20" customFormat="1" ht="47.25">
      <c r="A75" s="223"/>
      <c r="B75" s="227"/>
      <c r="C75" s="60" t="s">
        <v>504</v>
      </c>
      <c r="D75" s="38">
        <v>0</v>
      </c>
      <c r="E75" s="35" t="s">
        <v>558</v>
      </c>
      <c r="F75" s="36">
        <v>0</v>
      </c>
      <c r="G75" s="19">
        <f t="shared" si="4"/>
        <v>0</v>
      </c>
      <c r="I75" s="46"/>
    </row>
    <row r="76" spans="1:9" s="20" customFormat="1" ht="63">
      <c r="A76" s="223"/>
      <c r="B76" s="227"/>
      <c r="C76" s="60" t="s">
        <v>523</v>
      </c>
      <c r="D76" s="17">
        <v>0</v>
      </c>
      <c r="E76" s="35"/>
      <c r="F76" s="36"/>
      <c r="G76" s="19">
        <f t="shared" si="4"/>
        <v>0</v>
      </c>
      <c r="I76" s="46"/>
    </row>
    <row r="77" spans="1:9" s="20" customFormat="1" ht="50.25" customHeight="1">
      <c r="A77" s="223" t="s">
        <v>336</v>
      </c>
      <c r="B77" s="227" t="s">
        <v>469</v>
      </c>
      <c r="C77" s="60" t="s">
        <v>533</v>
      </c>
      <c r="D77" s="17">
        <v>0</v>
      </c>
      <c r="E77" s="4" t="s">
        <v>568</v>
      </c>
      <c r="F77" s="19">
        <v>0</v>
      </c>
      <c r="G77" s="19">
        <f t="shared" si="4"/>
        <v>0</v>
      </c>
      <c r="H77" s="47"/>
      <c r="I77" s="46"/>
    </row>
    <row r="78" spans="1:9" s="20" customFormat="1" ht="47.25">
      <c r="A78" s="223"/>
      <c r="B78" s="227"/>
      <c r="C78" s="35" t="s">
        <v>504</v>
      </c>
      <c r="D78" s="36">
        <v>0</v>
      </c>
      <c r="E78" s="35" t="s">
        <v>558</v>
      </c>
      <c r="F78" s="36">
        <v>0</v>
      </c>
      <c r="G78" s="19">
        <f t="shared" si="4"/>
        <v>0</v>
      </c>
      <c r="I78" s="46"/>
    </row>
    <row r="79" spans="1:9" s="20" customFormat="1" ht="63">
      <c r="A79" s="223"/>
      <c r="B79" s="227"/>
      <c r="C79" s="61" t="s">
        <v>523</v>
      </c>
      <c r="D79" s="19">
        <v>0</v>
      </c>
      <c r="E79" s="35"/>
      <c r="F79" s="36"/>
      <c r="G79" s="19">
        <f t="shared" si="4"/>
        <v>0</v>
      </c>
      <c r="I79" s="46"/>
    </row>
    <row r="80" spans="1:9" s="20" customFormat="1" ht="47.25">
      <c r="A80" s="223" t="s">
        <v>298</v>
      </c>
      <c r="B80" s="227" t="s">
        <v>245</v>
      </c>
      <c r="C80" s="61" t="s">
        <v>533</v>
      </c>
      <c r="D80" s="17">
        <v>0</v>
      </c>
      <c r="E80" s="4" t="s">
        <v>568</v>
      </c>
      <c r="F80" s="19">
        <v>0</v>
      </c>
      <c r="G80" s="19">
        <f t="shared" si="4"/>
        <v>0</v>
      </c>
      <c r="H80" s="47"/>
      <c r="I80" s="46"/>
    </row>
    <row r="81" spans="1:9" s="20" customFormat="1" ht="47.25">
      <c r="A81" s="223"/>
      <c r="B81" s="227"/>
      <c r="C81" s="35" t="s">
        <v>504</v>
      </c>
      <c r="D81" s="36">
        <v>0</v>
      </c>
      <c r="E81" s="35" t="s">
        <v>558</v>
      </c>
      <c r="F81" s="36">
        <v>0</v>
      </c>
      <c r="G81" s="19">
        <f t="shared" si="4"/>
        <v>0</v>
      </c>
      <c r="I81" s="46"/>
    </row>
    <row r="82" spans="1:9" s="20" customFormat="1" ht="63">
      <c r="A82" s="223"/>
      <c r="B82" s="227"/>
      <c r="C82" s="61" t="s">
        <v>523</v>
      </c>
      <c r="D82" s="19">
        <v>0</v>
      </c>
      <c r="E82" s="35"/>
      <c r="F82" s="36"/>
      <c r="G82" s="19">
        <f t="shared" si="4"/>
        <v>0</v>
      </c>
      <c r="I82" s="46"/>
    </row>
    <row r="83" spans="1:9" s="20" customFormat="1" ht="47.25" customHeight="1">
      <c r="A83" s="223" t="s">
        <v>299</v>
      </c>
      <c r="B83" s="227" t="s">
        <v>246</v>
      </c>
      <c r="C83" s="61" t="s">
        <v>533</v>
      </c>
      <c r="D83" s="17">
        <v>0</v>
      </c>
      <c r="E83" s="4" t="s">
        <v>568</v>
      </c>
      <c r="F83" s="19">
        <v>0</v>
      </c>
      <c r="G83" s="19">
        <f t="shared" si="4"/>
        <v>0</v>
      </c>
      <c r="H83" s="47"/>
      <c r="I83" s="46"/>
    </row>
    <row r="84" spans="1:9" s="20" customFormat="1" ht="31.5">
      <c r="A84" s="223"/>
      <c r="B84" s="227"/>
      <c r="C84" s="4"/>
      <c r="D84" s="17"/>
      <c r="E84" s="35" t="s">
        <v>558</v>
      </c>
      <c r="F84" s="36">
        <v>0</v>
      </c>
      <c r="G84" s="19">
        <f t="shared" si="4"/>
        <v>0</v>
      </c>
      <c r="I84" s="46"/>
    </row>
    <row r="85" spans="1:9" s="20" customFormat="1" ht="66" customHeight="1">
      <c r="A85" s="223"/>
      <c r="B85" s="227"/>
      <c r="C85" s="61" t="s">
        <v>523</v>
      </c>
      <c r="D85" s="17">
        <v>0</v>
      </c>
      <c r="E85" s="35"/>
      <c r="F85" s="36"/>
      <c r="G85" s="19">
        <f t="shared" si="4"/>
        <v>0</v>
      </c>
      <c r="I85" s="46"/>
    </row>
    <row r="86" spans="1:9" s="53" customFormat="1" ht="50.25" customHeight="1">
      <c r="A86" s="18" t="s">
        <v>526</v>
      </c>
      <c r="B86" s="4" t="s">
        <v>527</v>
      </c>
      <c r="C86" s="61" t="s">
        <v>533</v>
      </c>
      <c r="D86" s="17">
        <v>0</v>
      </c>
      <c r="E86" s="4" t="s">
        <v>568</v>
      </c>
      <c r="F86" s="19">
        <v>0</v>
      </c>
      <c r="G86" s="19">
        <f t="shared" si="4"/>
        <v>0</v>
      </c>
      <c r="H86" s="47"/>
      <c r="I86" s="46"/>
    </row>
    <row r="87" spans="1:9" s="20" customFormat="1" ht="47.25">
      <c r="A87" s="18" t="s">
        <v>337</v>
      </c>
      <c r="B87" s="4" t="s">
        <v>338</v>
      </c>
      <c r="C87" s="61" t="s">
        <v>482</v>
      </c>
      <c r="D87" s="17">
        <v>0</v>
      </c>
      <c r="E87" s="4"/>
      <c r="F87" s="9"/>
      <c r="G87" s="19">
        <f t="shared" si="4"/>
        <v>0</v>
      </c>
      <c r="I87" s="46"/>
    </row>
    <row r="88" spans="1:9" s="20" customFormat="1" ht="15.75" customHeight="1" hidden="1">
      <c r="A88" s="18" t="s">
        <v>300</v>
      </c>
      <c r="B88" s="4" t="s">
        <v>247</v>
      </c>
      <c r="C88" s="61"/>
      <c r="D88" s="17"/>
      <c r="E88" s="4"/>
      <c r="F88" s="19">
        <v>0</v>
      </c>
      <c r="G88" s="19">
        <f t="shared" si="4"/>
        <v>0</v>
      </c>
      <c r="I88" s="46"/>
    </row>
    <row r="89" spans="1:9" s="20" customFormat="1" ht="46.5" customHeight="1">
      <c r="A89" s="18" t="s">
        <v>301</v>
      </c>
      <c r="B89" s="4" t="s">
        <v>470</v>
      </c>
      <c r="C89" s="61" t="s">
        <v>483</v>
      </c>
      <c r="D89" s="17">
        <v>0</v>
      </c>
      <c r="E89" s="4"/>
      <c r="F89" s="9"/>
      <c r="G89" s="19">
        <f t="shared" si="4"/>
        <v>0</v>
      </c>
      <c r="I89" s="46"/>
    </row>
    <row r="90" spans="1:9" s="20" customFormat="1" ht="52.5" customHeight="1">
      <c r="A90" s="18" t="s">
        <v>309</v>
      </c>
      <c r="B90" s="4" t="s">
        <v>310</v>
      </c>
      <c r="C90" s="4"/>
      <c r="D90" s="5"/>
      <c r="E90" s="4" t="s">
        <v>568</v>
      </c>
      <c r="F90" s="19">
        <v>0</v>
      </c>
      <c r="G90" s="19">
        <f t="shared" si="4"/>
        <v>0</v>
      </c>
      <c r="H90" s="47"/>
      <c r="I90" s="46"/>
    </row>
    <row r="91" spans="1:9" s="20" customFormat="1" ht="36" customHeight="1" hidden="1">
      <c r="A91" s="223" t="s">
        <v>296</v>
      </c>
      <c r="B91" s="227" t="s">
        <v>330</v>
      </c>
      <c r="C91" s="4"/>
      <c r="D91" s="5"/>
      <c r="E91" s="4" t="s">
        <v>367</v>
      </c>
      <c r="F91" s="12"/>
      <c r="G91" s="9">
        <v>0</v>
      </c>
      <c r="I91" s="46"/>
    </row>
    <row r="92" spans="1:9" s="20" customFormat="1" ht="33" customHeight="1" hidden="1">
      <c r="A92" s="223"/>
      <c r="B92" s="227"/>
      <c r="C92" s="4"/>
      <c r="D92" s="5"/>
      <c r="E92" s="4" t="s">
        <v>368</v>
      </c>
      <c r="F92" s="12"/>
      <c r="G92" s="9">
        <v>0</v>
      </c>
      <c r="I92" s="46"/>
    </row>
    <row r="93" spans="1:9" s="20" customFormat="1" ht="49.5" customHeight="1">
      <c r="A93" s="22" t="s">
        <v>380</v>
      </c>
      <c r="B93" s="23" t="s">
        <v>276</v>
      </c>
      <c r="C93" s="4"/>
      <c r="D93" s="28">
        <f>D96+D99+D101+D102+D104+D105+D106+D107+D108+D109+D113+D115+D116</f>
        <v>0</v>
      </c>
      <c r="E93" s="9"/>
      <c r="F93" s="28">
        <f>F94+F97+F101+F102+F104+F107+F110+F111</f>
        <v>0</v>
      </c>
      <c r="G93" s="28">
        <f>D93+F93</f>
        <v>0</v>
      </c>
      <c r="H93" s="47"/>
      <c r="I93" s="46"/>
    </row>
    <row r="94" spans="1:9" s="20" customFormat="1" ht="47.25">
      <c r="A94" s="223" t="s">
        <v>402</v>
      </c>
      <c r="B94" s="227" t="s">
        <v>403</v>
      </c>
      <c r="C94" s="4"/>
      <c r="D94" s="19"/>
      <c r="E94" s="4" t="s">
        <v>556</v>
      </c>
      <c r="F94" s="19">
        <v>0</v>
      </c>
      <c r="G94" s="19">
        <f>D94+F94</f>
        <v>0</v>
      </c>
      <c r="I94" s="46"/>
    </row>
    <row r="95" spans="1:9" s="20" customFormat="1" ht="96.75" customHeight="1" hidden="1">
      <c r="A95" s="223"/>
      <c r="B95" s="227"/>
      <c r="C95" s="4" t="s">
        <v>468</v>
      </c>
      <c r="D95" s="17">
        <v>0</v>
      </c>
      <c r="E95" s="4"/>
      <c r="F95" s="9"/>
      <c r="G95" s="19">
        <f aca="true" t="shared" si="5" ref="G95:G116">D95+F95</f>
        <v>0</v>
      </c>
      <c r="I95" s="46"/>
    </row>
    <row r="96" spans="1:9" s="20" customFormat="1" ht="64.5" customHeight="1">
      <c r="A96" s="223"/>
      <c r="B96" s="227"/>
      <c r="C96" s="61" t="s">
        <v>523</v>
      </c>
      <c r="D96" s="19">
        <v>0</v>
      </c>
      <c r="E96" s="4"/>
      <c r="F96" s="9"/>
      <c r="G96" s="19">
        <f t="shared" si="5"/>
        <v>0</v>
      </c>
      <c r="I96" s="46"/>
    </row>
    <row r="97" spans="1:9" s="20" customFormat="1" ht="51.75" customHeight="1">
      <c r="A97" s="223" t="s">
        <v>304</v>
      </c>
      <c r="B97" s="227" t="s">
        <v>474</v>
      </c>
      <c r="C97" s="4"/>
      <c r="D97" s="19"/>
      <c r="E97" s="4" t="s">
        <v>556</v>
      </c>
      <c r="F97" s="19">
        <v>0</v>
      </c>
      <c r="G97" s="19">
        <f t="shared" si="5"/>
        <v>0</v>
      </c>
      <c r="I97" s="46"/>
    </row>
    <row r="98" spans="1:9" s="20" customFormat="1" ht="63" hidden="1">
      <c r="A98" s="223"/>
      <c r="B98" s="227"/>
      <c r="C98" s="4" t="s">
        <v>523</v>
      </c>
      <c r="D98" s="17">
        <v>0</v>
      </c>
      <c r="E98" s="4"/>
      <c r="F98" s="19"/>
      <c r="G98" s="19">
        <f t="shared" si="5"/>
        <v>0</v>
      </c>
      <c r="I98" s="46"/>
    </row>
    <row r="99" spans="1:9" s="20" customFormat="1" ht="63">
      <c r="A99" s="18" t="s">
        <v>305</v>
      </c>
      <c r="B99" s="4" t="s">
        <v>475</v>
      </c>
      <c r="C99" s="4" t="s">
        <v>570</v>
      </c>
      <c r="D99" s="17">
        <v>0</v>
      </c>
      <c r="E99" s="4"/>
      <c r="F99" s="9"/>
      <c r="G99" s="19">
        <f t="shared" si="5"/>
        <v>0</v>
      </c>
      <c r="I99" s="46"/>
    </row>
    <row r="100" spans="1:9" s="20" customFormat="1" ht="47.25" hidden="1">
      <c r="A100" s="18" t="s">
        <v>306</v>
      </c>
      <c r="B100" s="4" t="s">
        <v>476</v>
      </c>
      <c r="C100" s="4"/>
      <c r="D100" s="17"/>
      <c r="E100" s="4"/>
      <c r="F100" s="9"/>
      <c r="G100" s="19">
        <f t="shared" si="5"/>
        <v>0</v>
      </c>
      <c r="I100" s="46"/>
    </row>
    <row r="101" spans="1:9" s="20" customFormat="1" ht="50.25" customHeight="1">
      <c r="A101" s="223" t="s">
        <v>400</v>
      </c>
      <c r="B101" s="227" t="s">
        <v>401</v>
      </c>
      <c r="C101" s="4" t="s">
        <v>569</v>
      </c>
      <c r="D101" s="17">
        <v>0</v>
      </c>
      <c r="E101" s="4" t="s">
        <v>569</v>
      </c>
      <c r="F101" s="19">
        <v>0</v>
      </c>
      <c r="G101" s="19">
        <f t="shared" si="5"/>
        <v>0</v>
      </c>
      <c r="I101" s="46"/>
    </row>
    <row r="102" spans="1:9" s="20" customFormat="1" ht="50.25" customHeight="1">
      <c r="A102" s="223"/>
      <c r="B102" s="227"/>
      <c r="C102" s="4" t="s">
        <v>546</v>
      </c>
      <c r="D102" s="17">
        <v>0</v>
      </c>
      <c r="E102" s="4" t="s">
        <v>546</v>
      </c>
      <c r="F102" s="19">
        <v>0</v>
      </c>
      <c r="G102" s="19">
        <f t="shared" si="5"/>
        <v>0</v>
      </c>
      <c r="I102" s="46"/>
    </row>
    <row r="103" spans="1:9" s="20" customFormat="1" ht="110.25" customHeight="1" hidden="1">
      <c r="A103" s="223"/>
      <c r="B103" s="227"/>
      <c r="C103" s="4"/>
      <c r="D103" s="17"/>
      <c r="E103" s="4"/>
      <c r="F103" s="9"/>
      <c r="G103" s="19">
        <f t="shared" si="5"/>
        <v>0</v>
      </c>
      <c r="I103" s="46"/>
    </row>
    <row r="104" spans="1:9" s="20" customFormat="1" ht="51" customHeight="1">
      <c r="A104" s="223"/>
      <c r="B104" s="227"/>
      <c r="C104" s="35" t="s">
        <v>504</v>
      </c>
      <c r="D104" s="37">
        <v>0</v>
      </c>
      <c r="E104" s="35" t="s">
        <v>504</v>
      </c>
      <c r="F104" s="37">
        <v>0</v>
      </c>
      <c r="G104" s="19">
        <f t="shared" si="5"/>
        <v>0</v>
      </c>
      <c r="I104" s="46"/>
    </row>
    <row r="105" spans="1:9" s="20" customFormat="1" ht="63">
      <c r="A105" s="223"/>
      <c r="B105" s="227"/>
      <c r="C105" s="61" t="s">
        <v>523</v>
      </c>
      <c r="D105" s="9">
        <v>0</v>
      </c>
      <c r="E105" s="35"/>
      <c r="F105" s="37"/>
      <c r="G105" s="19">
        <f t="shared" si="5"/>
        <v>0</v>
      </c>
      <c r="I105" s="46"/>
    </row>
    <row r="106" spans="1:9" s="20" customFormat="1" ht="49.5" customHeight="1">
      <c r="A106" s="223" t="s">
        <v>248</v>
      </c>
      <c r="B106" s="227" t="s">
        <v>242</v>
      </c>
      <c r="C106" s="4" t="s">
        <v>569</v>
      </c>
      <c r="D106" s="17">
        <v>0</v>
      </c>
      <c r="E106" s="4"/>
      <c r="F106" s="9"/>
      <c r="G106" s="19">
        <f t="shared" si="5"/>
        <v>0</v>
      </c>
      <c r="I106" s="46"/>
    </row>
    <row r="107" spans="1:9" s="20" customFormat="1" ht="47.25">
      <c r="A107" s="223"/>
      <c r="B107" s="227"/>
      <c r="C107" s="35" t="s">
        <v>504</v>
      </c>
      <c r="D107" s="37">
        <v>0</v>
      </c>
      <c r="E107" s="35" t="s">
        <v>558</v>
      </c>
      <c r="F107" s="37">
        <v>0</v>
      </c>
      <c r="G107" s="19">
        <f t="shared" si="5"/>
        <v>0</v>
      </c>
      <c r="I107" s="46"/>
    </row>
    <row r="108" spans="1:9" s="20" customFormat="1" ht="48" customHeight="1">
      <c r="A108" s="223" t="s">
        <v>311</v>
      </c>
      <c r="B108" s="227" t="s">
        <v>318</v>
      </c>
      <c r="C108" s="61" t="s">
        <v>484</v>
      </c>
      <c r="D108" s="17">
        <v>0</v>
      </c>
      <c r="E108" s="4"/>
      <c r="F108" s="9"/>
      <c r="G108" s="19">
        <f>D108+F108</f>
        <v>0</v>
      </c>
      <c r="I108" s="46"/>
    </row>
    <row r="109" spans="1:9" s="20" customFormat="1" ht="47.25">
      <c r="A109" s="223"/>
      <c r="B109" s="227"/>
      <c r="C109" s="35" t="s">
        <v>504</v>
      </c>
      <c r="D109" s="38">
        <v>0</v>
      </c>
      <c r="E109" s="35"/>
      <c r="F109" s="37"/>
      <c r="G109" s="19">
        <f t="shared" si="5"/>
        <v>0</v>
      </c>
      <c r="I109" s="46"/>
    </row>
    <row r="110" spans="1:9" s="20" customFormat="1" ht="48" customHeight="1">
      <c r="A110" s="223" t="s">
        <v>309</v>
      </c>
      <c r="B110" s="227" t="s">
        <v>310</v>
      </c>
      <c r="C110" s="4"/>
      <c r="D110" s="17"/>
      <c r="E110" s="4" t="s">
        <v>510</v>
      </c>
      <c r="F110" s="12">
        <v>0</v>
      </c>
      <c r="G110" s="19">
        <f t="shared" si="5"/>
        <v>0</v>
      </c>
      <c r="I110" s="46"/>
    </row>
    <row r="111" spans="1:9" s="20" customFormat="1" ht="45.75" customHeight="1">
      <c r="A111" s="223"/>
      <c r="B111" s="227"/>
      <c r="C111" s="4"/>
      <c r="D111" s="5"/>
      <c r="E111" s="4" t="s">
        <v>569</v>
      </c>
      <c r="F111" s="12">
        <v>0</v>
      </c>
      <c r="G111" s="19">
        <f t="shared" si="5"/>
        <v>0</v>
      </c>
      <c r="I111" s="46"/>
    </row>
    <row r="112" spans="1:9" s="20" customFormat="1" ht="52.5" customHeight="1" hidden="1">
      <c r="A112" s="18" t="s">
        <v>258</v>
      </c>
      <c r="B112" s="227" t="s">
        <v>472</v>
      </c>
      <c r="C112" s="4" t="s">
        <v>369</v>
      </c>
      <c r="D112" s="17"/>
      <c r="E112" s="4"/>
      <c r="F112" s="16"/>
      <c r="G112" s="19">
        <f t="shared" si="5"/>
        <v>0</v>
      </c>
      <c r="I112" s="46"/>
    </row>
    <row r="113" spans="1:9" s="20" customFormat="1" ht="49.5" customHeight="1">
      <c r="A113" s="223" t="s">
        <v>258</v>
      </c>
      <c r="B113" s="227"/>
      <c r="C113" s="61" t="s">
        <v>485</v>
      </c>
      <c r="D113" s="17">
        <v>0</v>
      </c>
      <c r="E113" s="4"/>
      <c r="F113" s="16"/>
      <c r="G113" s="19">
        <f t="shared" si="5"/>
        <v>0</v>
      </c>
      <c r="I113" s="46"/>
    </row>
    <row r="114" spans="1:9" s="20" customFormat="1" ht="62.25" customHeight="1" hidden="1">
      <c r="A114" s="223"/>
      <c r="B114" s="227"/>
      <c r="C114" s="61" t="s">
        <v>468</v>
      </c>
      <c r="D114" s="17"/>
      <c r="E114" s="4"/>
      <c r="F114" s="16"/>
      <c r="G114" s="19">
        <f t="shared" si="5"/>
        <v>0</v>
      </c>
      <c r="I114" s="46"/>
    </row>
    <row r="115" spans="1:9" s="20" customFormat="1" ht="78.75" customHeight="1">
      <c r="A115" s="18" t="s">
        <v>312</v>
      </c>
      <c r="B115" s="4" t="s">
        <v>473</v>
      </c>
      <c r="C115" s="61" t="s">
        <v>485</v>
      </c>
      <c r="D115" s="17">
        <v>0</v>
      </c>
      <c r="E115" s="4"/>
      <c r="F115" s="16"/>
      <c r="G115" s="19">
        <f t="shared" si="5"/>
        <v>0</v>
      </c>
      <c r="I115" s="46"/>
    </row>
    <row r="116" spans="1:9" s="20" customFormat="1" ht="51" customHeight="1">
      <c r="A116" s="18" t="s">
        <v>342</v>
      </c>
      <c r="B116" s="4" t="s">
        <v>460</v>
      </c>
      <c r="C116" s="61" t="s">
        <v>485</v>
      </c>
      <c r="D116" s="17">
        <v>0</v>
      </c>
      <c r="E116" s="4"/>
      <c r="F116" s="16"/>
      <c r="G116" s="19">
        <f t="shared" si="5"/>
        <v>0</v>
      </c>
      <c r="I116" s="46"/>
    </row>
    <row r="117" spans="1:9" s="20" customFormat="1" ht="68.25" customHeight="1" hidden="1">
      <c r="A117" s="22" t="s">
        <v>413</v>
      </c>
      <c r="B117" s="23" t="s">
        <v>417</v>
      </c>
      <c r="C117" s="4"/>
      <c r="D117" s="24">
        <v>0</v>
      </c>
      <c r="E117" s="4"/>
      <c r="F117" s="24">
        <v>0</v>
      </c>
      <c r="G117" s="24">
        <v>0</v>
      </c>
      <c r="I117" s="46"/>
    </row>
    <row r="118" spans="1:9" s="20" customFormat="1" ht="31.5" hidden="1">
      <c r="A118" s="18" t="s">
        <v>402</v>
      </c>
      <c r="B118" s="4" t="s">
        <v>403</v>
      </c>
      <c r="C118" s="4" t="s">
        <v>414</v>
      </c>
      <c r="D118" s="17"/>
      <c r="E118" s="4" t="s">
        <v>414</v>
      </c>
      <c r="F118" s="12"/>
      <c r="G118" s="9">
        <v>0</v>
      </c>
      <c r="I118" s="46"/>
    </row>
    <row r="119" spans="1:9" s="20" customFormat="1" ht="63" hidden="1">
      <c r="A119" s="22" t="s">
        <v>424</v>
      </c>
      <c r="B119" s="23" t="s">
        <v>425</v>
      </c>
      <c r="C119" s="4"/>
      <c r="D119" s="24">
        <v>0</v>
      </c>
      <c r="E119" s="4"/>
      <c r="F119" s="24">
        <v>0</v>
      </c>
      <c r="G119" s="24">
        <v>0</v>
      </c>
      <c r="I119" s="46"/>
    </row>
    <row r="120" spans="1:9" s="20" customFormat="1" ht="47.25" hidden="1">
      <c r="A120" s="18" t="s">
        <v>402</v>
      </c>
      <c r="B120" s="4" t="s">
        <v>403</v>
      </c>
      <c r="C120" s="4" t="s">
        <v>426</v>
      </c>
      <c r="D120" s="17"/>
      <c r="E120" s="4" t="s">
        <v>426</v>
      </c>
      <c r="F120" s="12"/>
      <c r="G120" s="9">
        <v>0</v>
      </c>
      <c r="I120" s="46"/>
    </row>
    <row r="121" spans="1:9" s="20" customFormat="1" ht="35.25" customHeight="1">
      <c r="A121" s="22" t="s">
        <v>385</v>
      </c>
      <c r="B121" s="23" t="s">
        <v>279</v>
      </c>
      <c r="C121" s="4"/>
      <c r="D121" s="24">
        <f>D123+D125+D126+D127+D128+D129+D130+D132+D133+D134+D135+D136</f>
        <v>0</v>
      </c>
      <c r="E121" s="5"/>
      <c r="F121" s="24">
        <f>F123+F125+F126+F128+F129+F130+F131+F134+F135+F138+F139</f>
        <v>0</v>
      </c>
      <c r="G121" s="28">
        <f>D121+F121</f>
        <v>0</v>
      </c>
      <c r="H121" s="47"/>
      <c r="I121" s="46"/>
    </row>
    <row r="122" spans="1:9" s="20" customFormat="1" ht="31.5" hidden="1">
      <c r="A122" s="18" t="s">
        <v>402</v>
      </c>
      <c r="B122" s="4" t="s">
        <v>403</v>
      </c>
      <c r="C122" s="4" t="s">
        <v>416</v>
      </c>
      <c r="D122" s="17"/>
      <c r="E122" s="4"/>
      <c r="F122" s="19"/>
      <c r="G122" s="16">
        <v>0</v>
      </c>
      <c r="I122" s="46"/>
    </row>
    <row r="123" spans="1:9" s="20" customFormat="1" ht="54" customHeight="1">
      <c r="A123" s="223" t="s">
        <v>396</v>
      </c>
      <c r="B123" s="227" t="s">
        <v>397</v>
      </c>
      <c r="C123" s="61" t="s">
        <v>486</v>
      </c>
      <c r="D123" s="17">
        <v>0</v>
      </c>
      <c r="E123" s="4" t="s">
        <v>572</v>
      </c>
      <c r="F123" s="19">
        <v>0</v>
      </c>
      <c r="G123" s="12">
        <f>D123+F123</f>
        <v>0</v>
      </c>
      <c r="H123" s="47"/>
      <c r="I123" s="46"/>
    </row>
    <row r="124" spans="1:9" s="20" customFormat="1" ht="65.25" customHeight="1" hidden="1">
      <c r="A124" s="223"/>
      <c r="B124" s="227"/>
      <c r="C124" s="61" t="s">
        <v>523</v>
      </c>
      <c r="D124" s="17">
        <v>0</v>
      </c>
      <c r="E124" s="4"/>
      <c r="F124" s="19"/>
      <c r="G124" s="12">
        <f aca="true" t="shared" si="6" ref="G124:G138">D124+F124</f>
        <v>0</v>
      </c>
      <c r="I124" s="46"/>
    </row>
    <row r="125" spans="1:9" s="20" customFormat="1" ht="54" customHeight="1">
      <c r="A125" s="223" t="s">
        <v>398</v>
      </c>
      <c r="B125" s="227" t="s">
        <v>399</v>
      </c>
      <c r="C125" s="61" t="s">
        <v>487</v>
      </c>
      <c r="D125" s="17">
        <v>0</v>
      </c>
      <c r="E125" s="4" t="s">
        <v>572</v>
      </c>
      <c r="F125" s="19">
        <v>0</v>
      </c>
      <c r="G125" s="12">
        <f t="shared" si="6"/>
        <v>0</v>
      </c>
      <c r="H125" s="47"/>
      <c r="I125" s="46"/>
    </row>
    <row r="126" spans="1:9" s="20" customFormat="1" ht="47.25">
      <c r="A126" s="223"/>
      <c r="B126" s="227"/>
      <c r="C126" s="35" t="s">
        <v>504</v>
      </c>
      <c r="D126" s="36">
        <v>0</v>
      </c>
      <c r="E126" s="35" t="s">
        <v>558</v>
      </c>
      <c r="F126" s="36">
        <v>0</v>
      </c>
      <c r="G126" s="12">
        <f t="shared" si="6"/>
        <v>0</v>
      </c>
      <c r="I126" s="46"/>
    </row>
    <row r="127" spans="1:9" s="20" customFormat="1" ht="66.75" customHeight="1">
      <c r="A127" s="223"/>
      <c r="B127" s="227"/>
      <c r="C127" s="61" t="s">
        <v>523</v>
      </c>
      <c r="D127" s="19">
        <v>0</v>
      </c>
      <c r="E127" s="35"/>
      <c r="F127" s="36"/>
      <c r="G127" s="12">
        <f t="shared" si="6"/>
        <v>0</v>
      </c>
      <c r="I127" s="46"/>
    </row>
    <row r="128" spans="1:9" s="20" customFormat="1" ht="54" customHeight="1">
      <c r="A128" s="223" t="s">
        <v>406</v>
      </c>
      <c r="B128" s="227" t="s">
        <v>407</v>
      </c>
      <c r="C128" s="61" t="s">
        <v>487</v>
      </c>
      <c r="D128" s="17">
        <v>0</v>
      </c>
      <c r="E128" s="4" t="s">
        <v>572</v>
      </c>
      <c r="F128" s="19">
        <v>0</v>
      </c>
      <c r="G128" s="12">
        <f t="shared" si="6"/>
        <v>0</v>
      </c>
      <c r="H128" s="69"/>
      <c r="I128" s="46"/>
    </row>
    <row r="129" spans="1:9" s="20" customFormat="1" ht="47.25">
      <c r="A129" s="223"/>
      <c r="B129" s="227"/>
      <c r="C129" s="35" t="s">
        <v>504</v>
      </c>
      <c r="D129" s="36">
        <v>0</v>
      </c>
      <c r="E129" s="35" t="s">
        <v>558</v>
      </c>
      <c r="F129" s="36">
        <v>0</v>
      </c>
      <c r="G129" s="12">
        <f t="shared" si="6"/>
        <v>0</v>
      </c>
      <c r="I129" s="46"/>
    </row>
    <row r="130" spans="1:9" s="20" customFormat="1" ht="51" customHeight="1">
      <c r="A130" s="223" t="s">
        <v>404</v>
      </c>
      <c r="B130" s="227" t="s">
        <v>405</v>
      </c>
      <c r="C130" s="61" t="s">
        <v>487</v>
      </c>
      <c r="D130" s="17">
        <v>0</v>
      </c>
      <c r="E130" s="4" t="s">
        <v>572</v>
      </c>
      <c r="F130" s="19">
        <v>0</v>
      </c>
      <c r="G130" s="12">
        <f t="shared" si="6"/>
        <v>0</v>
      </c>
      <c r="H130" s="47"/>
      <c r="I130" s="46"/>
    </row>
    <row r="131" spans="1:9" s="20" customFormat="1" ht="31.5">
      <c r="A131" s="223"/>
      <c r="B131" s="227"/>
      <c r="C131" s="4"/>
      <c r="D131" s="17"/>
      <c r="E131" s="35" t="s">
        <v>558</v>
      </c>
      <c r="F131" s="36">
        <v>0</v>
      </c>
      <c r="G131" s="12">
        <f t="shared" si="6"/>
        <v>0</v>
      </c>
      <c r="I131" s="46"/>
    </row>
    <row r="132" spans="1:9" s="20" customFormat="1" ht="66" customHeight="1">
      <c r="A132" s="223"/>
      <c r="B132" s="227"/>
      <c r="C132" s="61" t="s">
        <v>523</v>
      </c>
      <c r="D132" s="17">
        <v>0</v>
      </c>
      <c r="E132" s="35"/>
      <c r="F132" s="36"/>
      <c r="G132" s="12">
        <f t="shared" si="6"/>
        <v>0</v>
      </c>
      <c r="I132" s="46"/>
    </row>
    <row r="133" spans="1:9" s="20" customFormat="1" ht="47.25">
      <c r="A133" s="26">
        <v>110300</v>
      </c>
      <c r="B133" s="4" t="s">
        <v>255</v>
      </c>
      <c r="C133" s="61" t="s">
        <v>488</v>
      </c>
      <c r="D133" s="21">
        <v>0</v>
      </c>
      <c r="E133" s="4"/>
      <c r="F133" s="36"/>
      <c r="G133" s="12">
        <f t="shared" si="6"/>
        <v>0</v>
      </c>
      <c r="I133" s="46"/>
    </row>
    <row r="134" spans="1:9" s="20" customFormat="1" ht="47.25">
      <c r="A134" s="233">
        <v>110502</v>
      </c>
      <c r="B134" s="227" t="s">
        <v>243</v>
      </c>
      <c r="C134" s="61" t="s">
        <v>540</v>
      </c>
      <c r="D134" s="15">
        <v>0</v>
      </c>
      <c r="E134" s="61" t="s">
        <v>540</v>
      </c>
      <c r="F134" s="16">
        <v>0</v>
      </c>
      <c r="G134" s="12">
        <f t="shared" si="6"/>
        <v>0</v>
      </c>
      <c r="H134" s="47"/>
      <c r="I134" s="46"/>
    </row>
    <row r="135" spans="1:9" s="20" customFormat="1" ht="51" customHeight="1">
      <c r="A135" s="233"/>
      <c r="B135" s="227"/>
      <c r="C135" s="61" t="s">
        <v>487</v>
      </c>
      <c r="D135" s="15">
        <v>0</v>
      </c>
      <c r="E135" s="4" t="s">
        <v>572</v>
      </c>
      <c r="F135" s="12">
        <v>0</v>
      </c>
      <c r="G135" s="12">
        <f t="shared" si="6"/>
        <v>0</v>
      </c>
      <c r="I135" s="46"/>
    </row>
    <row r="136" spans="1:9" s="20" customFormat="1" ht="55.5" customHeight="1">
      <c r="A136" s="233"/>
      <c r="B136" s="227"/>
      <c r="C136" s="61" t="s">
        <v>489</v>
      </c>
      <c r="D136" s="15">
        <v>0</v>
      </c>
      <c r="E136" s="26"/>
      <c r="F136" s="16"/>
      <c r="G136" s="12">
        <f t="shared" si="6"/>
        <v>0</v>
      </c>
      <c r="I136" s="46"/>
    </row>
    <row r="137" spans="1:9" s="20" customFormat="1" ht="68.25" customHeight="1" hidden="1">
      <c r="A137" s="233"/>
      <c r="B137" s="227"/>
      <c r="C137" s="4" t="s">
        <v>523</v>
      </c>
      <c r="D137" s="15">
        <v>0</v>
      </c>
      <c r="E137" s="4"/>
      <c r="F137" s="16"/>
      <c r="G137" s="12">
        <f t="shared" si="6"/>
        <v>0</v>
      </c>
      <c r="I137" s="46"/>
    </row>
    <row r="138" spans="1:9" s="20" customFormat="1" ht="47.25">
      <c r="A138" s="233"/>
      <c r="B138" s="227"/>
      <c r="C138" s="4"/>
      <c r="D138" s="15"/>
      <c r="E138" s="35" t="s">
        <v>504</v>
      </c>
      <c r="F138" s="36">
        <v>0</v>
      </c>
      <c r="G138" s="12">
        <f t="shared" si="6"/>
        <v>0</v>
      </c>
      <c r="I138" s="46"/>
    </row>
    <row r="139" spans="1:9" s="20" customFormat="1" ht="47.25">
      <c r="A139" s="18" t="s">
        <v>309</v>
      </c>
      <c r="B139" s="4" t="s">
        <v>310</v>
      </c>
      <c r="C139" s="4"/>
      <c r="D139" s="5"/>
      <c r="E139" s="4" t="s">
        <v>571</v>
      </c>
      <c r="F139" s="19">
        <v>0</v>
      </c>
      <c r="G139" s="12">
        <f>D139+F139</f>
        <v>0</v>
      </c>
      <c r="H139" s="47"/>
      <c r="I139" s="46"/>
    </row>
    <row r="140" spans="1:9" s="20" customFormat="1" ht="47.25" hidden="1">
      <c r="A140" s="22" t="s">
        <v>535</v>
      </c>
      <c r="B140" s="23" t="s">
        <v>536</v>
      </c>
      <c r="C140" s="4"/>
      <c r="D140" s="24">
        <v>0</v>
      </c>
      <c r="E140" s="5"/>
      <c r="F140" s="28">
        <v>0</v>
      </c>
      <c r="G140" s="27">
        <v>0</v>
      </c>
      <c r="H140" s="47"/>
      <c r="I140" s="46"/>
    </row>
    <row r="141" spans="1:9" s="20" customFormat="1" ht="47.25" hidden="1">
      <c r="A141" s="18" t="s">
        <v>402</v>
      </c>
      <c r="B141" s="4" t="s">
        <v>403</v>
      </c>
      <c r="C141" s="4"/>
      <c r="D141" s="5"/>
      <c r="E141" s="55" t="s">
        <v>508</v>
      </c>
      <c r="F141" s="56">
        <v>0</v>
      </c>
      <c r="G141" s="9">
        <v>0</v>
      </c>
      <c r="H141" s="47"/>
      <c r="I141" s="46"/>
    </row>
    <row r="142" spans="1:9" s="20" customFormat="1" ht="54" customHeight="1">
      <c r="A142" s="22" t="s">
        <v>384</v>
      </c>
      <c r="B142" s="23" t="s">
        <v>410</v>
      </c>
      <c r="C142" s="4"/>
      <c r="D142" s="24">
        <f>D143+D144+D145+D146</f>
        <v>0</v>
      </c>
      <c r="E142" s="5"/>
      <c r="F142" s="28">
        <f>F143+F144</f>
        <v>0</v>
      </c>
      <c r="G142" s="28">
        <f aca="true" t="shared" si="7" ref="G142:G150">D142+F142</f>
        <v>0</v>
      </c>
      <c r="H142" s="47"/>
      <c r="I142" s="46"/>
    </row>
    <row r="143" spans="1:9" s="20" customFormat="1" ht="47.25">
      <c r="A143" s="18" t="s">
        <v>402</v>
      </c>
      <c r="B143" s="4" t="s">
        <v>403</v>
      </c>
      <c r="C143" s="4"/>
      <c r="D143" s="17"/>
      <c r="E143" s="61" t="s">
        <v>508</v>
      </c>
      <c r="F143" s="19">
        <v>0</v>
      </c>
      <c r="G143" s="19">
        <f t="shared" si="7"/>
        <v>0</v>
      </c>
      <c r="I143" s="46"/>
    </row>
    <row r="144" spans="1:9" s="20" customFormat="1" ht="47.25">
      <c r="A144" s="18" t="s">
        <v>309</v>
      </c>
      <c r="B144" s="4" t="s">
        <v>310</v>
      </c>
      <c r="C144" s="4"/>
      <c r="D144" s="5"/>
      <c r="E144" s="4" t="s">
        <v>573</v>
      </c>
      <c r="F144" s="19">
        <v>0</v>
      </c>
      <c r="G144" s="19">
        <f t="shared" si="7"/>
        <v>0</v>
      </c>
      <c r="I144" s="46"/>
    </row>
    <row r="145" spans="1:9" s="20" customFormat="1" ht="31.5" customHeight="1">
      <c r="A145" s="18" t="s">
        <v>302</v>
      </c>
      <c r="B145" s="4" t="s">
        <v>317</v>
      </c>
      <c r="C145" s="61" t="s">
        <v>490</v>
      </c>
      <c r="D145" s="17">
        <v>0</v>
      </c>
      <c r="E145" s="4"/>
      <c r="F145" s="9"/>
      <c r="G145" s="19">
        <f t="shared" si="7"/>
        <v>0</v>
      </c>
      <c r="I145" s="46"/>
    </row>
    <row r="146" spans="1:9" s="20" customFormat="1" ht="47.25">
      <c r="A146" s="18" t="s">
        <v>327</v>
      </c>
      <c r="B146" s="4" t="s">
        <v>458</v>
      </c>
      <c r="C146" s="4" t="s">
        <v>574</v>
      </c>
      <c r="D146" s="17">
        <v>0</v>
      </c>
      <c r="E146" s="4"/>
      <c r="F146" s="9"/>
      <c r="G146" s="19">
        <f t="shared" si="7"/>
        <v>0</v>
      </c>
      <c r="I146" s="46"/>
    </row>
    <row r="147" spans="1:9" s="20" customFormat="1" ht="47.25">
      <c r="A147" s="22" t="s">
        <v>419</v>
      </c>
      <c r="B147" s="23" t="s">
        <v>420</v>
      </c>
      <c r="C147" s="4"/>
      <c r="D147" s="24">
        <f>D148</f>
        <v>0</v>
      </c>
      <c r="E147" s="5"/>
      <c r="F147" s="24">
        <f>F148</f>
        <v>0</v>
      </c>
      <c r="G147" s="24">
        <f t="shared" si="7"/>
        <v>0</v>
      </c>
      <c r="H147" s="47"/>
      <c r="I147" s="46"/>
    </row>
    <row r="148" spans="1:9" s="20" customFormat="1" ht="48.75" customHeight="1">
      <c r="A148" s="18" t="s">
        <v>402</v>
      </c>
      <c r="B148" s="4" t="s">
        <v>403</v>
      </c>
      <c r="C148" s="4"/>
      <c r="D148" s="17"/>
      <c r="E148" s="4" t="s">
        <v>508</v>
      </c>
      <c r="F148" s="19">
        <v>0</v>
      </c>
      <c r="G148" s="24">
        <f t="shared" si="7"/>
        <v>0</v>
      </c>
      <c r="I148" s="46"/>
    </row>
    <row r="149" spans="1:9" s="20" customFormat="1" ht="45.75" customHeight="1">
      <c r="A149" s="22" t="s">
        <v>382</v>
      </c>
      <c r="B149" s="23" t="s">
        <v>465</v>
      </c>
      <c r="C149" s="4"/>
      <c r="D149" s="24">
        <f>D151+D152+D153+D154+D159+D160+D172</f>
        <v>0</v>
      </c>
      <c r="E149" s="5"/>
      <c r="F149" s="28">
        <f>F150+F151+F152+F153+F154+F155+F157+F158+F159+F160+F162+F163+F165+F166+F167+F169+F170+F171+F172</f>
        <v>0</v>
      </c>
      <c r="G149" s="28">
        <f t="shared" si="7"/>
        <v>0</v>
      </c>
      <c r="H149" s="47"/>
      <c r="I149" s="46"/>
    </row>
    <row r="150" spans="1:9" s="20" customFormat="1" ht="45.75" customHeight="1">
      <c r="A150" s="223" t="s">
        <v>402</v>
      </c>
      <c r="B150" s="227" t="s">
        <v>403</v>
      </c>
      <c r="C150" s="4"/>
      <c r="D150" s="24"/>
      <c r="E150" s="61" t="s">
        <v>508</v>
      </c>
      <c r="F150" s="19"/>
      <c r="G150" s="19">
        <f t="shared" si="7"/>
        <v>0</v>
      </c>
      <c r="H150" s="47"/>
      <c r="I150" s="46"/>
    </row>
    <row r="151" spans="1:9" s="20" customFormat="1" ht="61.5" customHeight="1">
      <c r="A151" s="223"/>
      <c r="B151" s="227"/>
      <c r="C151" s="61" t="s">
        <v>523</v>
      </c>
      <c r="D151" s="17">
        <v>0</v>
      </c>
      <c r="E151" s="4"/>
      <c r="F151" s="19"/>
      <c r="G151" s="19">
        <f aca="true" t="shared" si="8" ref="G151:G172">D151+F151</f>
        <v>0</v>
      </c>
      <c r="I151" s="46"/>
    </row>
    <row r="152" spans="1:9" s="20" customFormat="1" ht="47.25">
      <c r="A152" s="18" t="s">
        <v>311</v>
      </c>
      <c r="B152" s="4" t="s">
        <v>318</v>
      </c>
      <c r="C152" s="61" t="s">
        <v>511</v>
      </c>
      <c r="D152" s="17">
        <v>0</v>
      </c>
      <c r="E152" s="4"/>
      <c r="F152" s="9"/>
      <c r="G152" s="19">
        <f t="shared" si="8"/>
        <v>0</v>
      </c>
      <c r="I152" s="46"/>
    </row>
    <row r="153" spans="1:9" s="20" customFormat="1" ht="47.25">
      <c r="A153" s="223" t="s">
        <v>456</v>
      </c>
      <c r="B153" s="227" t="s">
        <v>457</v>
      </c>
      <c r="C153" s="61" t="s">
        <v>511</v>
      </c>
      <c r="D153" s="17">
        <v>0</v>
      </c>
      <c r="E153" s="4"/>
      <c r="F153" s="9"/>
      <c r="G153" s="19">
        <f t="shared" si="8"/>
        <v>0</v>
      </c>
      <c r="I153" s="46"/>
    </row>
    <row r="154" spans="1:9" s="20" customFormat="1" ht="47.25">
      <c r="A154" s="223"/>
      <c r="B154" s="227"/>
      <c r="C154" s="61" t="s">
        <v>504</v>
      </c>
      <c r="D154" s="37">
        <v>0</v>
      </c>
      <c r="E154" s="4"/>
      <c r="F154" s="9"/>
      <c r="G154" s="19">
        <f t="shared" si="8"/>
        <v>0</v>
      </c>
      <c r="I154" s="46"/>
    </row>
    <row r="155" spans="1:9" s="20" customFormat="1" ht="47.25">
      <c r="A155" s="223" t="s">
        <v>339</v>
      </c>
      <c r="B155" s="227" t="s">
        <v>340</v>
      </c>
      <c r="C155" s="4"/>
      <c r="D155" s="17"/>
      <c r="E155" s="4" t="s">
        <v>471</v>
      </c>
      <c r="F155" s="19">
        <v>0</v>
      </c>
      <c r="G155" s="19">
        <f t="shared" si="8"/>
        <v>0</v>
      </c>
      <c r="I155" s="46"/>
    </row>
    <row r="156" spans="1:9" s="20" customFormat="1" ht="47.25" customHeight="1" hidden="1">
      <c r="A156" s="223"/>
      <c r="B156" s="227"/>
      <c r="C156" s="4" t="s">
        <v>466</v>
      </c>
      <c r="D156" s="17">
        <v>0</v>
      </c>
      <c r="E156" s="4" t="s">
        <v>471</v>
      </c>
      <c r="F156" s="9"/>
      <c r="G156" s="19">
        <f t="shared" si="8"/>
        <v>0</v>
      </c>
      <c r="I156" s="46"/>
    </row>
    <row r="157" spans="1:9" s="20" customFormat="1" ht="47.25">
      <c r="A157" s="223"/>
      <c r="B157" s="227"/>
      <c r="C157" s="4"/>
      <c r="D157" s="17"/>
      <c r="E157" s="61" t="s">
        <v>504</v>
      </c>
      <c r="F157" s="37">
        <v>0</v>
      </c>
      <c r="G157" s="19">
        <f t="shared" si="8"/>
        <v>0</v>
      </c>
      <c r="I157" s="46"/>
    </row>
    <row r="158" spans="1:9" s="20" customFormat="1" ht="56.25" customHeight="1">
      <c r="A158" s="18" t="s">
        <v>500</v>
      </c>
      <c r="B158" s="4" t="s">
        <v>501</v>
      </c>
      <c r="C158" s="4"/>
      <c r="D158" s="17"/>
      <c r="E158" s="4" t="s">
        <v>471</v>
      </c>
      <c r="F158" s="19">
        <v>0</v>
      </c>
      <c r="G158" s="19">
        <f t="shared" si="8"/>
        <v>0</v>
      </c>
      <c r="I158" s="46"/>
    </row>
    <row r="159" spans="1:9" s="20" customFormat="1" ht="51.75" customHeight="1">
      <c r="A159" s="223" t="s">
        <v>319</v>
      </c>
      <c r="B159" s="227" t="s">
        <v>341</v>
      </c>
      <c r="C159" s="61" t="s">
        <v>511</v>
      </c>
      <c r="D159" s="62">
        <v>0</v>
      </c>
      <c r="E159" s="4" t="s">
        <v>471</v>
      </c>
      <c r="F159" s="19">
        <v>0</v>
      </c>
      <c r="G159" s="19">
        <f t="shared" si="8"/>
        <v>0</v>
      </c>
      <c r="I159" s="46"/>
    </row>
    <row r="160" spans="1:9" s="20" customFormat="1" ht="47.25">
      <c r="A160" s="223"/>
      <c r="B160" s="227"/>
      <c r="C160" s="61" t="s">
        <v>504</v>
      </c>
      <c r="D160" s="37">
        <v>0</v>
      </c>
      <c r="E160" s="35" t="s">
        <v>558</v>
      </c>
      <c r="F160" s="37">
        <v>0</v>
      </c>
      <c r="G160" s="19">
        <f t="shared" si="8"/>
        <v>0</v>
      </c>
      <c r="I160" s="46"/>
    </row>
    <row r="161" spans="1:9" s="20" customFormat="1" ht="47.25" hidden="1">
      <c r="A161" s="18" t="s">
        <v>528</v>
      </c>
      <c r="B161" s="4" t="s">
        <v>529</v>
      </c>
      <c r="C161" s="35"/>
      <c r="D161" s="37"/>
      <c r="E161" s="4" t="s">
        <v>511</v>
      </c>
      <c r="F161" s="36">
        <v>0</v>
      </c>
      <c r="G161" s="19">
        <f t="shared" si="8"/>
        <v>0</v>
      </c>
      <c r="I161" s="46"/>
    </row>
    <row r="162" spans="1:9" s="20" customFormat="1" ht="51" customHeight="1">
      <c r="A162" s="223" t="s">
        <v>309</v>
      </c>
      <c r="B162" s="227" t="s">
        <v>310</v>
      </c>
      <c r="C162" s="4"/>
      <c r="D162" s="5"/>
      <c r="E162" s="4" t="s">
        <v>471</v>
      </c>
      <c r="F162" s="12">
        <v>0</v>
      </c>
      <c r="G162" s="19">
        <f t="shared" si="8"/>
        <v>0</v>
      </c>
      <c r="I162" s="46"/>
    </row>
    <row r="163" spans="1:9" s="20" customFormat="1" ht="31.5">
      <c r="A163" s="223"/>
      <c r="B163" s="227"/>
      <c r="C163" s="4"/>
      <c r="D163" s="5"/>
      <c r="E163" s="35" t="s">
        <v>558</v>
      </c>
      <c r="F163" s="37">
        <v>0</v>
      </c>
      <c r="G163" s="19">
        <f t="shared" si="8"/>
        <v>0</v>
      </c>
      <c r="I163" s="46"/>
    </row>
    <row r="164" spans="1:9" s="51" customFormat="1" ht="46.5" customHeight="1" hidden="1">
      <c r="A164" s="221" t="s">
        <v>264</v>
      </c>
      <c r="B164" s="225" t="s">
        <v>441</v>
      </c>
      <c r="C164" s="4"/>
      <c r="D164" s="5"/>
      <c r="E164" s="4" t="s">
        <v>511</v>
      </c>
      <c r="F164" s="19">
        <v>0</v>
      </c>
      <c r="G164" s="19">
        <f t="shared" si="8"/>
        <v>0</v>
      </c>
      <c r="H164" s="20"/>
      <c r="I164" s="52"/>
    </row>
    <row r="165" spans="1:9" s="51" customFormat="1" ht="69.75" customHeight="1">
      <c r="A165" s="231"/>
      <c r="B165" s="232"/>
      <c r="C165" s="4"/>
      <c r="D165" s="5"/>
      <c r="E165" s="4" t="s">
        <v>575</v>
      </c>
      <c r="F165" s="19">
        <v>0</v>
      </c>
      <c r="G165" s="19">
        <f t="shared" si="8"/>
        <v>0</v>
      </c>
      <c r="H165" s="20"/>
      <c r="I165" s="52"/>
    </row>
    <row r="166" spans="1:9" s="51" customFormat="1" ht="87" customHeight="1">
      <c r="A166" s="222"/>
      <c r="B166" s="226"/>
      <c r="C166" s="4"/>
      <c r="D166" s="5"/>
      <c r="E166" s="4" t="s">
        <v>576</v>
      </c>
      <c r="F166" s="19">
        <v>0</v>
      </c>
      <c r="G166" s="19">
        <f t="shared" si="8"/>
        <v>0</v>
      </c>
      <c r="H166" s="20"/>
      <c r="I166" s="52"/>
    </row>
    <row r="167" spans="1:9" s="20" customFormat="1" ht="69.75" customHeight="1">
      <c r="A167" s="18" t="s">
        <v>321</v>
      </c>
      <c r="B167" s="4" t="s">
        <v>322</v>
      </c>
      <c r="C167" s="4"/>
      <c r="D167" s="5"/>
      <c r="E167" s="61" t="s">
        <v>511</v>
      </c>
      <c r="F167" s="19">
        <v>0</v>
      </c>
      <c r="G167" s="19">
        <f t="shared" si="8"/>
        <v>0</v>
      </c>
      <c r="I167" s="46"/>
    </row>
    <row r="168" spans="1:9" s="20" customFormat="1" ht="27.75" customHeight="1" hidden="1">
      <c r="A168" s="4">
        <v>180107</v>
      </c>
      <c r="B168" s="4" t="s">
        <v>453</v>
      </c>
      <c r="C168" s="4"/>
      <c r="D168" s="17"/>
      <c r="E168" s="4" t="s">
        <v>471</v>
      </c>
      <c r="F168" s="19">
        <v>0</v>
      </c>
      <c r="G168" s="19">
        <f t="shared" si="8"/>
        <v>0</v>
      </c>
      <c r="I168" s="46"/>
    </row>
    <row r="169" spans="1:9" s="20" customFormat="1" ht="63" customHeight="1">
      <c r="A169" s="227">
        <v>180409</v>
      </c>
      <c r="B169" s="227" t="s">
        <v>464</v>
      </c>
      <c r="C169" s="4"/>
      <c r="D169" s="17"/>
      <c r="E169" s="4" t="s">
        <v>471</v>
      </c>
      <c r="F169" s="19">
        <v>0</v>
      </c>
      <c r="G169" s="19">
        <f t="shared" si="8"/>
        <v>0</v>
      </c>
      <c r="I169" s="46"/>
    </row>
    <row r="170" spans="1:9" s="20" customFormat="1" ht="47.25">
      <c r="A170" s="227"/>
      <c r="B170" s="227"/>
      <c r="C170" s="4"/>
      <c r="D170" s="17"/>
      <c r="E170" s="4" t="s">
        <v>577</v>
      </c>
      <c r="F170" s="19">
        <v>0</v>
      </c>
      <c r="G170" s="19">
        <f t="shared" si="8"/>
        <v>0</v>
      </c>
      <c r="I170" s="46"/>
    </row>
    <row r="171" spans="1:9" s="20" customFormat="1" ht="47.25">
      <c r="A171" s="18" t="s">
        <v>254</v>
      </c>
      <c r="B171" s="4" t="s">
        <v>331</v>
      </c>
      <c r="C171" s="4"/>
      <c r="D171" s="5"/>
      <c r="E171" s="4" t="s">
        <v>567</v>
      </c>
      <c r="F171" s="19">
        <v>0</v>
      </c>
      <c r="G171" s="19">
        <f t="shared" si="8"/>
        <v>0</v>
      </c>
      <c r="I171" s="46"/>
    </row>
    <row r="172" spans="1:9" s="20" customFormat="1" ht="45.75" customHeight="1">
      <c r="A172" s="18" t="s">
        <v>302</v>
      </c>
      <c r="B172" s="4" t="s">
        <v>317</v>
      </c>
      <c r="C172" s="61" t="s">
        <v>511</v>
      </c>
      <c r="D172" s="17">
        <v>0</v>
      </c>
      <c r="E172" s="4" t="s">
        <v>471</v>
      </c>
      <c r="F172" s="12">
        <v>0</v>
      </c>
      <c r="G172" s="19">
        <f t="shared" si="8"/>
        <v>0</v>
      </c>
      <c r="I172" s="46"/>
    </row>
    <row r="173" spans="1:9" s="20" customFormat="1" ht="38.25" hidden="1">
      <c r="A173" s="18" t="s">
        <v>264</v>
      </c>
      <c r="B173" s="29" t="s">
        <v>441</v>
      </c>
      <c r="C173" s="4"/>
      <c r="D173" s="5"/>
      <c r="E173" s="4" t="s">
        <v>449</v>
      </c>
      <c r="F173" s="12">
        <v>0</v>
      </c>
      <c r="G173" s="9">
        <v>0</v>
      </c>
      <c r="I173" s="46"/>
    </row>
    <row r="174" spans="1:9" s="20" customFormat="1" ht="70.5" customHeight="1" hidden="1">
      <c r="A174" s="22" t="s">
        <v>463</v>
      </c>
      <c r="B174" s="23" t="s">
        <v>462</v>
      </c>
      <c r="C174" s="23"/>
      <c r="D174" s="24">
        <v>0</v>
      </c>
      <c r="E174" s="23"/>
      <c r="F174" s="30"/>
      <c r="G174" s="27">
        <v>0</v>
      </c>
      <c r="I174" s="46"/>
    </row>
    <row r="175" spans="1:9" s="20" customFormat="1" ht="36" customHeight="1" hidden="1">
      <c r="A175" s="18" t="s">
        <v>311</v>
      </c>
      <c r="B175" s="4" t="s">
        <v>318</v>
      </c>
      <c r="C175" s="4" t="s">
        <v>343</v>
      </c>
      <c r="D175" s="17">
        <v>0</v>
      </c>
      <c r="E175" s="4"/>
      <c r="F175" s="12"/>
      <c r="G175" s="9">
        <v>0</v>
      </c>
      <c r="I175" s="46"/>
    </row>
    <row r="176" spans="1:9" s="20" customFormat="1" ht="47.25" customHeight="1" hidden="1">
      <c r="A176" s="18" t="s">
        <v>319</v>
      </c>
      <c r="B176" s="4" t="s">
        <v>341</v>
      </c>
      <c r="C176" s="4" t="s">
        <v>439</v>
      </c>
      <c r="D176" s="17">
        <v>0</v>
      </c>
      <c r="E176" s="4"/>
      <c r="F176" s="12"/>
      <c r="G176" s="9">
        <v>0</v>
      </c>
      <c r="I176" s="46"/>
    </row>
    <row r="177" spans="1:9" s="20" customFormat="1" ht="47.25">
      <c r="A177" s="22" t="s">
        <v>383</v>
      </c>
      <c r="B177" s="23" t="s">
        <v>278</v>
      </c>
      <c r="C177" s="4"/>
      <c r="D177" s="24">
        <f>D179</f>
        <v>0</v>
      </c>
      <c r="E177" s="5"/>
      <c r="F177" s="24">
        <f>F178</f>
        <v>0</v>
      </c>
      <c r="G177" s="28">
        <f aca="true" t="shared" si="9" ref="G177:G184">D177+F177</f>
        <v>0</v>
      </c>
      <c r="H177" s="47"/>
      <c r="I177" s="46"/>
    </row>
    <row r="178" spans="1:9" s="20" customFormat="1" ht="48" customHeight="1">
      <c r="A178" s="18" t="s">
        <v>402</v>
      </c>
      <c r="B178" s="4" t="s">
        <v>403</v>
      </c>
      <c r="C178" s="4"/>
      <c r="D178" s="17"/>
      <c r="E178" s="4" t="s">
        <v>556</v>
      </c>
      <c r="F178" s="19">
        <v>0</v>
      </c>
      <c r="G178" s="19">
        <f t="shared" si="9"/>
        <v>0</v>
      </c>
      <c r="I178" s="46"/>
    </row>
    <row r="179" spans="1:9" s="20" customFormat="1" ht="63">
      <c r="A179" s="18" t="s">
        <v>302</v>
      </c>
      <c r="B179" s="4" t="s">
        <v>317</v>
      </c>
      <c r="C179" s="61" t="s">
        <v>523</v>
      </c>
      <c r="D179" s="17">
        <v>0</v>
      </c>
      <c r="E179" s="4"/>
      <c r="F179" s="9"/>
      <c r="G179" s="19">
        <f t="shared" si="9"/>
        <v>0</v>
      </c>
      <c r="I179" s="46"/>
    </row>
    <row r="180" spans="1:9" s="20" customFormat="1" ht="47.25">
      <c r="A180" s="22" t="s">
        <v>387</v>
      </c>
      <c r="B180" s="23" t="s">
        <v>280</v>
      </c>
      <c r="C180" s="4"/>
      <c r="D180" s="24">
        <f>D181+D182+D183+D184</f>
        <v>0</v>
      </c>
      <c r="E180" s="5"/>
      <c r="F180" s="28">
        <f>F181</f>
        <v>0</v>
      </c>
      <c r="G180" s="28">
        <f t="shared" si="9"/>
        <v>0</v>
      </c>
      <c r="I180" s="46"/>
    </row>
    <row r="181" spans="1:9" s="20" customFormat="1" ht="60" customHeight="1">
      <c r="A181" s="18" t="s">
        <v>402</v>
      </c>
      <c r="B181" s="4" t="s">
        <v>403</v>
      </c>
      <c r="C181" s="4"/>
      <c r="D181" s="17"/>
      <c r="E181" s="4" t="s">
        <v>508</v>
      </c>
      <c r="F181" s="19">
        <v>0</v>
      </c>
      <c r="G181" s="19">
        <f t="shared" si="9"/>
        <v>0</v>
      </c>
      <c r="I181" s="46"/>
    </row>
    <row r="182" spans="1:9" s="20" customFormat="1" ht="63">
      <c r="A182" s="233">
        <v>250404</v>
      </c>
      <c r="B182" s="233" t="s">
        <v>317</v>
      </c>
      <c r="C182" s="4" t="s">
        <v>532</v>
      </c>
      <c r="D182" s="21">
        <v>0</v>
      </c>
      <c r="E182" s="9"/>
      <c r="F182" s="31"/>
      <c r="G182" s="19">
        <f t="shared" si="9"/>
        <v>0</v>
      </c>
      <c r="I182" s="46"/>
    </row>
    <row r="183" spans="1:9" s="20" customFormat="1" ht="51" customHeight="1">
      <c r="A183" s="233"/>
      <c r="B183" s="233"/>
      <c r="C183" s="4" t="s">
        <v>550</v>
      </c>
      <c r="D183" s="21">
        <v>0</v>
      </c>
      <c r="E183" s="9"/>
      <c r="F183" s="31"/>
      <c r="G183" s="19">
        <f t="shared" si="9"/>
        <v>0</v>
      </c>
      <c r="I183" s="46"/>
    </row>
    <row r="184" spans="1:9" s="20" customFormat="1" ht="66" customHeight="1">
      <c r="A184" s="234"/>
      <c r="B184" s="233"/>
      <c r="C184" s="4" t="s">
        <v>551</v>
      </c>
      <c r="D184" s="21">
        <v>0</v>
      </c>
      <c r="E184" s="4"/>
      <c r="F184" s="9"/>
      <c r="G184" s="19">
        <f t="shared" si="9"/>
        <v>0</v>
      </c>
      <c r="I184" s="46"/>
    </row>
    <row r="185" spans="1:9" s="20" customFormat="1" ht="31.5" hidden="1">
      <c r="A185" s="22">
        <v>50</v>
      </c>
      <c r="B185" s="23" t="s">
        <v>423</v>
      </c>
      <c r="C185" s="4"/>
      <c r="D185" s="24">
        <v>0</v>
      </c>
      <c r="E185" s="5"/>
      <c r="F185" s="27">
        <v>0</v>
      </c>
      <c r="G185" s="27">
        <v>0</v>
      </c>
      <c r="I185" s="46"/>
    </row>
    <row r="186" spans="1:9" s="20" customFormat="1" ht="48.75" customHeight="1" hidden="1">
      <c r="A186" s="18" t="s">
        <v>402</v>
      </c>
      <c r="B186" s="4" t="s">
        <v>403</v>
      </c>
      <c r="C186" s="4" t="s">
        <v>415</v>
      </c>
      <c r="D186" s="21"/>
      <c r="E186" s="4"/>
      <c r="F186" s="9"/>
      <c r="G186" s="9">
        <v>0</v>
      </c>
      <c r="I186" s="46"/>
    </row>
    <row r="187" spans="1:9" s="20" customFormat="1" ht="47.25">
      <c r="A187" s="22" t="s">
        <v>391</v>
      </c>
      <c r="B187" s="23" t="s">
        <v>284</v>
      </c>
      <c r="C187" s="23"/>
      <c r="D187" s="24">
        <v>0</v>
      </c>
      <c r="E187" s="32"/>
      <c r="F187" s="24">
        <f>F188+F189</f>
        <v>0</v>
      </c>
      <c r="G187" s="24">
        <f aca="true" t="shared" si="10" ref="G187:G195">D187+F187</f>
        <v>0</v>
      </c>
      <c r="H187" s="47"/>
      <c r="I187" s="46"/>
    </row>
    <row r="188" spans="1:9" s="20" customFormat="1" ht="47.25">
      <c r="A188" s="18" t="s">
        <v>402</v>
      </c>
      <c r="B188" s="4" t="s">
        <v>403</v>
      </c>
      <c r="C188" s="4"/>
      <c r="D188" s="17"/>
      <c r="E188" s="4" t="s">
        <v>541</v>
      </c>
      <c r="F188" s="17">
        <v>0</v>
      </c>
      <c r="G188" s="17">
        <f t="shared" si="10"/>
        <v>0</v>
      </c>
      <c r="I188" s="46"/>
    </row>
    <row r="189" spans="1:9" s="20" customFormat="1" ht="47.25">
      <c r="A189" s="18" t="s">
        <v>266</v>
      </c>
      <c r="B189" s="4" t="s">
        <v>267</v>
      </c>
      <c r="C189" s="4"/>
      <c r="D189" s="17"/>
      <c r="E189" s="4" t="s">
        <v>542</v>
      </c>
      <c r="F189" s="19">
        <v>0</v>
      </c>
      <c r="G189" s="17">
        <f t="shared" si="10"/>
        <v>0</v>
      </c>
      <c r="I189" s="46"/>
    </row>
    <row r="190" spans="1:9" s="20" customFormat="1" ht="50.25" customHeight="1">
      <c r="A190" s="22" t="s">
        <v>388</v>
      </c>
      <c r="B190" s="23" t="s">
        <v>281</v>
      </c>
      <c r="C190" s="4"/>
      <c r="D190" s="24">
        <f>D194</f>
        <v>0</v>
      </c>
      <c r="E190" s="5"/>
      <c r="F190" s="24">
        <f>F192+F193</f>
        <v>0</v>
      </c>
      <c r="G190" s="24">
        <f t="shared" si="10"/>
        <v>0</v>
      </c>
      <c r="H190" s="47"/>
      <c r="I190" s="46"/>
    </row>
    <row r="191" spans="1:9" s="20" customFormat="1" ht="33" customHeight="1" hidden="1">
      <c r="A191" s="18" t="s">
        <v>402</v>
      </c>
      <c r="B191" s="4" t="s">
        <v>403</v>
      </c>
      <c r="C191" s="4" t="s">
        <v>418</v>
      </c>
      <c r="D191" s="17"/>
      <c r="E191" s="4"/>
      <c r="F191" s="19"/>
      <c r="G191" s="24">
        <f t="shared" si="10"/>
        <v>0</v>
      </c>
      <c r="I191" s="46"/>
    </row>
    <row r="192" spans="1:9" s="20" customFormat="1" ht="47.25">
      <c r="A192" s="4">
        <v>240601</v>
      </c>
      <c r="B192" s="4" t="s">
        <v>331</v>
      </c>
      <c r="C192" s="4"/>
      <c r="D192" s="5"/>
      <c r="E192" s="4" t="s">
        <v>531</v>
      </c>
      <c r="F192" s="19">
        <v>0</v>
      </c>
      <c r="G192" s="17">
        <f t="shared" si="10"/>
        <v>0</v>
      </c>
      <c r="I192" s="46"/>
    </row>
    <row r="193" spans="1:9" s="20" customFormat="1" ht="72" customHeight="1">
      <c r="A193" s="4">
        <v>240900</v>
      </c>
      <c r="B193" s="4" t="s">
        <v>461</v>
      </c>
      <c r="C193" s="4"/>
      <c r="D193" s="5"/>
      <c r="E193" s="4" t="s">
        <v>521</v>
      </c>
      <c r="F193" s="19">
        <v>0</v>
      </c>
      <c r="G193" s="17">
        <f t="shared" si="10"/>
        <v>0</v>
      </c>
      <c r="I193" s="46"/>
    </row>
    <row r="194" spans="1:9" s="20" customFormat="1" ht="54" customHeight="1">
      <c r="A194" s="4">
        <v>250404</v>
      </c>
      <c r="B194" s="4" t="s">
        <v>450</v>
      </c>
      <c r="C194" s="4" t="s">
        <v>549</v>
      </c>
      <c r="D194" s="17">
        <v>0</v>
      </c>
      <c r="E194" s="4"/>
      <c r="F194" s="19"/>
      <c r="G194" s="17">
        <f t="shared" si="10"/>
        <v>0</v>
      </c>
      <c r="I194" s="46"/>
    </row>
    <row r="195" spans="1:9" s="20" customFormat="1" ht="47.25">
      <c r="A195" s="22" t="s">
        <v>386</v>
      </c>
      <c r="B195" s="23" t="s">
        <v>282</v>
      </c>
      <c r="C195" s="4"/>
      <c r="D195" s="24">
        <f>D197+D198+D204+D206</f>
        <v>0</v>
      </c>
      <c r="E195" s="5"/>
      <c r="F195" s="24">
        <f>F200+F201+F202+F204+F206</f>
        <v>0</v>
      </c>
      <c r="G195" s="24">
        <f t="shared" si="10"/>
        <v>0</v>
      </c>
      <c r="H195" s="47"/>
      <c r="I195" s="46"/>
    </row>
    <row r="196" spans="1:9" s="20" customFormat="1" ht="69" customHeight="1" hidden="1">
      <c r="A196" s="18" t="s">
        <v>402</v>
      </c>
      <c r="B196" s="4" t="s">
        <v>403</v>
      </c>
      <c r="C196" s="4" t="s">
        <v>421</v>
      </c>
      <c r="D196" s="17"/>
      <c r="E196" s="5"/>
      <c r="F196" s="9"/>
      <c r="G196" s="24">
        <f aca="true" t="shared" si="11" ref="G196:G206">D196+F196</f>
        <v>0</v>
      </c>
      <c r="I196" s="46"/>
    </row>
    <row r="197" spans="1:9" s="20" customFormat="1" ht="84.75" customHeight="1">
      <c r="A197" s="18" t="s">
        <v>256</v>
      </c>
      <c r="B197" s="4" t="s">
        <v>257</v>
      </c>
      <c r="C197" s="4" t="s">
        <v>537</v>
      </c>
      <c r="D197" s="17">
        <v>0</v>
      </c>
      <c r="E197" s="4"/>
      <c r="F197" s="19"/>
      <c r="G197" s="17">
        <f t="shared" si="11"/>
        <v>0</v>
      </c>
      <c r="I197" s="46"/>
    </row>
    <row r="198" spans="1:9" s="20" customFormat="1" ht="72.75" customHeight="1">
      <c r="A198" s="18" t="s">
        <v>307</v>
      </c>
      <c r="B198" s="4" t="s">
        <v>308</v>
      </c>
      <c r="C198" s="4" t="s">
        <v>492</v>
      </c>
      <c r="D198" s="17">
        <v>0</v>
      </c>
      <c r="E198" s="4"/>
      <c r="F198" s="9"/>
      <c r="G198" s="17">
        <f t="shared" si="11"/>
        <v>0</v>
      </c>
      <c r="I198" s="46"/>
    </row>
    <row r="199" spans="1:9" s="20" customFormat="1" ht="78.75" hidden="1">
      <c r="A199" s="221" t="s">
        <v>309</v>
      </c>
      <c r="B199" s="225" t="s">
        <v>310</v>
      </c>
      <c r="C199" s="4"/>
      <c r="D199" s="17"/>
      <c r="E199" s="4" t="s">
        <v>492</v>
      </c>
      <c r="F199" s="19">
        <v>0</v>
      </c>
      <c r="G199" s="24">
        <f t="shared" si="11"/>
        <v>0</v>
      </c>
      <c r="I199" s="46"/>
    </row>
    <row r="200" spans="1:9" s="20" customFormat="1" ht="63">
      <c r="A200" s="222"/>
      <c r="B200" s="226"/>
      <c r="C200" s="4"/>
      <c r="D200" s="17"/>
      <c r="E200" s="4" t="s">
        <v>509</v>
      </c>
      <c r="F200" s="19">
        <v>0</v>
      </c>
      <c r="G200" s="17">
        <f t="shared" si="11"/>
        <v>0</v>
      </c>
      <c r="I200" s="46"/>
    </row>
    <row r="201" spans="1:9" s="20" customFormat="1" ht="62.25" customHeight="1">
      <c r="A201" s="223" t="s">
        <v>323</v>
      </c>
      <c r="B201" s="227" t="s">
        <v>464</v>
      </c>
      <c r="C201" s="227"/>
      <c r="D201" s="17"/>
      <c r="E201" s="4" t="s">
        <v>492</v>
      </c>
      <c r="F201" s="19">
        <v>0</v>
      </c>
      <c r="G201" s="17">
        <f t="shared" si="11"/>
        <v>0</v>
      </c>
      <c r="I201" s="46"/>
    </row>
    <row r="202" spans="1:9" s="20" customFormat="1" ht="63">
      <c r="A202" s="223"/>
      <c r="B202" s="227"/>
      <c r="C202" s="227"/>
      <c r="D202" s="230"/>
      <c r="E202" s="4" t="s">
        <v>522</v>
      </c>
      <c r="F202" s="19">
        <v>0</v>
      </c>
      <c r="G202" s="17">
        <f t="shared" si="11"/>
        <v>0</v>
      </c>
      <c r="I202" s="46"/>
    </row>
    <row r="203" spans="1:9" s="20" customFormat="1" ht="47.25" hidden="1">
      <c r="A203" s="223"/>
      <c r="B203" s="227"/>
      <c r="C203" s="227"/>
      <c r="D203" s="230"/>
      <c r="E203" s="4" t="s">
        <v>545</v>
      </c>
      <c r="F203" s="9">
        <v>0</v>
      </c>
      <c r="G203" s="17">
        <f t="shared" si="11"/>
        <v>0</v>
      </c>
      <c r="I203" s="46"/>
    </row>
    <row r="204" spans="1:9" s="20" customFormat="1" ht="69" customHeight="1">
      <c r="A204" s="18" t="s">
        <v>454</v>
      </c>
      <c r="B204" s="4" t="s">
        <v>455</v>
      </c>
      <c r="C204" s="4" t="s">
        <v>492</v>
      </c>
      <c r="D204" s="17">
        <v>0</v>
      </c>
      <c r="E204" s="4" t="s">
        <v>522</v>
      </c>
      <c r="F204" s="19">
        <v>0</v>
      </c>
      <c r="G204" s="17">
        <f t="shared" si="11"/>
        <v>0</v>
      </c>
      <c r="I204" s="46"/>
    </row>
    <row r="205" spans="1:9" s="20" customFormat="1" ht="63">
      <c r="A205" s="223" t="s">
        <v>302</v>
      </c>
      <c r="B205" s="227" t="s">
        <v>317</v>
      </c>
      <c r="C205" s="4" t="s">
        <v>522</v>
      </c>
      <c r="D205" s="17">
        <v>0</v>
      </c>
      <c r="E205" s="4"/>
      <c r="F205" s="9"/>
      <c r="G205" s="17">
        <f t="shared" si="11"/>
        <v>0</v>
      </c>
      <c r="I205" s="46"/>
    </row>
    <row r="206" spans="1:9" s="20" customFormat="1" ht="63">
      <c r="A206" s="223"/>
      <c r="B206" s="227"/>
      <c r="C206" s="4" t="s">
        <v>547</v>
      </c>
      <c r="D206" s="17">
        <v>0</v>
      </c>
      <c r="E206" s="4" t="s">
        <v>547</v>
      </c>
      <c r="F206" s="19">
        <v>0</v>
      </c>
      <c r="G206" s="17">
        <f t="shared" si="11"/>
        <v>0</v>
      </c>
      <c r="I206" s="46"/>
    </row>
    <row r="207" spans="1:9" s="20" customFormat="1" ht="78.75" customHeight="1">
      <c r="A207" s="22" t="s">
        <v>381</v>
      </c>
      <c r="B207" s="23" t="s">
        <v>277</v>
      </c>
      <c r="C207" s="4"/>
      <c r="D207" s="24">
        <f>D209+D210+D211</f>
        <v>0</v>
      </c>
      <c r="E207" s="5"/>
      <c r="F207" s="28">
        <f>F209+F210</f>
        <v>0</v>
      </c>
      <c r="G207" s="28">
        <f aca="true" t="shared" si="12" ref="G207:G224">D207+F207</f>
        <v>0</v>
      </c>
      <c r="H207" s="47"/>
      <c r="I207" s="46"/>
    </row>
    <row r="208" spans="1:9" s="20" customFormat="1" ht="65.25" customHeight="1" hidden="1">
      <c r="A208" s="18" t="s">
        <v>402</v>
      </c>
      <c r="B208" s="4" t="s">
        <v>403</v>
      </c>
      <c r="C208" s="4" t="s">
        <v>412</v>
      </c>
      <c r="D208" s="17"/>
      <c r="E208" s="4"/>
      <c r="F208" s="12"/>
      <c r="G208" s="28">
        <f t="shared" si="12"/>
        <v>0</v>
      </c>
      <c r="I208" s="46"/>
    </row>
    <row r="209" spans="1:9" s="20" customFormat="1" ht="78.75" customHeight="1">
      <c r="A209" s="18" t="s">
        <v>313</v>
      </c>
      <c r="B209" s="4" t="s">
        <v>314</v>
      </c>
      <c r="C209" s="4" t="s">
        <v>512</v>
      </c>
      <c r="D209" s="17">
        <v>0</v>
      </c>
      <c r="E209" s="4" t="s">
        <v>512</v>
      </c>
      <c r="F209" s="12">
        <v>0</v>
      </c>
      <c r="G209" s="19">
        <f t="shared" si="12"/>
        <v>0</v>
      </c>
      <c r="H209" s="47"/>
      <c r="I209" s="46"/>
    </row>
    <row r="210" spans="1:9" s="20" customFormat="1" ht="78.75">
      <c r="A210" s="223" t="s">
        <v>315</v>
      </c>
      <c r="B210" s="227" t="s">
        <v>316</v>
      </c>
      <c r="C210" s="4" t="s">
        <v>512</v>
      </c>
      <c r="D210" s="17">
        <v>0</v>
      </c>
      <c r="E210" s="4" t="s">
        <v>512</v>
      </c>
      <c r="F210" s="12">
        <v>0</v>
      </c>
      <c r="G210" s="19">
        <f t="shared" si="12"/>
        <v>0</v>
      </c>
      <c r="H210" s="47"/>
      <c r="I210" s="46"/>
    </row>
    <row r="211" spans="1:9" s="20" customFormat="1" ht="68.25" customHeight="1">
      <c r="A211" s="223"/>
      <c r="B211" s="227"/>
      <c r="C211" s="4" t="s">
        <v>538</v>
      </c>
      <c r="D211" s="17">
        <v>0</v>
      </c>
      <c r="E211" s="4"/>
      <c r="F211" s="12"/>
      <c r="G211" s="19">
        <f t="shared" si="12"/>
        <v>0</v>
      </c>
      <c r="I211" s="46"/>
    </row>
    <row r="212" spans="1:9" s="20" customFormat="1" ht="47.25">
      <c r="A212" s="22" t="s">
        <v>390</v>
      </c>
      <c r="B212" s="23" t="s">
        <v>283</v>
      </c>
      <c r="C212" s="4"/>
      <c r="D212" s="24">
        <f>D217</f>
        <v>0</v>
      </c>
      <c r="E212" s="5"/>
      <c r="F212" s="24">
        <f>F213+F214+F215</f>
        <v>0</v>
      </c>
      <c r="G212" s="24">
        <f t="shared" si="12"/>
        <v>0</v>
      </c>
      <c r="H212" s="47"/>
      <c r="I212" s="46"/>
    </row>
    <row r="213" spans="1:9" s="20" customFormat="1" ht="47.25">
      <c r="A213" s="18" t="s">
        <v>402</v>
      </c>
      <c r="B213" s="4" t="s">
        <v>403</v>
      </c>
      <c r="C213" s="4"/>
      <c r="D213" s="17"/>
      <c r="E213" s="4" t="s">
        <v>491</v>
      </c>
      <c r="F213" s="17">
        <v>0</v>
      </c>
      <c r="G213" s="17">
        <f t="shared" si="12"/>
        <v>0</v>
      </c>
      <c r="I213" s="46"/>
    </row>
    <row r="214" spans="1:9" s="20" customFormat="1" ht="63">
      <c r="A214" s="18" t="s">
        <v>309</v>
      </c>
      <c r="B214" s="4" t="s">
        <v>310</v>
      </c>
      <c r="C214" s="4"/>
      <c r="D214" s="5"/>
      <c r="E214" s="4" t="s">
        <v>513</v>
      </c>
      <c r="F214" s="12">
        <v>0</v>
      </c>
      <c r="G214" s="17">
        <f t="shared" si="12"/>
        <v>0</v>
      </c>
      <c r="I214" s="46"/>
    </row>
    <row r="215" spans="1:9" s="20" customFormat="1" ht="79.5" customHeight="1">
      <c r="A215" s="18" t="s">
        <v>324</v>
      </c>
      <c r="B215" s="4" t="s">
        <v>325</v>
      </c>
      <c r="C215" s="4"/>
      <c r="D215" s="5"/>
      <c r="E215" s="4" t="s">
        <v>513</v>
      </c>
      <c r="F215" s="19">
        <v>0</v>
      </c>
      <c r="G215" s="17">
        <f t="shared" si="12"/>
        <v>0</v>
      </c>
      <c r="I215" s="46"/>
    </row>
    <row r="216" spans="1:9" s="20" customFormat="1" ht="78.75" hidden="1">
      <c r="A216" s="18" t="s">
        <v>313</v>
      </c>
      <c r="B216" s="4" t="s">
        <v>459</v>
      </c>
      <c r="C216" s="4"/>
      <c r="D216" s="17"/>
      <c r="E216" s="4" t="s">
        <v>512</v>
      </c>
      <c r="F216" s="19">
        <v>0</v>
      </c>
      <c r="G216" s="24">
        <f t="shared" si="12"/>
        <v>0</v>
      </c>
      <c r="I216" s="46"/>
    </row>
    <row r="217" spans="1:9" s="20" customFormat="1" ht="53.25" customHeight="1">
      <c r="A217" s="18" t="s">
        <v>302</v>
      </c>
      <c r="B217" s="4" t="s">
        <v>317</v>
      </c>
      <c r="C217" s="4" t="s">
        <v>496</v>
      </c>
      <c r="D217" s="17">
        <v>0</v>
      </c>
      <c r="E217" s="4"/>
      <c r="F217" s="19"/>
      <c r="G217" s="17">
        <f t="shared" si="12"/>
        <v>0</v>
      </c>
      <c r="I217" s="46"/>
    </row>
    <row r="218" spans="1:9" s="20" customFormat="1" ht="46.5" customHeight="1">
      <c r="A218" s="22" t="s">
        <v>389</v>
      </c>
      <c r="B218" s="23" t="s">
        <v>262</v>
      </c>
      <c r="C218" s="4"/>
      <c r="D218" s="24">
        <f>D220+D221+D223</f>
        <v>0</v>
      </c>
      <c r="E218" s="5"/>
      <c r="F218" s="27"/>
      <c r="G218" s="28">
        <f t="shared" si="12"/>
        <v>0</v>
      </c>
      <c r="I218" s="46"/>
    </row>
    <row r="219" spans="1:9" s="20" customFormat="1" ht="46.5" customHeight="1" hidden="1">
      <c r="A219" s="26" t="s">
        <v>402</v>
      </c>
      <c r="B219" s="4" t="s">
        <v>403</v>
      </c>
      <c r="C219" s="4" t="s">
        <v>422</v>
      </c>
      <c r="D219" s="21"/>
      <c r="E219" s="5"/>
      <c r="F219" s="19"/>
      <c r="G219" s="28">
        <f t="shared" si="12"/>
        <v>0</v>
      </c>
      <c r="I219" s="46"/>
    </row>
    <row r="220" spans="1:9" s="20" customFormat="1" ht="70.5" customHeight="1">
      <c r="A220" s="18" t="s">
        <v>402</v>
      </c>
      <c r="B220" s="4" t="s">
        <v>403</v>
      </c>
      <c r="C220" s="4" t="s">
        <v>523</v>
      </c>
      <c r="D220" s="21">
        <v>0</v>
      </c>
      <c r="E220" s="5"/>
      <c r="F220" s="19"/>
      <c r="G220" s="19">
        <f t="shared" si="12"/>
        <v>0</v>
      </c>
      <c r="I220" s="46"/>
    </row>
    <row r="221" spans="1:9" s="20" customFormat="1" ht="15.75">
      <c r="A221" s="26">
        <v>230000</v>
      </c>
      <c r="B221" s="4" t="s">
        <v>431</v>
      </c>
      <c r="C221" s="227" t="s">
        <v>552</v>
      </c>
      <c r="D221" s="21">
        <v>0</v>
      </c>
      <c r="E221" s="5"/>
      <c r="F221" s="27"/>
      <c r="G221" s="19">
        <f t="shared" si="12"/>
        <v>0</v>
      </c>
      <c r="I221" s="46"/>
    </row>
    <row r="222" spans="1:9" s="20" customFormat="1" ht="48" customHeight="1" hidden="1">
      <c r="A222" s="26">
        <v>210105</v>
      </c>
      <c r="B222" s="4"/>
      <c r="C222" s="227"/>
      <c r="D222" s="21">
        <v>0</v>
      </c>
      <c r="E222" s="5"/>
      <c r="F222" s="19">
        <v>0</v>
      </c>
      <c r="G222" s="19">
        <f t="shared" si="12"/>
        <v>0</v>
      </c>
      <c r="I222" s="46"/>
    </row>
    <row r="223" spans="1:9" s="20" customFormat="1" ht="33" customHeight="1">
      <c r="A223" s="18" t="s">
        <v>302</v>
      </c>
      <c r="B223" s="4" t="s">
        <v>317</v>
      </c>
      <c r="C223" s="227"/>
      <c r="D223" s="17">
        <v>0</v>
      </c>
      <c r="E223" s="4"/>
      <c r="F223" s="9"/>
      <c r="G223" s="19">
        <f t="shared" si="12"/>
        <v>0</v>
      </c>
      <c r="I223" s="46"/>
    </row>
    <row r="224" spans="1:9" s="20" customFormat="1" ht="47.25">
      <c r="A224" s="22" t="s">
        <v>430</v>
      </c>
      <c r="B224" s="23" t="s">
        <v>262</v>
      </c>
      <c r="C224" s="4"/>
      <c r="D224" s="32">
        <v>0</v>
      </c>
      <c r="E224" s="4"/>
      <c r="F224" s="24">
        <f>F226+F227</f>
        <v>0</v>
      </c>
      <c r="G224" s="24">
        <f t="shared" si="12"/>
        <v>0</v>
      </c>
      <c r="H224" s="47"/>
      <c r="I224" s="46"/>
    </row>
    <row r="225" spans="1:9" s="20" customFormat="1" ht="45" customHeight="1" hidden="1">
      <c r="A225" s="18" t="s">
        <v>326</v>
      </c>
      <c r="B225" s="4" t="s">
        <v>432</v>
      </c>
      <c r="C225" s="4"/>
      <c r="D225" s="5"/>
      <c r="E225" s="4" t="s">
        <v>440</v>
      </c>
      <c r="F225" s="12">
        <v>0</v>
      </c>
      <c r="G225" s="9">
        <v>0</v>
      </c>
      <c r="I225" s="46"/>
    </row>
    <row r="226" spans="1:9" s="20" customFormat="1" ht="51.75" customHeight="1">
      <c r="A226" s="228">
        <v>250380</v>
      </c>
      <c r="B226" s="225" t="s">
        <v>530</v>
      </c>
      <c r="C226" s="4"/>
      <c r="D226" s="5"/>
      <c r="E226" s="4" t="s">
        <v>511</v>
      </c>
      <c r="F226" s="19">
        <v>0</v>
      </c>
      <c r="G226" s="19">
        <f>F226</f>
        <v>0</v>
      </c>
      <c r="I226" s="46"/>
    </row>
    <row r="227" spans="1:9" s="20" customFormat="1" ht="51.75" customHeight="1">
      <c r="A227" s="229"/>
      <c r="B227" s="226"/>
      <c r="C227" s="4"/>
      <c r="D227" s="5"/>
      <c r="E227" s="4" t="s">
        <v>533</v>
      </c>
      <c r="F227" s="19">
        <v>0</v>
      </c>
      <c r="G227" s="19">
        <f>F227</f>
        <v>0</v>
      </c>
      <c r="I227" s="46"/>
    </row>
    <row r="228" spans="1:9" s="20" customFormat="1" ht="47.25">
      <c r="A228" s="22" t="s">
        <v>371</v>
      </c>
      <c r="B228" s="23" t="s">
        <v>265</v>
      </c>
      <c r="C228" s="4"/>
      <c r="D228" s="24">
        <f>D232+D235+D236+D237+D238+D241+D242</f>
        <v>0</v>
      </c>
      <c r="E228" s="4"/>
      <c r="F228" s="24">
        <f>F231+F234</f>
        <v>0</v>
      </c>
      <c r="G228" s="24">
        <f>D228+F228</f>
        <v>0</v>
      </c>
      <c r="H228" s="47"/>
      <c r="I228" s="46"/>
    </row>
    <row r="229" spans="1:9" s="20" customFormat="1" ht="49.5" customHeight="1" hidden="1">
      <c r="A229" s="18" t="s">
        <v>402</v>
      </c>
      <c r="B229" s="4" t="s">
        <v>403</v>
      </c>
      <c r="C229" s="4" t="s">
        <v>408</v>
      </c>
      <c r="D229" s="17"/>
      <c r="E229" s="4" t="s">
        <v>408</v>
      </c>
      <c r="F229" s="19"/>
      <c r="G229" s="9">
        <v>0</v>
      </c>
      <c r="I229" s="46"/>
    </row>
    <row r="230" spans="1:9" s="20" customFormat="1" ht="72" customHeight="1" hidden="1">
      <c r="A230" s="223" t="s">
        <v>402</v>
      </c>
      <c r="B230" s="227" t="s">
        <v>403</v>
      </c>
      <c r="C230" s="4" t="s">
        <v>523</v>
      </c>
      <c r="D230" s="17">
        <v>0</v>
      </c>
      <c r="E230" s="4"/>
      <c r="F230" s="19"/>
      <c r="G230" s="19">
        <v>0</v>
      </c>
      <c r="I230" s="46"/>
    </row>
    <row r="231" spans="1:9" s="20" customFormat="1" ht="63" customHeight="1">
      <c r="A231" s="223"/>
      <c r="B231" s="227"/>
      <c r="C231" s="4"/>
      <c r="D231" s="17"/>
      <c r="E231" s="4" t="s">
        <v>508</v>
      </c>
      <c r="F231" s="19">
        <v>0</v>
      </c>
      <c r="G231" s="19">
        <f>F231</f>
        <v>0</v>
      </c>
      <c r="I231" s="46"/>
    </row>
    <row r="232" spans="1:9" s="20" customFormat="1" ht="47.25" customHeight="1">
      <c r="A232" s="18" t="s">
        <v>319</v>
      </c>
      <c r="B232" s="4" t="s">
        <v>320</v>
      </c>
      <c r="C232" s="4" t="s">
        <v>511</v>
      </c>
      <c r="D232" s="17">
        <v>0</v>
      </c>
      <c r="E232" s="4"/>
      <c r="F232" s="19"/>
      <c r="G232" s="19">
        <f>D232</f>
        <v>0</v>
      </c>
      <c r="I232" s="46"/>
    </row>
    <row r="233" spans="1:9" s="20" customFormat="1" ht="42.75" customHeight="1" hidden="1">
      <c r="A233" s="18" t="s">
        <v>309</v>
      </c>
      <c r="B233" s="4" t="s">
        <v>310</v>
      </c>
      <c r="C233" s="4"/>
      <c r="D233" s="17"/>
      <c r="E233" s="4" t="s">
        <v>436</v>
      </c>
      <c r="F233" s="19">
        <v>0</v>
      </c>
      <c r="G233" s="9">
        <v>0</v>
      </c>
      <c r="I233" s="46"/>
    </row>
    <row r="234" spans="1:9" s="20" customFormat="1" ht="95.25" customHeight="1">
      <c r="A234" s="18" t="s">
        <v>296</v>
      </c>
      <c r="B234" s="4" t="s">
        <v>461</v>
      </c>
      <c r="C234" s="4"/>
      <c r="D234" s="17"/>
      <c r="E234" s="4" t="s">
        <v>521</v>
      </c>
      <c r="F234" s="19">
        <v>0</v>
      </c>
      <c r="G234" s="19">
        <f>F234</f>
        <v>0</v>
      </c>
      <c r="I234" s="46"/>
    </row>
    <row r="235" spans="1:9" s="20" customFormat="1" ht="47.25">
      <c r="A235" s="223" t="s">
        <v>302</v>
      </c>
      <c r="B235" s="227" t="s">
        <v>317</v>
      </c>
      <c r="C235" s="4" t="s">
        <v>493</v>
      </c>
      <c r="D235" s="17">
        <v>0</v>
      </c>
      <c r="E235" s="4"/>
      <c r="F235" s="9"/>
      <c r="G235" s="19">
        <f>D235</f>
        <v>0</v>
      </c>
      <c r="I235" s="46"/>
    </row>
    <row r="236" spans="1:9" s="20" customFormat="1" ht="47.25">
      <c r="A236" s="223"/>
      <c r="B236" s="227"/>
      <c r="C236" s="4" t="s">
        <v>511</v>
      </c>
      <c r="D236" s="17">
        <v>0</v>
      </c>
      <c r="E236" s="4"/>
      <c r="F236" s="9"/>
      <c r="G236" s="19">
        <f aca="true" t="shared" si="13" ref="G236:G242">D236</f>
        <v>0</v>
      </c>
      <c r="I236" s="46"/>
    </row>
    <row r="237" spans="1:9" s="20" customFormat="1" ht="63">
      <c r="A237" s="223"/>
      <c r="B237" s="227"/>
      <c r="C237" s="4" t="s">
        <v>497</v>
      </c>
      <c r="D237" s="17">
        <v>0</v>
      </c>
      <c r="E237" s="4"/>
      <c r="F237" s="9"/>
      <c r="G237" s="19">
        <f t="shared" si="13"/>
        <v>0</v>
      </c>
      <c r="I237" s="46"/>
    </row>
    <row r="238" spans="1:9" s="20" customFormat="1" ht="47.25">
      <c r="A238" s="223"/>
      <c r="B238" s="227"/>
      <c r="C238" s="4" t="s">
        <v>502</v>
      </c>
      <c r="D238" s="17">
        <v>0</v>
      </c>
      <c r="E238" s="4"/>
      <c r="F238" s="9"/>
      <c r="G238" s="19">
        <f t="shared" si="13"/>
        <v>0</v>
      </c>
      <c r="I238" s="46"/>
    </row>
    <row r="239" spans="1:9" s="20" customFormat="1" ht="45.75" customHeight="1" hidden="1">
      <c r="A239" s="223"/>
      <c r="B239" s="227"/>
      <c r="C239" s="4"/>
      <c r="D239" s="5"/>
      <c r="E239" s="4"/>
      <c r="F239" s="9"/>
      <c r="G239" s="19">
        <f t="shared" si="13"/>
        <v>0</v>
      </c>
      <c r="I239" s="46"/>
    </row>
    <row r="240" spans="1:9" s="20" customFormat="1" ht="56.25" customHeight="1" hidden="1">
      <c r="A240" s="223"/>
      <c r="B240" s="227"/>
      <c r="C240" s="4"/>
      <c r="D240" s="5"/>
      <c r="E240" s="4"/>
      <c r="F240" s="9"/>
      <c r="G240" s="19">
        <f t="shared" si="13"/>
        <v>0</v>
      </c>
      <c r="I240" s="46"/>
    </row>
    <row r="241" spans="1:9" s="20" customFormat="1" ht="63">
      <c r="A241" s="223"/>
      <c r="B241" s="227"/>
      <c r="C241" s="4" t="s">
        <v>514</v>
      </c>
      <c r="D241" s="17">
        <v>0</v>
      </c>
      <c r="E241" s="4"/>
      <c r="F241" s="9"/>
      <c r="G241" s="19">
        <f t="shared" si="13"/>
        <v>0</v>
      </c>
      <c r="I241" s="46"/>
    </row>
    <row r="242" spans="1:9" s="20" customFormat="1" ht="63.75" customHeight="1">
      <c r="A242" s="223"/>
      <c r="B242" s="227"/>
      <c r="C242" s="4" t="s">
        <v>523</v>
      </c>
      <c r="D242" s="17">
        <v>0</v>
      </c>
      <c r="E242" s="4"/>
      <c r="F242" s="9"/>
      <c r="G242" s="19">
        <f t="shared" si="13"/>
        <v>0</v>
      </c>
      <c r="I242" s="46"/>
    </row>
    <row r="243" spans="1:9" s="20" customFormat="1" ht="47.25">
      <c r="A243" s="22" t="s">
        <v>372</v>
      </c>
      <c r="B243" s="23" t="s">
        <v>268</v>
      </c>
      <c r="C243" s="4"/>
      <c r="D243" s="24">
        <f>D245+D249+D251+D252+D253+D254</f>
        <v>0</v>
      </c>
      <c r="E243" s="23"/>
      <c r="F243" s="24">
        <f>F244+F245+F246+F248</f>
        <v>0</v>
      </c>
      <c r="G243" s="24">
        <f>D243+F243</f>
        <v>0</v>
      </c>
      <c r="H243" s="47"/>
      <c r="I243" s="46"/>
    </row>
    <row r="244" spans="1:9" s="20" customFormat="1" ht="43.5" customHeight="1">
      <c r="A244" s="18" t="s">
        <v>402</v>
      </c>
      <c r="B244" s="4" t="s">
        <v>403</v>
      </c>
      <c r="C244" s="4"/>
      <c r="D244" s="17"/>
      <c r="E244" s="4" t="s">
        <v>508</v>
      </c>
      <c r="F244" s="19">
        <v>0</v>
      </c>
      <c r="G244" s="19">
        <f>F244</f>
        <v>0</v>
      </c>
      <c r="I244" s="46"/>
    </row>
    <row r="245" spans="1:9" s="20" customFormat="1" ht="50.25" customHeight="1">
      <c r="A245" s="223" t="s">
        <v>319</v>
      </c>
      <c r="B245" s="227" t="s">
        <v>320</v>
      </c>
      <c r="C245" s="4" t="s">
        <v>511</v>
      </c>
      <c r="D245" s="17">
        <v>0</v>
      </c>
      <c r="E245" s="4" t="s">
        <v>511</v>
      </c>
      <c r="F245" s="19">
        <v>0</v>
      </c>
      <c r="G245" s="19">
        <f>D245+F245</f>
        <v>0</v>
      </c>
      <c r="I245" s="46"/>
    </row>
    <row r="246" spans="1:9" s="20" customFormat="1" ht="47.25">
      <c r="A246" s="223"/>
      <c r="B246" s="227"/>
      <c r="C246" s="4"/>
      <c r="D246" s="17"/>
      <c r="E246" s="35" t="s">
        <v>504</v>
      </c>
      <c r="F246" s="39">
        <v>0</v>
      </c>
      <c r="G246" s="39">
        <f>F246</f>
        <v>0</v>
      </c>
      <c r="I246" s="46"/>
    </row>
    <row r="247" spans="1:9" s="20" customFormat="1" ht="21.75" customHeight="1" hidden="1">
      <c r="A247" s="18" t="s">
        <v>309</v>
      </c>
      <c r="B247" s="4" t="s">
        <v>310</v>
      </c>
      <c r="C247" s="4"/>
      <c r="D247" s="17"/>
      <c r="E247" s="4"/>
      <c r="F247" s="19"/>
      <c r="G247" s="19">
        <v>0</v>
      </c>
      <c r="I247" s="46"/>
    </row>
    <row r="248" spans="1:9" s="20" customFormat="1" ht="99.75" customHeight="1">
      <c r="A248" s="18" t="s">
        <v>296</v>
      </c>
      <c r="B248" s="4" t="s">
        <v>461</v>
      </c>
      <c r="C248" s="4"/>
      <c r="D248" s="17"/>
      <c r="E248" s="4" t="s">
        <v>521</v>
      </c>
      <c r="F248" s="19">
        <v>0</v>
      </c>
      <c r="G248" s="19">
        <f>F248</f>
        <v>0</v>
      </c>
      <c r="I248" s="46"/>
    </row>
    <row r="249" spans="1:9" s="20" customFormat="1" ht="47.25">
      <c r="A249" s="223" t="s">
        <v>302</v>
      </c>
      <c r="B249" s="227" t="s">
        <v>317</v>
      </c>
      <c r="C249" s="4" t="s">
        <v>493</v>
      </c>
      <c r="D249" s="17">
        <v>0</v>
      </c>
      <c r="E249" s="4"/>
      <c r="F249" s="9"/>
      <c r="G249" s="19">
        <f aca="true" t="shared" si="14" ref="G249:G254">D249</f>
        <v>0</v>
      </c>
      <c r="I249" s="46"/>
    </row>
    <row r="250" spans="1:9" s="20" customFormat="1" ht="34.5" customHeight="1" hidden="1">
      <c r="A250" s="223"/>
      <c r="B250" s="227"/>
      <c r="C250" s="4"/>
      <c r="D250" s="17"/>
      <c r="E250" s="4"/>
      <c r="F250" s="9"/>
      <c r="G250" s="19">
        <f t="shared" si="14"/>
        <v>0</v>
      </c>
      <c r="I250" s="46"/>
    </row>
    <row r="251" spans="1:9" s="20" customFormat="1" ht="63">
      <c r="A251" s="223"/>
      <c r="B251" s="227"/>
      <c r="C251" s="4" t="s">
        <v>497</v>
      </c>
      <c r="D251" s="17">
        <v>0</v>
      </c>
      <c r="E251" s="4"/>
      <c r="F251" s="9"/>
      <c r="G251" s="19">
        <f t="shared" si="14"/>
        <v>0</v>
      </c>
      <c r="I251" s="46"/>
    </row>
    <row r="252" spans="1:9" s="20" customFormat="1" ht="47.25">
      <c r="A252" s="223"/>
      <c r="B252" s="227"/>
      <c r="C252" s="4" t="s">
        <v>502</v>
      </c>
      <c r="D252" s="17">
        <v>0</v>
      </c>
      <c r="E252" s="4"/>
      <c r="F252" s="9"/>
      <c r="G252" s="19">
        <f t="shared" si="14"/>
        <v>0</v>
      </c>
      <c r="I252" s="46"/>
    </row>
    <row r="253" spans="1:9" s="20" customFormat="1" ht="47.25">
      <c r="A253" s="223"/>
      <c r="B253" s="227"/>
      <c r="C253" s="4" t="s">
        <v>511</v>
      </c>
      <c r="D253" s="17">
        <v>0</v>
      </c>
      <c r="E253" s="4"/>
      <c r="F253" s="9"/>
      <c r="G253" s="19">
        <f t="shared" si="14"/>
        <v>0</v>
      </c>
      <c r="I253" s="46"/>
    </row>
    <row r="254" spans="1:9" s="20" customFormat="1" ht="63">
      <c r="A254" s="223"/>
      <c r="B254" s="227"/>
      <c r="C254" s="4" t="s">
        <v>514</v>
      </c>
      <c r="D254" s="17">
        <v>0</v>
      </c>
      <c r="E254" s="4"/>
      <c r="F254" s="9"/>
      <c r="G254" s="19">
        <f t="shared" si="14"/>
        <v>0</v>
      </c>
      <c r="I254" s="46"/>
    </row>
    <row r="255" spans="1:9" s="20" customFormat="1" ht="47.25">
      <c r="A255" s="22" t="s">
        <v>373</v>
      </c>
      <c r="B255" s="23" t="s">
        <v>269</v>
      </c>
      <c r="C255" s="4"/>
      <c r="D255" s="24">
        <f>D257+D260+D261+D262+D263+D265+D266</f>
        <v>0</v>
      </c>
      <c r="E255" s="23"/>
      <c r="F255" s="24">
        <f>F256+F257+F258+F259</f>
        <v>0</v>
      </c>
      <c r="G255" s="24">
        <f>D255+F255</f>
        <v>0</v>
      </c>
      <c r="H255" s="47"/>
      <c r="I255" s="46"/>
    </row>
    <row r="256" spans="1:9" s="20" customFormat="1" ht="52.5" customHeight="1">
      <c r="A256" s="18" t="s">
        <v>402</v>
      </c>
      <c r="B256" s="4" t="s">
        <v>403</v>
      </c>
      <c r="C256" s="4"/>
      <c r="D256" s="17"/>
      <c r="E256" s="4" t="s">
        <v>508</v>
      </c>
      <c r="F256" s="19">
        <v>0</v>
      </c>
      <c r="G256" s="19">
        <f>F256</f>
        <v>0</v>
      </c>
      <c r="I256" s="46"/>
    </row>
    <row r="257" spans="1:9" s="20" customFormat="1" ht="56.25" customHeight="1">
      <c r="A257" s="18" t="s">
        <v>319</v>
      </c>
      <c r="B257" s="4" t="s">
        <v>320</v>
      </c>
      <c r="C257" s="4" t="s">
        <v>511</v>
      </c>
      <c r="D257" s="17">
        <v>0</v>
      </c>
      <c r="E257" s="4" t="s">
        <v>511</v>
      </c>
      <c r="F257" s="19">
        <v>0</v>
      </c>
      <c r="G257" s="19">
        <f>D257+F257</f>
        <v>0</v>
      </c>
      <c r="I257" s="46"/>
    </row>
    <row r="258" spans="1:9" s="20" customFormat="1" ht="47.25">
      <c r="A258" s="18" t="s">
        <v>309</v>
      </c>
      <c r="B258" s="4" t="s">
        <v>310</v>
      </c>
      <c r="C258" s="4"/>
      <c r="D258" s="17"/>
      <c r="E258" s="4" t="s">
        <v>511</v>
      </c>
      <c r="F258" s="19">
        <v>0</v>
      </c>
      <c r="G258" s="19">
        <f>F258</f>
        <v>0</v>
      </c>
      <c r="I258" s="46"/>
    </row>
    <row r="259" spans="1:9" s="20" customFormat="1" ht="99.75" customHeight="1">
      <c r="A259" s="18" t="s">
        <v>296</v>
      </c>
      <c r="B259" s="4" t="s">
        <v>461</v>
      </c>
      <c r="C259" s="4"/>
      <c r="D259" s="17"/>
      <c r="E259" s="4" t="s">
        <v>521</v>
      </c>
      <c r="F259" s="19">
        <v>0</v>
      </c>
      <c r="G259" s="19">
        <f>F259</f>
        <v>0</v>
      </c>
      <c r="I259" s="46"/>
    </row>
    <row r="260" spans="1:9" s="20" customFormat="1" ht="47.25">
      <c r="A260" s="223" t="s">
        <v>302</v>
      </c>
      <c r="B260" s="227" t="s">
        <v>317</v>
      </c>
      <c r="C260" s="4" t="s">
        <v>493</v>
      </c>
      <c r="D260" s="17">
        <v>0</v>
      </c>
      <c r="E260" s="4"/>
      <c r="F260" s="9"/>
      <c r="G260" s="19">
        <f>D260</f>
        <v>0</v>
      </c>
      <c r="I260" s="46"/>
    </row>
    <row r="261" spans="1:9" s="20" customFormat="1" ht="47.25">
      <c r="A261" s="223"/>
      <c r="B261" s="227"/>
      <c r="C261" s="4" t="s">
        <v>511</v>
      </c>
      <c r="D261" s="17">
        <v>0</v>
      </c>
      <c r="E261" s="4"/>
      <c r="F261" s="9"/>
      <c r="G261" s="19">
        <f aca="true" t="shared" si="15" ref="G261:G266">D261</f>
        <v>0</v>
      </c>
      <c r="I261" s="46"/>
    </row>
    <row r="262" spans="1:9" s="20" customFormat="1" ht="63">
      <c r="A262" s="223"/>
      <c r="B262" s="227"/>
      <c r="C262" s="4" t="s">
        <v>497</v>
      </c>
      <c r="D262" s="17">
        <v>0</v>
      </c>
      <c r="E262" s="4"/>
      <c r="F262" s="9"/>
      <c r="G262" s="19">
        <f t="shared" si="15"/>
        <v>0</v>
      </c>
      <c r="I262" s="46"/>
    </row>
    <row r="263" spans="1:9" s="20" customFormat="1" ht="47.25">
      <c r="A263" s="223"/>
      <c r="B263" s="227"/>
      <c r="C263" s="4" t="s">
        <v>502</v>
      </c>
      <c r="D263" s="17">
        <v>0</v>
      </c>
      <c r="E263" s="4"/>
      <c r="F263" s="9"/>
      <c r="G263" s="19">
        <f t="shared" si="15"/>
        <v>0</v>
      </c>
      <c r="I263" s="46"/>
    </row>
    <row r="264" spans="1:9" s="20" customFormat="1" ht="21.75" customHeight="1" hidden="1">
      <c r="A264" s="223"/>
      <c r="B264" s="227"/>
      <c r="C264" s="4"/>
      <c r="D264" s="5"/>
      <c r="E264" s="4"/>
      <c r="F264" s="9"/>
      <c r="G264" s="19">
        <f t="shared" si="15"/>
        <v>0</v>
      </c>
      <c r="I264" s="46"/>
    </row>
    <row r="265" spans="1:9" s="20" customFormat="1" ht="63">
      <c r="A265" s="223"/>
      <c r="B265" s="227"/>
      <c r="C265" s="4" t="s">
        <v>514</v>
      </c>
      <c r="D265" s="17">
        <v>0</v>
      </c>
      <c r="E265" s="4"/>
      <c r="F265" s="9"/>
      <c r="G265" s="19">
        <f t="shared" si="15"/>
        <v>0</v>
      </c>
      <c r="I265" s="46"/>
    </row>
    <row r="266" spans="1:9" s="20" customFormat="1" ht="66.75" customHeight="1">
      <c r="A266" s="223"/>
      <c r="B266" s="227"/>
      <c r="C266" s="4" t="s">
        <v>523</v>
      </c>
      <c r="D266" s="17">
        <v>0</v>
      </c>
      <c r="E266" s="4"/>
      <c r="F266" s="9"/>
      <c r="G266" s="19">
        <f t="shared" si="15"/>
        <v>0</v>
      </c>
      <c r="I266" s="46"/>
    </row>
    <row r="267" spans="1:9" s="20" customFormat="1" ht="47.25">
      <c r="A267" s="22" t="s">
        <v>374</v>
      </c>
      <c r="B267" s="23" t="s">
        <v>270</v>
      </c>
      <c r="C267" s="4"/>
      <c r="D267" s="24">
        <f>D269+D271+D272+D273+D274+D275+D276</f>
        <v>0</v>
      </c>
      <c r="E267" s="23"/>
      <c r="F267" s="24">
        <f>F268+F269+F270</f>
        <v>0</v>
      </c>
      <c r="G267" s="28">
        <f>D267+F267</f>
        <v>0</v>
      </c>
      <c r="H267" s="48"/>
      <c r="I267" s="46"/>
    </row>
    <row r="268" spans="1:9" s="20" customFormat="1" ht="47.25">
      <c r="A268" s="18" t="s">
        <v>402</v>
      </c>
      <c r="B268" s="4" t="s">
        <v>403</v>
      </c>
      <c r="C268" s="4"/>
      <c r="D268" s="17"/>
      <c r="E268" s="4" t="s">
        <v>508</v>
      </c>
      <c r="F268" s="19">
        <v>0</v>
      </c>
      <c r="G268" s="19">
        <f>F268</f>
        <v>0</v>
      </c>
      <c r="H268" s="33"/>
      <c r="I268" s="46"/>
    </row>
    <row r="269" spans="1:9" s="20" customFormat="1" ht="66" customHeight="1">
      <c r="A269" s="18" t="s">
        <v>319</v>
      </c>
      <c r="B269" s="4" t="s">
        <v>320</v>
      </c>
      <c r="C269" s="4" t="s">
        <v>511</v>
      </c>
      <c r="D269" s="17">
        <v>0</v>
      </c>
      <c r="E269" s="4" t="s">
        <v>511</v>
      </c>
      <c r="F269" s="19">
        <v>0</v>
      </c>
      <c r="G269" s="19">
        <f>D269+F269</f>
        <v>0</v>
      </c>
      <c r="I269" s="46"/>
    </row>
    <row r="270" spans="1:9" s="20" customFormat="1" ht="55.5" customHeight="1">
      <c r="A270" s="18" t="s">
        <v>309</v>
      </c>
      <c r="B270" s="4" t="s">
        <v>310</v>
      </c>
      <c r="C270" s="4"/>
      <c r="D270" s="17"/>
      <c r="E270" s="4" t="s">
        <v>511</v>
      </c>
      <c r="F270" s="19">
        <v>0</v>
      </c>
      <c r="G270" s="19">
        <f>F270</f>
        <v>0</v>
      </c>
      <c r="I270" s="46"/>
    </row>
    <row r="271" spans="1:9" s="20" customFormat="1" ht="47.25">
      <c r="A271" s="223" t="s">
        <v>302</v>
      </c>
      <c r="B271" s="227" t="s">
        <v>317</v>
      </c>
      <c r="C271" s="4" t="s">
        <v>493</v>
      </c>
      <c r="D271" s="17">
        <v>0</v>
      </c>
      <c r="E271" s="4"/>
      <c r="F271" s="9"/>
      <c r="G271" s="19">
        <f aca="true" t="shared" si="16" ref="G271:G276">D271</f>
        <v>0</v>
      </c>
      <c r="I271" s="46"/>
    </row>
    <row r="272" spans="1:9" s="20" customFormat="1" ht="47.25">
      <c r="A272" s="223"/>
      <c r="B272" s="227"/>
      <c r="C272" s="4" t="s">
        <v>511</v>
      </c>
      <c r="D272" s="17">
        <v>0</v>
      </c>
      <c r="E272" s="4"/>
      <c r="F272" s="9"/>
      <c r="G272" s="19">
        <f t="shared" si="16"/>
        <v>0</v>
      </c>
      <c r="I272" s="46"/>
    </row>
    <row r="273" spans="1:9" s="20" customFormat="1" ht="63">
      <c r="A273" s="223"/>
      <c r="B273" s="227"/>
      <c r="C273" s="4" t="s">
        <v>497</v>
      </c>
      <c r="D273" s="17">
        <v>0</v>
      </c>
      <c r="E273" s="4"/>
      <c r="F273" s="9"/>
      <c r="G273" s="19">
        <f t="shared" si="16"/>
        <v>0</v>
      </c>
      <c r="I273" s="46"/>
    </row>
    <row r="274" spans="1:9" s="20" customFormat="1" ht="47.25">
      <c r="A274" s="223"/>
      <c r="B274" s="227"/>
      <c r="C274" s="4" t="s">
        <v>502</v>
      </c>
      <c r="D274" s="17">
        <v>0</v>
      </c>
      <c r="E274" s="4"/>
      <c r="F274" s="9"/>
      <c r="G274" s="19">
        <f t="shared" si="16"/>
        <v>0</v>
      </c>
      <c r="I274" s="46"/>
    </row>
    <row r="275" spans="1:9" s="20" customFormat="1" ht="63">
      <c r="A275" s="223"/>
      <c r="B275" s="227"/>
      <c r="C275" s="4" t="s">
        <v>514</v>
      </c>
      <c r="D275" s="17">
        <v>0</v>
      </c>
      <c r="E275" s="4"/>
      <c r="F275" s="9"/>
      <c r="G275" s="19">
        <f t="shared" si="16"/>
        <v>0</v>
      </c>
      <c r="I275" s="46"/>
    </row>
    <row r="276" spans="1:9" s="20" customFormat="1" ht="63.75" customHeight="1">
      <c r="A276" s="223"/>
      <c r="B276" s="227"/>
      <c r="C276" s="4" t="s">
        <v>523</v>
      </c>
      <c r="D276" s="17">
        <v>0</v>
      </c>
      <c r="E276" s="4"/>
      <c r="F276" s="9"/>
      <c r="G276" s="19">
        <f t="shared" si="16"/>
        <v>0</v>
      </c>
      <c r="I276" s="46"/>
    </row>
    <row r="277" spans="1:9" s="33" customFormat="1" ht="47.25">
      <c r="A277" s="22" t="s">
        <v>375</v>
      </c>
      <c r="B277" s="23" t="s">
        <v>271</v>
      </c>
      <c r="C277" s="23"/>
      <c r="D277" s="24">
        <f>D279+D281+D283+D285+D287+D288+D289+D290+D291+D292</f>
        <v>0</v>
      </c>
      <c r="E277" s="23"/>
      <c r="F277" s="24">
        <f>F280+F284</f>
        <v>0</v>
      </c>
      <c r="G277" s="24">
        <f>D277+F277</f>
        <v>0</v>
      </c>
      <c r="H277" s="48"/>
      <c r="I277" s="46"/>
    </row>
    <row r="278" spans="1:9" s="33" customFormat="1" ht="55.5" customHeight="1" hidden="1">
      <c r="A278" s="18" t="s">
        <v>402</v>
      </c>
      <c r="B278" s="4" t="s">
        <v>403</v>
      </c>
      <c r="C278" s="4" t="s">
        <v>409</v>
      </c>
      <c r="D278" s="17"/>
      <c r="E278" s="4" t="s">
        <v>409</v>
      </c>
      <c r="F278" s="19"/>
      <c r="G278" s="19">
        <v>0</v>
      </c>
      <c r="I278" s="46"/>
    </row>
    <row r="279" spans="1:9" s="33" customFormat="1" ht="69" customHeight="1">
      <c r="A279" s="221" t="s">
        <v>402</v>
      </c>
      <c r="B279" s="225" t="s">
        <v>403</v>
      </c>
      <c r="C279" s="4" t="s">
        <v>523</v>
      </c>
      <c r="D279" s="17">
        <v>0</v>
      </c>
      <c r="E279" s="4"/>
      <c r="F279" s="19"/>
      <c r="G279" s="19">
        <f>D279</f>
        <v>0</v>
      </c>
      <c r="I279" s="46"/>
    </row>
    <row r="280" spans="1:9" s="33" customFormat="1" ht="54.75" customHeight="1">
      <c r="A280" s="222"/>
      <c r="B280" s="226"/>
      <c r="C280" s="4"/>
      <c r="D280" s="17"/>
      <c r="E280" s="4" t="s">
        <v>508</v>
      </c>
      <c r="F280" s="19">
        <v>0</v>
      </c>
      <c r="G280" s="19">
        <f>F280</f>
        <v>0</v>
      </c>
      <c r="I280" s="46"/>
    </row>
    <row r="281" spans="1:9" s="20" customFormat="1" ht="49.5" customHeight="1">
      <c r="A281" s="223" t="s">
        <v>319</v>
      </c>
      <c r="B281" s="227" t="s">
        <v>320</v>
      </c>
      <c r="C281" s="4" t="s">
        <v>511</v>
      </c>
      <c r="D281" s="17">
        <v>0</v>
      </c>
      <c r="E281" s="4"/>
      <c r="F281" s="19"/>
      <c r="G281" s="19">
        <f>D281</f>
        <v>0</v>
      </c>
      <c r="I281" s="46"/>
    </row>
    <row r="282" spans="1:9" s="20" customFormat="1" ht="47.25" hidden="1">
      <c r="A282" s="223"/>
      <c r="B282" s="227"/>
      <c r="C282" s="4"/>
      <c r="D282" s="17"/>
      <c r="E282" s="35" t="s">
        <v>504</v>
      </c>
      <c r="F282" s="39">
        <v>0</v>
      </c>
      <c r="G282" s="39">
        <v>0</v>
      </c>
      <c r="I282" s="46"/>
    </row>
    <row r="283" spans="1:9" s="20" customFormat="1" ht="47.25">
      <c r="A283" s="18" t="s">
        <v>477</v>
      </c>
      <c r="B283" s="4" t="s">
        <v>317</v>
      </c>
      <c r="C283" s="4" t="s">
        <v>499</v>
      </c>
      <c r="D283" s="17">
        <v>0</v>
      </c>
      <c r="E283" s="4"/>
      <c r="F283" s="19"/>
      <c r="G283" s="19">
        <f>D283</f>
        <v>0</v>
      </c>
      <c r="I283" s="46"/>
    </row>
    <row r="284" spans="1:9" s="20" customFormat="1" ht="93.75" customHeight="1">
      <c r="A284" s="18" t="s">
        <v>296</v>
      </c>
      <c r="B284" s="4" t="s">
        <v>461</v>
      </c>
      <c r="C284" s="4"/>
      <c r="D284" s="17"/>
      <c r="E284" s="4" t="s">
        <v>521</v>
      </c>
      <c r="F284" s="19">
        <v>0</v>
      </c>
      <c r="G284" s="19">
        <f>F284</f>
        <v>0</v>
      </c>
      <c r="I284" s="46"/>
    </row>
    <row r="285" spans="1:9" s="20" customFormat="1" ht="47.25">
      <c r="A285" s="223" t="s">
        <v>302</v>
      </c>
      <c r="B285" s="227" t="s">
        <v>317</v>
      </c>
      <c r="C285" s="4" t="s">
        <v>493</v>
      </c>
      <c r="D285" s="17">
        <v>0</v>
      </c>
      <c r="E285" s="4"/>
      <c r="F285" s="9"/>
      <c r="G285" s="19">
        <f>D285</f>
        <v>0</v>
      </c>
      <c r="I285" s="46"/>
    </row>
    <row r="286" spans="1:9" s="20" customFormat="1" ht="21" customHeight="1" hidden="1">
      <c r="A286" s="223"/>
      <c r="B286" s="227"/>
      <c r="C286" s="4"/>
      <c r="D286" s="17"/>
      <c r="E286" s="4"/>
      <c r="F286" s="9"/>
      <c r="G286" s="19">
        <f aca="true" t="shared" si="17" ref="G286:G292">D286</f>
        <v>0</v>
      </c>
      <c r="I286" s="46"/>
    </row>
    <row r="287" spans="1:9" s="20" customFormat="1" ht="63">
      <c r="A287" s="223"/>
      <c r="B287" s="227"/>
      <c r="C287" s="4" t="s">
        <v>498</v>
      </c>
      <c r="D287" s="17">
        <v>0</v>
      </c>
      <c r="E287" s="4"/>
      <c r="F287" s="9"/>
      <c r="G287" s="19">
        <f t="shared" si="17"/>
        <v>0</v>
      </c>
      <c r="I287" s="46"/>
    </row>
    <row r="288" spans="1:9" s="20" customFormat="1" ht="63">
      <c r="A288" s="223"/>
      <c r="B288" s="227"/>
      <c r="C288" s="4" t="s">
        <v>497</v>
      </c>
      <c r="D288" s="17">
        <v>0</v>
      </c>
      <c r="E288" s="4"/>
      <c r="F288" s="9"/>
      <c r="G288" s="19">
        <f t="shared" si="17"/>
        <v>0</v>
      </c>
      <c r="I288" s="46"/>
    </row>
    <row r="289" spans="1:9" s="20" customFormat="1" ht="47.25">
      <c r="A289" s="223"/>
      <c r="B289" s="227"/>
      <c r="C289" s="4" t="s">
        <v>502</v>
      </c>
      <c r="D289" s="17">
        <v>0</v>
      </c>
      <c r="E289" s="4"/>
      <c r="F289" s="9"/>
      <c r="G289" s="19">
        <f t="shared" si="17"/>
        <v>0</v>
      </c>
      <c r="I289" s="46"/>
    </row>
    <row r="290" spans="1:9" s="20" customFormat="1" ht="63">
      <c r="A290" s="223"/>
      <c r="B290" s="227"/>
      <c r="C290" s="4" t="s">
        <v>514</v>
      </c>
      <c r="D290" s="17">
        <v>0</v>
      </c>
      <c r="E290" s="4"/>
      <c r="F290" s="9"/>
      <c r="G290" s="19">
        <f t="shared" si="17"/>
        <v>0</v>
      </c>
      <c r="I290" s="46"/>
    </row>
    <row r="291" spans="1:9" s="20" customFormat="1" ht="47.25">
      <c r="A291" s="223"/>
      <c r="B291" s="227"/>
      <c r="C291" s="4" t="s">
        <v>511</v>
      </c>
      <c r="D291" s="17">
        <v>0</v>
      </c>
      <c r="E291" s="4"/>
      <c r="F291" s="9"/>
      <c r="G291" s="19">
        <f t="shared" si="17"/>
        <v>0</v>
      </c>
      <c r="I291" s="46"/>
    </row>
    <row r="292" spans="1:9" s="20" customFormat="1" ht="65.25" customHeight="1">
      <c r="A292" s="223"/>
      <c r="B292" s="227"/>
      <c r="C292" s="4" t="s">
        <v>523</v>
      </c>
      <c r="D292" s="17">
        <v>0</v>
      </c>
      <c r="E292" s="4"/>
      <c r="F292" s="9"/>
      <c r="G292" s="19">
        <f t="shared" si="17"/>
        <v>0</v>
      </c>
      <c r="I292" s="46"/>
    </row>
    <row r="293" spans="1:9" s="33" customFormat="1" ht="47.25">
      <c r="A293" s="22" t="s">
        <v>376</v>
      </c>
      <c r="B293" s="23" t="s">
        <v>272</v>
      </c>
      <c r="C293" s="23"/>
      <c r="D293" s="24">
        <f>D296+D298+D300+D301+D302+D303+D304</f>
        <v>0</v>
      </c>
      <c r="E293" s="23"/>
      <c r="F293" s="24">
        <f>F294+F295+F296+F297</f>
        <v>0</v>
      </c>
      <c r="G293" s="28">
        <f>D293+F293</f>
        <v>0</v>
      </c>
      <c r="H293" s="48"/>
      <c r="I293" s="46"/>
    </row>
    <row r="294" spans="1:9" s="33" customFormat="1" ht="49.5" customHeight="1">
      <c r="A294" s="18" t="s">
        <v>402</v>
      </c>
      <c r="B294" s="4" t="s">
        <v>403</v>
      </c>
      <c r="C294" s="4"/>
      <c r="D294" s="17"/>
      <c r="E294" s="4" t="s">
        <v>508</v>
      </c>
      <c r="F294" s="19">
        <v>0</v>
      </c>
      <c r="G294" s="19">
        <f>F294</f>
        <v>0</v>
      </c>
      <c r="I294" s="46"/>
    </row>
    <row r="295" spans="1:9" s="33" customFormat="1" ht="49.5" customHeight="1">
      <c r="A295" s="18" t="s">
        <v>309</v>
      </c>
      <c r="B295" s="4" t="s">
        <v>310</v>
      </c>
      <c r="C295" s="4"/>
      <c r="D295" s="17"/>
      <c r="E295" s="4" t="s">
        <v>511</v>
      </c>
      <c r="F295" s="19">
        <v>0</v>
      </c>
      <c r="G295" s="19">
        <f>F295</f>
        <v>0</v>
      </c>
      <c r="I295" s="46"/>
    </row>
    <row r="296" spans="1:9" s="20" customFormat="1" ht="48" customHeight="1">
      <c r="A296" s="18" t="s">
        <v>319</v>
      </c>
      <c r="B296" s="4" t="s">
        <v>320</v>
      </c>
      <c r="C296" s="4" t="s">
        <v>511</v>
      </c>
      <c r="D296" s="17">
        <v>0</v>
      </c>
      <c r="E296" s="4" t="s">
        <v>511</v>
      </c>
      <c r="F296" s="19">
        <v>0</v>
      </c>
      <c r="G296" s="19">
        <f>D296+F296</f>
        <v>0</v>
      </c>
      <c r="I296" s="46"/>
    </row>
    <row r="297" spans="1:9" s="20" customFormat="1" ht="100.5" customHeight="1">
      <c r="A297" s="18" t="s">
        <v>296</v>
      </c>
      <c r="B297" s="4" t="s">
        <v>461</v>
      </c>
      <c r="C297" s="4"/>
      <c r="D297" s="17"/>
      <c r="E297" s="4" t="s">
        <v>521</v>
      </c>
      <c r="F297" s="19">
        <v>0</v>
      </c>
      <c r="G297" s="19">
        <f>F297</f>
        <v>0</v>
      </c>
      <c r="I297" s="46"/>
    </row>
    <row r="298" spans="1:9" s="20" customFormat="1" ht="47.25">
      <c r="A298" s="223" t="s">
        <v>302</v>
      </c>
      <c r="B298" s="227" t="s">
        <v>317</v>
      </c>
      <c r="C298" s="4" t="s">
        <v>493</v>
      </c>
      <c r="D298" s="17">
        <v>0</v>
      </c>
      <c r="E298" s="4"/>
      <c r="F298" s="9"/>
      <c r="G298" s="19">
        <f aca="true" t="shared" si="18" ref="G298:G304">D298</f>
        <v>0</v>
      </c>
      <c r="I298" s="46"/>
    </row>
    <row r="299" spans="1:9" s="20" customFormat="1" ht="30.75" customHeight="1" hidden="1">
      <c r="A299" s="223"/>
      <c r="B299" s="227"/>
      <c r="C299" s="4"/>
      <c r="D299" s="17"/>
      <c r="E299" s="4"/>
      <c r="F299" s="9"/>
      <c r="G299" s="19">
        <f t="shared" si="18"/>
        <v>0</v>
      </c>
      <c r="I299" s="46"/>
    </row>
    <row r="300" spans="1:9" s="20" customFormat="1" ht="63">
      <c r="A300" s="223"/>
      <c r="B300" s="227"/>
      <c r="C300" s="4" t="s">
        <v>497</v>
      </c>
      <c r="D300" s="17">
        <v>0</v>
      </c>
      <c r="E300" s="4"/>
      <c r="F300" s="9"/>
      <c r="G300" s="19">
        <f t="shared" si="18"/>
        <v>0</v>
      </c>
      <c r="I300" s="46"/>
    </row>
    <row r="301" spans="1:9" s="20" customFormat="1" ht="47.25">
      <c r="A301" s="223"/>
      <c r="B301" s="227"/>
      <c r="C301" s="4" t="s">
        <v>502</v>
      </c>
      <c r="D301" s="17">
        <v>0</v>
      </c>
      <c r="E301" s="4"/>
      <c r="F301" s="9"/>
      <c r="G301" s="19">
        <f t="shared" si="18"/>
        <v>0</v>
      </c>
      <c r="I301" s="46"/>
    </row>
    <row r="302" spans="1:9" s="20" customFormat="1" ht="63">
      <c r="A302" s="223"/>
      <c r="B302" s="227"/>
      <c r="C302" s="4" t="s">
        <v>514</v>
      </c>
      <c r="D302" s="17">
        <v>0</v>
      </c>
      <c r="E302" s="4"/>
      <c r="F302" s="9"/>
      <c r="G302" s="19">
        <f t="shared" si="18"/>
        <v>0</v>
      </c>
      <c r="I302" s="46"/>
    </row>
    <row r="303" spans="1:9" s="20" customFormat="1" ht="47.25">
      <c r="A303" s="223"/>
      <c r="B303" s="227"/>
      <c r="C303" s="4" t="s">
        <v>511</v>
      </c>
      <c r="D303" s="17">
        <v>0</v>
      </c>
      <c r="E303" s="4"/>
      <c r="F303" s="9"/>
      <c r="G303" s="19">
        <f t="shared" si="18"/>
        <v>0</v>
      </c>
      <c r="I303" s="46"/>
    </row>
    <row r="304" spans="1:9" s="20" customFormat="1" ht="69" customHeight="1">
      <c r="A304" s="223"/>
      <c r="B304" s="227"/>
      <c r="C304" s="4" t="s">
        <v>523</v>
      </c>
      <c r="D304" s="17">
        <v>0</v>
      </c>
      <c r="E304" s="4"/>
      <c r="F304" s="9"/>
      <c r="G304" s="19">
        <f t="shared" si="18"/>
        <v>0</v>
      </c>
      <c r="I304" s="46"/>
    </row>
    <row r="305" spans="1:9" s="20" customFormat="1" ht="46.5" customHeight="1">
      <c r="A305" s="22" t="s">
        <v>377</v>
      </c>
      <c r="B305" s="23" t="s">
        <v>273</v>
      </c>
      <c r="C305" s="4"/>
      <c r="D305" s="24">
        <f>D306+D308+D309+D311+D312+D314+D315+D316</f>
        <v>0</v>
      </c>
      <c r="E305" s="4"/>
      <c r="F305" s="24">
        <f>F307</f>
        <v>0</v>
      </c>
      <c r="G305" s="24">
        <f>D305+F305</f>
        <v>0</v>
      </c>
      <c r="H305" s="47"/>
      <c r="I305" s="46"/>
    </row>
    <row r="306" spans="1:9" s="20" customFormat="1" ht="67.5" customHeight="1">
      <c r="A306" s="223" t="s">
        <v>402</v>
      </c>
      <c r="B306" s="227" t="s">
        <v>403</v>
      </c>
      <c r="C306" s="4" t="s">
        <v>523</v>
      </c>
      <c r="D306" s="17">
        <v>0</v>
      </c>
      <c r="E306" s="4"/>
      <c r="F306" s="24"/>
      <c r="G306" s="19">
        <f>D306</f>
        <v>0</v>
      </c>
      <c r="H306" s="47"/>
      <c r="I306" s="46"/>
    </row>
    <row r="307" spans="1:9" s="20" customFormat="1" ht="64.5" customHeight="1">
      <c r="A307" s="223"/>
      <c r="B307" s="227"/>
      <c r="C307" s="4"/>
      <c r="D307" s="17"/>
      <c r="E307" s="4" t="s">
        <v>508</v>
      </c>
      <c r="F307" s="19">
        <v>0</v>
      </c>
      <c r="G307" s="19">
        <f>F307</f>
        <v>0</v>
      </c>
      <c r="I307" s="46"/>
    </row>
    <row r="308" spans="1:9" s="20" customFormat="1" ht="45.75" customHeight="1">
      <c r="A308" s="18" t="s">
        <v>319</v>
      </c>
      <c r="B308" s="4" t="s">
        <v>320</v>
      </c>
      <c r="C308" s="4" t="s">
        <v>511</v>
      </c>
      <c r="D308" s="17">
        <v>0</v>
      </c>
      <c r="E308" s="4"/>
      <c r="F308" s="19"/>
      <c r="G308" s="19">
        <f>D308</f>
        <v>0</v>
      </c>
      <c r="I308" s="46"/>
    </row>
    <row r="309" spans="1:9" s="20" customFormat="1" ht="47.25">
      <c r="A309" s="223" t="s">
        <v>302</v>
      </c>
      <c r="B309" s="227" t="s">
        <v>317</v>
      </c>
      <c r="C309" s="4" t="s">
        <v>493</v>
      </c>
      <c r="D309" s="17">
        <v>0</v>
      </c>
      <c r="E309" s="4"/>
      <c r="F309" s="9"/>
      <c r="G309" s="19">
        <f aca="true" t="shared" si="19" ref="G309:G316">D309</f>
        <v>0</v>
      </c>
      <c r="I309" s="46"/>
    </row>
    <row r="310" spans="1:9" s="20" customFormat="1" ht="15.75" customHeight="1" hidden="1">
      <c r="A310" s="223"/>
      <c r="B310" s="227"/>
      <c r="C310" s="4"/>
      <c r="D310" s="17"/>
      <c r="E310" s="4"/>
      <c r="F310" s="19">
        <v>0</v>
      </c>
      <c r="G310" s="19">
        <f t="shared" si="19"/>
        <v>0</v>
      </c>
      <c r="I310" s="46"/>
    </row>
    <row r="311" spans="1:9" s="20" customFormat="1" ht="63">
      <c r="A311" s="223"/>
      <c r="B311" s="227"/>
      <c r="C311" s="4" t="s">
        <v>497</v>
      </c>
      <c r="D311" s="17">
        <v>0</v>
      </c>
      <c r="E311" s="4"/>
      <c r="F311" s="9"/>
      <c r="G311" s="19">
        <f t="shared" si="19"/>
        <v>0</v>
      </c>
      <c r="I311" s="46"/>
    </row>
    <row r="312" spans="1:9" s="20" customFormat="1" ht="47.25">
      <c r="A312" s="223"/>
      <c r="B312" s="227"/>
      <c r="C312" s="4" t="s">
        <v>502</v>
      </c>
      <c r="D312" s="17">
        <v>0</v>
      </c>
      <c r="E312" s="4"/>
      <c r="F312" s="9"/>
      <c r="G312" s="19">
        <f t="shared" si="19"/>
        <v>0</v>
      </c>
      <c r="I312" s="46"/>
    </row>
    <row r="313" spans="1:9" s="20" customFormat="1" ht="24.75" customHeight="1" hidden="1">
      <c r="A313" s="223"/>
      <c r="B313" s="227"/>
      <c r="C313" s="4"/>
      <c r="D313" s="5"/>
      <c r="E313" s="4"/>
      <c r="F313" s="9"/>
      <c r="G313" s="19">
        <f t="shared" si="19"/>
        <v>0</v>
      </c>
      <c r="I313" s="46"/>
    </row>
    <row r="314" spans="1:9" s="20" customFormat="1" ht="63">
      <c r="A314" s="223"/>
      <c r="B314" s="227"/>
      <c r="C314" s="4" t="s">
        <v>514</v>
      </c>
      <c r="D314" s="17">
        <v>0</v>
      </c>
      <c r="E314" s="4"/>
      <c r="F314" s="9"/>
      <c r="G314" s="19">
        <f t="shared" si="19"/>
        <v>0</v>
      </c>
      <c r="I314" s="46"/>
    </row>
    <row r="315" spans="1:9" s="20" customFormat="1" ht="47.25">
      <c r="A315" s="223"/>
      <c r="B315" s="227"/>
      <c r="C315" s="4" t="s">
        <v>511</v>
      </c>
      <c r="D315" s="17">
        <v>0</v>
      </c>
      <c r="E315" s="4"/>
      <c r="F315" s="9"/>
      <c r="G315" s="19">
        <f t="shared" si="19"/>
        <v>0</v>
      </c>
      <c r="I315" s="46"/>
    </row>
    <row r="316" spans="1:9" s="20" customFormat="1" ht="68.25" customHeight="1">
      <c r="A316" s="223"/>
      <c r="B316" s="227"/>
      <c r="C316" s="4" t="s">
        <v>523</v>
      </c>
      <c r="D316" s="17">
        <v>0</v>
      </c>
      <c r="E316" s="4"/>
      <c r="F316" s="9"/>
      <c r="G316" s="19">
        <f t="shared" si="19"/>
        <v>0</v>
      </c>
      <c r="I316" s="46"/>
    </row>
    <row r="317" spans="1:11" s="34" customFormat="1" ht="15.75">
      <c r="A317" s="23"/>
      <c r="B317" s="23" t="s">
        <v>291</v>
      </c>
      <c r="C317" s="23"/>
      <c r="D317" s="28">
        <f>D11+D31+D70+D93+D121+D142+D147+D149+D177+D180+D187+D190+D195+D207+D212+D218+D224+D228+D243+D255+D267+D277+D293+D305</f>
        <v>0</v>
      </c>
      <c r="E317" s="27"/>
      <c r="F317" s="28">
        <f>F11+F31+F70+F93+F121+F142+F147+F149+F177+F180+F187+F190+F195+F207+F212+F218+F224+F228+F243+F255+F267+F277+F293+F305</f>
        <v>0</v>
      </c>
      <c r="G317" s="28">
        <f>D317+F317</f>
        <v>0</v>
      </c>
      <c r="I317" s="46"/>
      <c r="K317" s="45"/>
    </row>
    <row r="318" spans="1:8" ht="15" customHeight="1">
      <c r="A318" s="65"/>
      <c r="B318" s="65"/>
      <c r="C318" s="65"/>
      <c r="D318" s="65"/>
      <c r="E318" s="65"/>
      <c r="F318" s="65"/>
      <c r="G318" s="65"/>
      <c r="H318" s="63"/>
    </row>
    <row r="319" spans="1:6" s="11" customFormat="1" ht="35.25" customHeight="1">
      <c r="A319" s="224" t="s">
        <v>437</v>
      </c>
      <c r="B319" s="224"/>
      <c r="C319" s="66"/>
      <c r="D319" s="67"/>
      <c r="E319" s="54"/>
      <c r="F319" s="57" t="s">
        <v>438</v>
      </c>
    </row>
    <row r="320" spans="4:7" ht="18" customHeight="1">
      <c r="D320" s="10"/>
      <c r="F320" s="34"/>
      <c r="G320" s="45"/>
    </row>
    <row r="321" spans="4:7" ht="18" customHeight="1">
      <c r="D321" s="10"/>
      <c r="F321" s="34"/>
      <c r="G321" s="45"/>
    </row>
    <row r="322" ht="18" customHeight="1"/>
    <row r="323" spans="4:9" ht="18" customHeight="1">
      <c r="D323" s="10"/>
      <c r="F323" s="41"/>
      <c r="G323" s="42"/>
      <c r="H323" s="41"/>
      <c r="I323" s="10"/>
    </row>
    <row r="324" spans="4:6" ht="18" customHeight="1">
      <c r="D324" s="10"/>
      <c r="F324" s="10"/>
    </row>
    <row r="325" spans="4:6" ht="18" customHeight="1">
      <c r="D325" s="10"/>
      <c r="F325" s="10"/>
    </row>
    <row r="326" spans="4:6" ht="15.75">
      <c r="D326" s="10"/>
      <c r="F326" s="10"/>
    </row>
    <row r="327" spans="3:6" ht="15.75">
      <c r="C327" s="3"/>
      <c r="F327" s="10"/>
    </row>
    <row r="328" ht="15.75">
      <c r="F328" s="10"/>
    </row>
    <row r="329" ht="15.75">
      <c r="F329" s="10"/>
    </row>
    <row r="330" ht="15.75">
      <c r="F330" s="10"/>
    </row>
    <row r="331" ht="15.75">
      <c r="F331" s="10"/>
    </row>
    <row r="332" ht="15.75">
      <c r="F332" s="10"/>
    </row>
    <row r="333" ht="15.75">
      <c r="F333" s="10"/>
    </row>
    <row r="334" ht="15.75">
      <c r="F334" s="10"/>
    </row>
    <row r="335" ht="15.75">
      <c r="F335" s="10"/>
    </row>
    <row r="336" ht="15.75">
      <c r="F336" s="10"/>
    </row>
    <row r="337" ht="15.75">
      <c r="F337" s="10"/>
    </row>
    <row r="338" ht="15.75">
      <c r="F338" s="10"/>
    </row>
    <row r="339" ht="15.75">
      <c r="F339" s="10"/>
    </row>
    <row r="340" ht="15.75">
      <c r="F340" s="10"/>
    </row>
    <row r="341" spans="5:8" ht="15.75">
      <c r="E341" s="7"/>
      <c r="F341" s="10"/>
      <c r="H341" s="10"/>
    </row>
    <row r="343" spans="3:7" ht="15.75">
      <c r="C343" s="43"/>
      <c r="D343" s="44"/>
      <c r="E343" s="43"/>
      <c r="F343" s="44"/>
      <c r="G343" s="43"/>
    </row>
    <row r="344" spans="3:7" ht="15.75">
      <c r="C344" s="43"/>
      <c r="D344" s="44"/>
      <c r="E344" s="43"/>
      <c r="F344" s="44"/>
      <c r="G344" s="43"/>
    </row>
    <row r="345" spans="3:7" ht="15.75">
      <c r="C345" s="43"/>
      <c r="D345" s="43"/>
      <c r="E345" s="43"/>
      <c r="F345" s="43"/>
      <c r="G345" s="44"/>
    </row>
  </sheetData>
  <sheetProtection/>
  <mergeCells count="116">
    <mergeCell ref="A319:B319"/>
    <mergeCell ref="A281:A282"/>
    <mergeCell ref="B281:B282"/>
    <mergeCell ref="A285:A292"/>
    <mergeCell ref="B285:B292"/>
    <mergeCell ref="A298:A304"/>
    <mergeCell ref="A306:A307"/>
    <mergeCell ref="B306:B307"/>
    <mergeCell ref="A309:A316"/>
    <mergeCell ref="B309:B316"/>
    <mergeCell ref="A249:A254"/>
    <mergeCell ref="B249:B254"/>
    <mergeCell ref="B298:B304"/>
    <mergeCell ref="A260:A266"/>
    <mergeCell ref="B260:B266"/>
    <mergeCell ref="A271:A276"/>
    <mergeCell ref="B271:B276"/>
    <mergeCell ref="A279:A280"/>
    <mergeCell ref="B279:B280"/>
    <mergeCell ref="A245:A246"/>
    <mergeCell ref="B245:B246"/>
    <mergeCell ref="A205:A206"/>
    <mergeCell ref="B205:B206"/>
    <mergeCell ref="A210:A211"/>
    <mergeCell ref="B210:B211"/>
    <mergeCell ref="A230:A231"/>
    <mergeCell ref="B230:B231"/>
    <mergeCell ref="A235:A242"/>
    <mergeCell ref="B235:B242"/>
    <mergeCell ref="C221:C223"/>
    <mergeCell ref="A226:A227"/>
    <mergeCell ref="B226:B227"/>
    <mergeCell ref="A199:A200"/>
    <mergeCell ref="B199:B200"/>
    <mergeCell ref="A201:A203"/>
    <mergeCell ref="B201:B203"/>
    <mergeCell ref="C201:C203"/>
    <mergeCell ref="A153:A154"/>
    <mergeCell ref="B153:B154"/>
    <mergeCell ref="D202:D203"/>
    <mergeCell ref="A164:A166"/>
    <mergeCell ref="B164:B166"/>
    <mergeCell ref="A169:A170"/>
    <mergeCell ref="B169:B170"/>
    <mergeCell ref="A182:A184"/>
    <mergeCell ref="B182:B184"/>
    <mergeCell ref="A125:A127"/>
    <mergeCell ref="B125:B127"/>
    <mergeCell ref="A128:A129"/>
    <mergeCell ref="B128:B129"/>
    <mergeCell ref="A162:A163"/>
    <mergeCell ref="B162:B163"/>
    <mergeCell ref="A134:A138"/>
    <mergeCell ref="B134:B138"/>
    <mergeCell ref="A150:A151"/>
    <mergeCell ref="B150:B151"/>
    <mergeCell ref="A159:A160"/>
    <mergeCell ref="B159:B160"/>
    <mergeCell ref="A155:A157"/>
    <mergeCell ref="B155:B157"/>
    <mergeCell ref="A106:A107"/>
    <mergeCell ref="B106:B107"/>
    <mergeCell ref="A130:A132"/>
    <mergeCell ref="B130:B132"/>
    <mergeCell ref="A110:A111"/>
    <mergeCell ref="B110:B111"/>
    <mergeCell ref="B112:B114"/>
    <mergeCell ref="A113:A114"/>
    <mergeCell ref="A123:A124"/>
    <mergeCell ref="B123:B124"/>
    <mergeCell ref="A108:A109"/>
    <mergeCell ref="B108:B109"/>
    <mergeCell ref="A91:A92"/>
    <mergeCell ref="B91:B92"/>
    <mergeCell ref="A94:A96"/>
    <mergeCell ref="B94:B96"/>
    <mergeCell ref="A97:A98"/>
    <mergeCell ref="B97:B98"/>
    <mergeCell ref="A101:A105"/>
    <mergeCell ref="B101:B105"/>
    <mergeCell ref="A83:A85"/>
    <mergeCell ref="B83:B85"/>
    <mergeCell ref="A62:A63"/>
    <mergeCell ref="B62:B63"/>
    <mergeCell ref="A64:A66"/>
    <mergeCell ref="B64:B66"/>
    <mergeCell ref="A77:A79"/>
    <mergeCell ref="B77:B79"/>
    <mergeCell ref="A80:A82"/>
    <mergeCell ref="B80:B82"/>
    <mergeCell ref="A72:A76"/>
    <mergeCell ref="B72:B76"/>
    <mergeCell ref="A43:A45"/>
    <mergeCell ref="B43:B45"/>
    <mergeCell ref="A46:A50"/>
    <mergeCell ref="B46:B50"/>
    <mergeCell ref="A58:A60"/>
    <mergeCell ref="B58:B60"/>
    <mergeCell ref="B16:B19"/>
    <mergeCell ref="A34:A36"/>
    <mergeCell ref="B34:B36"/>
    <mergeCell ref="C68:C69"/>
    <mergeCell ref="A37:A42"/>
    <mergeCell ref="B37:B42"/>
    <mergeCell ref="A23:A30"/>
    <mergeCell ref="B23:B30"/>
    <mergeCell ref="C16:C19"/>
    <mergeCell ref="A5:G5"/>
    <mergeCell ref="B8:B9"/>
    <mergeCell ref="C8:D8"/>
    <mergeCell ref="E8:F8"/>
    <mergeCell ref="A12:A13"/>
    <mergeCell ref="B12:B13"/>
    <mergeCell ref="A14:A15"/>
    <mergeCell ref="B14:B15"/>
    <mergeCell ref="A16:A19"/>
  </mergeCells>
  <printOptions/>
  <pageMargins left="0.3937007874015748" right="0.2362204724409449" top="0.41" bottom="0.3" header="0.2362204724409449" footer="0.2362204724409449"/>
  <pageSetup fitToHeight="16" horizontalDpi="600" verticalDpi="600" orientation="landscape" paperSize="9" scale="6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2016-04-25T08:54:08Z</cp:lastPrinted>
  <dcterms:created xsi:type="dcterms:W3CDTF">1996-10-08T23:32:33Z</dcterms:created>
  <dcterms:modified xsi:type="dcterms:W3CDTF">2016-05-10T13:00:17Z</dcterms:modified>
  <cp:category/>
  <cp:version/>
  <cp:contentType/>
  <cp:contentStatus/>
</cp:coreProperties>
</file>