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" sheetId="1" r:id="rId1"/>
    <sheet name="додаток 2" sheetId="2" r:id="rId2"/>
    <sheet name="Додаток 3" sheetId="3" r:id="rId3"/>
    <sheet name="Лист1" sheetId="4" r:id="rId4"/>
  </sheets>
  <definedNames>
    <definedName name="_GoBack" localSheetId="3">'Лист1'!$A$29</definedName>
    <definedName name="_xlnm.Print_Area" localSheetId="0">'додаток 1'!$A$1:$H$104</definedName>
    <definedName name="_xlnm.Print_Area" localSheetId="2">'Додаток 3'!$A$1:$G$117</definedName>
  </definedNames>
  <calcPr fullCalcOnLoad="1"/>
</workbook>
</file>

<file path=xl/sharedStrings.xml><?xml version="1.0" encoding="utf-8"?>
<sst xmlns="http://schemas.openxmlformats.org/spreadsheetml/2006/main" count="317" uniqueCount="141">
  <si>
    <t>Найменування завдання</t>
  </si>
  <si>
    <t>Найменування заходу</t>
  </si>
  <si>
    <t>Головний розпорядник бюджетних коштів, виконавці</t>
  </si>
  <si>
    <t>Джерела фінансування (бюджет міста, державний, обласний бюджети, інші)</t>
  </si>
  <si>
    <t>Всього</t>
  </si>
  <si>
    <t>за роками</t>
  </si>
  <si>
    <t>Завдання і заходи</t>
  </si>
  <si>
    <t>Додаток 1</t>
  </si>
  <si>
    <t>Обсяг фінансування, всього</t>
  </si>
  <si>
    <t>За роками виконання</t>
  </si>
  <si>
    <t>Державний бюджет</t>
  </si>
  <si>
    <t>обласний бюджет</t>
  </si>
  <si>
    <t>Усього</t>
  </si>
  <si>
    <t>Найменування показників виконання завдання</t>
  </si>
  <si>
    <t>Одиниця виміру</t>
  </si>
  <si>
    <t>усього</t>
  </si>
  <si>
    <t>у тому числі за роками</t>
  </si>
  <si>
    <t>Значення показників</t>
  </si>
  <si>
    <t>Додаток 2</t>
  </si>
  <si>
    <t>бюджет міста</t>
  </si>
  <si>
    <t>Очікувані результати</t>
  </si>
  <si>
    <t>Орієнтовні обсяги та джерела фінансування</t>
  </si>
  <si>
    <t>районна адміністрація Запорізької міської ради по Шевченківському району</t>
  </si>
  <si>
    <t>районна адміністрація Запорізької міської ради по Комунарському району</t>
  </si>
  <si>
    <t>районна адміністрація Запорізької міської ради по Хортицькому району</t>
  </si>
  <si>
    <t>районна адміністрація Запорізької міської ради по Заводському району</t>
  </si>
  <si>
    <t>од.</t>
  </si>
  <si>
    <t>Додаток 3</t>
  </si>
  <si>
    <t>Інші джерела</t>
  </si>
  <si>
    <t>Головний розпорядник бюджетних коштів - районна адміністрація Запорізької міської ради по Шевченківському району</t>
  </si>
  <si>
    <t>Головний розпорядник бюджетних коштів - районна адміністрація Запорізької міської ради по Комунарському району</t>
  </si>
  <si>
    <t>Головний розпорядник бюджетних коштів - районна адміністрація Запорізької міської ради по Хортицькому району</t>
  </si>
  <si>
    <t>Головний розпорядник бюджетних коштів - районна адміністрація Запорізької міської ради по Заводському району</t>
  </si>
  <si>
    <t>Прогнозні обсяги, тис.грн</t>
  </si>
  <si>
    <t>Реалізація заходів  щодо інвестиційного розвитку території</t>
  </si>
  <si>
    <t>Забезпечення надійного та безперебійного функціонування житлово-експлуатаційного господарства, в тому числі:</t>
  </si>
  <si>
    <t>Реалізація заходів  щодо інвестиційного розвитку території, в тому числі:</t>
  </si>
  <si>
    <t>Всього по програмі</t>
  </si>
  <si>
    <t>Секретар міської ради</t>
  </si>
  <si>
    <t>тис.кв.м.</t>
  </si>
  <si>
    <t>підприємство</t>
  </si>
  <si>
    <t>Бюджет міста, всього</t>
  </si>
  <si>
    <t>в тому числі:</t>
  </si>
  <si>
    <t>власні надходження бюджетних установ</t>
  </si>
  <si>
    <t>забезпечення  проектування, будівництва та реконструкції об'єктів</t>
  </si>
  <si>
    <t>ЗАТВЕРДЖЕНО</t>
  </si>
  <si>
    <t>Рішення міської ради</t>
  </si>
  <si>
    <t>Р.О. Пидорич</t>
  </si>
  <si>
    <t>об'єктів</t>
  </si>
  <si>
    <t>проведення робіт по відновленню  асфальтового покриття прибудинкових територій та внутрішньоквартальних проїздів</t>
  </si>
  <si>
    <t xml:space="preserve">районна адміністрація Запорізької міської ради по Вознесенівському району </t>
  </si>
  <si>
    <t xml:space="preserve">Головний розпорядник бюджетних коштів - районна адміністрація Запорізької міської ради по Вознесенівському району </t>
  </si>
  <si>
    <t>районна адміністрація Запорізької міської ради по Олександрівському району</t>
  </si>
  <si>
    <t xml:space="preserve">Головний розпорядник бюджетних коштів - районна адміністрація Запорізької міської ради по Олександрівському району  </t>
  </si>
  <si>
    <t>районна адміністрація Запорізької міської ради по Дніпровському району</t>
  </si>
  <si>
    <t>Головний розпорядник бюджетних коштів - районна адміністрація Запорізької міської ради по Дніпровському району</t>
  </si>
  <si>
    <t>тис.грн.</t>
  </si>
  <si>
    <t>з виконання Програми розвитку та утримання житлово-комунального господарства м. Запоріжжя на 2016-2018 роки</t>
  </si>
  <si>
    <t>Капітальний ремонт житлового фонду</t>
  </si>
  <si>
    <t>Капітальний ремонт житлового фонду, в тому числі:</t>
  </si>
  <si>
    <t>департамент житлово-комунального господарства Запорізької міської ради</t>
  </si>
  <si>
    <t>вибірковий капітальний ремонт житлових будинків</t>
  </si>
  <si>
    <t>капітальний ремонт покрівель житлових будинків</t>
  </si>
  <si>
    <t>заміна інженерних мереж водо-, теплопостачання</t>
  </si>
  <si>
    <t>капітальний ремонт електроживлячих стояків</t>
  </si>
  <si>
    <t>заміна газового обладнання</t>
  </si>
  <si>
    <t>модернізація, заміна, капітальний ремонт та експертиза ліфтового господарства</t>
  </si>
  <si>
    <t>малий капітальний ремонт  ліфтового господарства</t>
  </si>
  <si>
    <t>капітальний ремонт гуртожитків</t>
  </si>
  <si>
    <t>проведення капітального ремонту житлового фонду ОСББ</t>
  </si>
  <si>
    <t>капітальний ремонт будинків для передачі  в управління  створеним ОСББ (резерв)</t>
  </si>
  <si>
    <t>проектні роботи в т.ч.:</t>
  </si>
  <si>
    <t>інструментальне спостереження за деформацією житлових будинків</t>
  </si>
  <si>
    <t>капітальний ремонт квартир</t>
  </si>
  <si>
    <t>капітальний ремонт житлових будинків - переможців конкурсу "Моє чисте подвір'я"</t>
  </si>
  <si>
    <t>Забезпечення надійного та безперебійного функціонування житлово-експлуатаційного господарства</t>
  </si>
  <si>
    <t>забезпечення безперебійного функціонування архітектурно-декоративного обладнання на баштах житлових будинків по пр. Леніна, 153,171а,175,214,220,бул. Шевченка, 24, вул. Моторобудівників,64</t>
  </si>
  <si>
    <t>звалювання аварійних  та сухостійних дерев на прибудинкових територіях житлового фонду комунальної власності</t>
  </si>
  <si>
    <t>проведення державної повірки приладів обліку теплової енергії, які встановлені у жилому фонді комунальної власності</t>
  </si>
  <si>
    <t>санітарне обрізування дерев на прибудинкових територіях житлового фонду комунальної власності</t>
  </si>
  <si>
    <t>виготовлення технічної документації житлових будинків для подальшої передачі в ОСББ,в тому числі:</t>
  </si>
  <si>
    <t>виготовлення (копії) інвентарних справ</t>
  </si>
  <si>
    <t>виготовлення (копії) технічних паспортів на будинки</t>
  </si>
  <si>
    <t>складання технічних паспортів на будинки</t>
  </si>
  <si>
    <t>виготовлення копії існуючих актів введення в експлуатацію або виписки із актів</t>
  </si>
  <si>
    <t xml:space="preserve">виготовлення технічних паспортів на ліфти з проведення експертизи </t>
  </si>
  <si>
    <t>виготовлення ситуаційного  плану з відображенням зовнішних мереж водопостачання та водовідведення</t>
  </si>
  <si>
    <t>знесення ветхих житлових будинків тому числі:</t>
  </si>
  <si>
    <t xml:space="preserve"> роботи з демонтажу будівельних конструкцій та вивіз будівельного сміття</t>
  </si>
  <si>
    <t>проведення технічної інвентаризації</t>
  </si>
  <si>
    <t>проведення інвентаризації, виготовлення технічного паспорту на житлове приміщення (житловий блок) та внесення змін до технічної документації (інвентарної справи), виготовлення поверхового плану</t>
  </si>
  <si>
    <t>Капітальний ремонт нежитлового будинку по вул. Артема, 50 в м. Запоріжжя</t>
  </si>
  <si>
    <t xml:space="preserve">Впровадження засобів обліку витрат та регулювання споживання води та теплової енергії </t>
  </si>
  <si>
    <t>Впровадження засобів обліку витрат та регулювання споживання води та теплової енергії , в тому числі:</t>
  </si>
  <si>
    <t>оснащення інженерних вводів багатоквартирних будинків засобами обліку теплової енергії</t>
  </si>
  <si>
    <t>забезпечення  будівництва та реконструкції об'єктів</t>
  </si>
  <si>
    <t>департамент економічного розвитку Запорізької міської ради</t>
  </si>
  <si>
    <t>Здійснення заходів з упередження аварій та техногенних катастроф</t>
  </si>
  <si>
    <t xml:space="preserve">реконструкція магістральних мереж теплопостачання </t>
  </si>
  <si>
    <t>Фінансова підтримка комунальних підприємств на поповнення обігових коштів</t>
  </si>
  <si>
    <t>виготовлення та встановлення інформаційних знаків, табличок з позначенням будинків та вулиць міста</t>
  </si>
  <si>
    <t>Придбання обладнання і предметів довгострокового користування</t>
  </si>
  <si>
    <t>Придбання обладнання і предметів довгострокового користування, в тому числі:</t>
  </si>
  <si>
    <t>придбання комп'ютерної техніки та інших предметів довгострокового користування</t>
  </si>
  <si>
    <t>до Програми розвитку та утримання житлово-комунального господарства м. Запоріжжя на 2016-2018 роки</t>
  </si>
  <si>
    <t>до Програми розвитку та утримання житлово-комунального господарства              м. Запоріжжя на 2016-2018 роки</t>
  </si>
  <si>
    <t>виконання Програми розвитку та утримання житлово-комунального господарства м. Запоріжжя на 2016-2018 роки</t>
  </si>
  <si>
    <t>Головний розпорядник бюджетних коштів - департамент житлово-комунального господарства Запорізької міської ради</t>
  </si>
  <si>
    <t>будинок</t>
  </si>
  <si>
    <t>тис.п.м.</t>
  </si>
  <si>
    <t>капітальний ремонт будинків для передачі  в управління  створеним ОСББ</t>
  </si>
  <si>
    <t>оплата за виконані роботи з капітального ремонту житлового фонду у 2015 році</t>
  </si>
  <si>
    <t>башт</t>
  </si>
  <si>
    <t>тис.од.</t>
  </si>
  <si>
    <t>Головний розпорядник бюджетних коштів - департамент економічного розвитку Запорізької міської ради Запорізької міської ради</t>
  </si>
  <si>
    <t>Програми розвитку та утримання житлово-комунального господарства м. Запоріжжя на 2016-2018 роки</t>
  </si>
  <si>
    <t>до Програми розвитку та утримання житлово-комунального господарства        м. Запоріжжя на 2016-2018 роки</t>
  </si>
  <si>
    <t>ремонт нежитлового приміщення під дитячу кімнату у житловому будинку по пр. Соборний,81</t>
  </si>
  <si>
    <t>Органи місцевого самоврядування</t>
  </si>
  <si>
    <t>Оплата послуг (крім комунальних)</t>
  </si>
  <si>
    <t>Оплата послуг з технічного обслуговування обладнання та адміністрування програмного забезпечення</t>
  </si>
  <si>
    <t>капітальний ремонт систем димовидалення та пожежогасіння</t>
  </si>
  <si>
    <t>проведення технічного нагляду по відновленню асфальтового покриття прибудинкових територій та внутрішньоквартальних проїздів</t>
  </si>
  <si>
    <t>послуги</t>
  </si>
  <si>
    <t>Забезпечення житлом окремих категорій населення, в тому числі:</t>
  </si>
  <si>
    <t>Будівництво та придбання житла для окремих категорій населення</t>
  </si>
  <si>
    <r>
      <t xml:space="preserve">поповнення обігових коштів комунальних підприємств для виплати заробітної плати з нарахуваннями, </t>
    </r>
    <r>
      <rPr>
        <sz val="10"/>
        <color indexed="10"/>
        <rFont val="Times New Roman"/>
        <family val="1"/>
      </rPr>
      <t xml:space="preserve">у тому числі перших п'яти днів тимчасової непрацездатності, оплати заборгованості за спожитий природний газ, за електричну енергію </t>
    </r>
    <r>
      <rPr>
        <sz val="10"/>
        <color indexed="8"/>
        <rFont val="Times New Roman"/>
        <family val="1"/>
      </rPr>
      <t>та погашення іншої кредиторської заборгованості</t>
    </r>
  </si>
  <si>
    <t>Фінансова підтримка комунальних підприємств на поповнення обігових коштів для виплати поточної та простроченої заробітної плати з нарахуваннями, оплати за поточне споживання та погашення кредиторської заборгованості за енергоносії,   оплата заборгованості по податкам та зборам, оплата заборгованості перед іншими кредиторами, в тому числі:</t>
  </si>
  <si>
    <t>поповнення обігових коштів комунальних підприємств для виплати заробітної плати з нарахуваннями, у тому числі перших п'яти днів тимчасової непрацездатності, оплати за поточне споживання та погашення кредиторської заборгованості за енергоносії, оплата заборгованості по податкам та зборам, оплата заборгованості перед іншими кредиторами.</t>
  </si>
  <si>
    <t>од</t>
  </si>
  <si>
    <t>встановлення малих архітектурних формна прибудинковій території (лавок та урн )</t>
  </si>
  <si>
    <t>встановлення малих архітектурних формна прибудинковій території (лавки та урни )</t>
  </si>
  <si>
    <t>благоустрій прибудинкової території (заміна сходових маршів)</t>
  </si>
  <si>
    <t>внески у статутні капітали комунальних  підприємств міста (придбання спеціальної техніки), в тому числі:</t>
  </si>
  <si>
    <t>Комунальне підприємство "Водоканал"</t>
  </si>
  <si>
    <t>внески у статутні капітали комунальних  підприємств міста (придбання спеціальної техніки)</t>
  </si>
  <si>
    <t>гуртожитків?</t>
  </si>
  <si>
    <t xml:space="preserve">Забезпечення придбання житла для окремих категорій населеня </t>
  </si>
  <si>
    <t>послуги з проведення інвентаризації нежитлових  приміщень, гуртожитків та  виготовлення технічних паспортів з внесенням поточних змін на підставі наявних інвентаризаційних матеріалів</t>
  </si>
  <si>
    <t xml:space="preserve">Забезпечення придбання житла для окремих категорій населення </t>
  </si>
  <si>
    <t>25.08.2016 №41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</si>
</sst>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00"/>
    <numFmt numFmtId="205" formatCode="0.000"/>
    <numFmt numFmtId="206" formatCode="0.0"/>
    <numFmt numFmtId="207" formatCode="#,##0.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0.00000000"/>
    <numFmt numFmtId="213" formatCode="0.0000000"/>
    <numFmt numFmtId="214" formatCode="0.000000"/>
    <numFmt numFmtId="215" formatCode="0.00000"/>
    <numFmt numFmtId="216" formatCode="0.0000"/>
    <numFmt numFmtId="217" formatCode="#,##0.0000"/>
    <numFmt numFmtId="218" formatCode="[$-FC19]d\ mmmm\ yyyy\ &quot;г.&quot;"/>
    <numFmt numFmtId="219" formatCode="#,##0.00000"/>
    <numFmt numFmtId="220" formatCode="#,##0.000000"/>
  </numFmts>
  <fonts count="4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u val="single"/>
      <sz val="14"/>
      <name val="Times New Roman"/>
      <family val="1"/>
    </font>
    <font>
      <sz val="10"/>
      <name val="Arial Cyr"/>
      <family val="0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56"/>
      <name val="Times New Roman"/>
      <family val="1"/>
    </font>
    <font>
      <sz val="9"/>
      <color indexed="56"/>
      <name val="Times New Roman"/>
      <family val="1"/>
    </font>
    <font>
      <b/>
      <sz val="10"/>
      <color indexed="36"/>
      <name val="Times New Roman"/>
      <family val="1"/>
    </font>
    <font>
      <sz val="10"/>
      <color indexed="21"/>
      <name val="Times New Roman"/>
      <family val="1"/>
    </font>
    <font>
      <sz val="10"/>
      <color indexed="62"/>
      <name val="Times New Roman"/>
      <family val="1"/>
    </font>
    <font>
      <i/>
      <sz val="10"/>
      <color indexed="62"/>
      <name val="Times New Roman"/>
      <family val="1"/>
    </font>
    <font>
      <i/>
      <sz val="10"/>
      <color indexed="56"/>
      <name val="Times New Roman"/>
      <family val="1"/>
    </font>
    <font>
      <b/>
      <sz val="10"/>
      <color indexed="56"/>
      <name val="Times New Roman"/>
      <family val="1"/>
    </font>
    <font>
      <sz val="10"/>
      <color indexed="8"/>
      <name val="Arial"/>
      <family val="2"/>
    </font>
    <font>
      <b/>
      <u val="single"/>
      <sz val="1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7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8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16">
    <xf numFmtId="0" fontId="0" fillId="0" borderId="0" xfId="0" applyAlignment="1">
      <alignment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04" fontId="2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204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204" fontId="1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center" wrapText="1"/>
    </xf>
    <xf numFmtId="205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Alignment="1">
      <alignment vertical="center" wrapText="1"/>
    </xf>
    <xf numFmtId="204" fontId="3" fillId="0" borderId="10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205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top" wrapText="1"/>
    </xf>
    <xf numFmtId="204" fontId="12" fillId="0" borderId="10" xfId="0" applyNumberFormat="1" applyFont="1" applyFill="1" applyBorder="1" applyAlignment="1">
      <alignment horizontal="center" vertical="top" wrapText="1"/>
    </xf>
    <xf numFmtId="204" fontId="30" fillId="0" borderId="10" xfId="0" applyNumberFormat="1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0" xfId="0" applyFont="1" applyFill="1" applyAlignment="1">
      <alignment horizontal="center" vertical="top" wrapText="1"/>
    </xf>
    <xf numFmtId="0" fontId="31" fillId="0" borderId="0" xfId="0" applyFont="1" applyFill="1" applyAlignment="1">
      <alignment horizontal="center" vertical="top" wrapText="1"/>
    </xf>
    <xf numFmtId="0" fontId="30" fillId="0" borderId="10" xfId="0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horizontal="center" vertical="top" wrapText="1"/>
    </xf>
    <xf numFmtId="0" fontId="30" fillId="0" borderId="0" xfId="0" applyFont="1" applyFill="1" applyAlignment="1">
      <alignment horizontal="center" vertical="top" wrapText="1"/>
    </xf>
    <xf numFmtId="204" fontId="1" fillId="0" borderId="0" xfId="0" applyNumberFormat="1" applyFont="1" applyFill="1" applyAlignment="1">
      <alignment horizontal="center" vertical="center" wrapText="1"/>
    </xf>
    <xf numFmtId="0" fontId="12" fillId="0" borderId="10" xfId="0" applyFont="1" applyFill="1" applyBorder="1" applyAlignment="1">
      <alignment vertical="top" wrapText="1"/>
    </xf>
    <xf numFmtId="204" fontId="11" fillId="0" borderId="0" xfId="0" applyNumberFormat="1" applyFont="1" applyFill="1" applyAlignment="1">
      <alignment vertical="top" wrapText="1"/>
    </xf>
    <xf numFmtId="0" fontId="11" fillId="0" borderId="0" xfId="0" applyFont="1" applyFill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vertical="top" wrapText="1"/>
    </xf>
    <xf numFmtId="0" fontId="32" fillId="0" borderId="0" xfId="0" applyFont="1" applyFill="1" applyAlignment="1">
      <alignment horizontal="left" vertical="top" wrapText="1"/>
    </xf>
    <xf numFmtId="0" fontId="31" fillId="0" borderId="0" xfId="0" applyFont="1" applyFill="1" applyAlignment="1">
      <alignment vertical="top" wrapText="1"/>
    </xf>
    <xf numFmtId="0" fontId="32" fillId="0" borderId="0" xfId="0" applyFont="1" applyFill="1" applyAlignment="1">
      <alignment horizontal="center" vertical="top" wrapText="1"/>
    </xf>
    <xf numFmtId="0" fontId="33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center" wrapText="1"/>
    </xf>
    <xf numFmtId="1" fontId="12" fillId="0" borderId="10" xfId="0" applyNumberFormat="1" applyFont="1" applyFill="1" applyBorder="1" applyAlignment="1">
      <alignment horizontal="left" vertical="center" wrapText="1"/>
    </xf>
    <xf numFmtId="1" fontId="33" fillId="0" borderId="10" xfId="0" applyNumberFormat="1" applyFont="1" applyFill="1" applyBorder="1" applyAlignment="1">
      <alignment horizontal="left" vertical="center" wrapText="1"/>
    </xf>
    <xf numFmtId="204" fontId="33" fillId="0" borderId="10" xfId="0" applyNumberFormat="1" applyFont="1" applyFill="1" applyBorder="1" applyAlignment="1">
      <alignment horizontal="center" vertical="top" wrapText="1"/>
    </xf>
    <xf numFmtId="204" fontId="33" fillId="0" borderId="10" xfId="54" applyNumberFormat="1" applyFont="1" applyFill="1" applyBorder="1" applyAlignment="1">
      <alignment horizontal="center" vertical="top"/>
      <protection/>
    </xf>
    <xf numFmtId="2" fontId="12" fillId="0" borderId="10" xfId="0" applyNumberFormat="1" applyFont="1" applyFill="1" applyBorder="1" applyAlignment="1">
      <alignment horizontal="left" vertical="center" wrapText="1"/>
    </xf>
    <xf numFmtId="204" fontId="12" fillId="0" borderId="10" xfId="54" applyNumberFormat="1" applyFont="1" applyFill="1" applyBorder="1" applyAlignment="1">
      <alignment horizontal="center" vertical="top"/>
      <protection/>
    </xf>
    <xf numFmtId="2" fontId="33" fillId="0" borderId="10" xfId="0" applyNumberFormat="1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30" fillId="0" borderId="12" xfId="0" applyFont="1" applyFill="1" applyBorder="1" applyAlignment="1">
      <alignment vertical="top" wrapText="1"/>
    </xf>
    <xf numFmtId="0" fontId="30" fillId="0" borderId="13" xfId="0" applyFont="1" applyFill="1" applyBorder="1" applyAlignment="1">
      <alignment vertical="top" wrapText="1"/>
    </xf>
    <xf numFmtId="0" fontId="30" fillId="0" borderId="10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top" wrapText="1"/>
    </xf>
    <xf numFmtId="204" fontId="12" fillId="0" borderId="12" xfId="0" applyNumberFormat="1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 vertical="top" wrapText="1"/>
    </xf>
    <xf numFmtId="0" fontId="34" fillId="0" borderId="0" xfId="0" applyFont="1" applyFill="1" applyAlignment="1">
      <alignment horizontal="center" vertical="top" wrapText="1"/>
    </xf>
    <xf numFmtId="0" fontId="30" fillId="0" borderId="0" xfId="0" applyFont="1" applyFill="1" applyBorder="1" applyAlignment="1">
      <alignment vertical="top" wrapText="1"/>
    </xf>
    <xf numFmtId="204" fontId="30" fillId="0" borderId="0" xfId="0" applyNumberFormat="1" applyFont="1" applyFill="1" applyBorder="1" applyAlignment="1">
      <alignment horizontal="center" vertical="top" wrapText="1"/>
    </xf>
    <xf numFmtId="0" fontId="30" fillId="0" borderId="0" xfId="0" applyFont="1" applyFill="1" applyAlignment="1">
      <alignment vertical="top" wrapText="1"/>
    </xf>
    <xf numFmtId="204" fontId="30" fillId="0" borderId="0" xfId="0" applyNumberFormat="1" applyFont="1" applyFill="1" applyAlignment="1">
      <alignment horizontal="center" vertical="top" wrapText="1"/>
    </xf>
    <xf numFmtId="204" fontId="31" fillId="0" borderId="0" xfId="0" applyNumberFormat="1" applyFont="1" applyFill="1" applyAlignment="1">
      <alignment horizontal="center" vertical="top" wrapText="1"/>
    </xf>
    <xf numFmtId="204" fontId="12" fillId="0" borderId="0" xfId="0" applyNumberFormat="1" applyFont="1" applyFill="1" applyAlignment="1">
      <alignment horizontal="center" vertical="top" wrapText="1"/>
    </xf>
    <xf numFmtId="0" fontId="30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205" fontId="12" fillId="0" borderId="10" xfId="0" applyNumberFormat="1" applyFont="1" applyFill="1" applyBorder="1" applyAlignment="1">
      <alignment horizontal="center" vertical="top" wrapText="1"/>
    </xf>
    <xf numFmtId="1" fontId="12" fillId="0" borderId="10" xfId="0" applyNumberFormat="1" applyFont="1" applyFill="1" applyBorder="1" applyAlignment="1">
      <alignment horizontal="center" vertical="top" wrapText="1"/>
    </xf>
    <xf numFmtId="3" fontId="12" fillId="0" borderId="13" xfId="0" applyNumberFormat="1" applyFont="1" applyFill="1" applyBorder="1" applyAlignment="1">
      <alignment horizontal="center" vertical="top" wrapText="1"/>
    </xf>
    <xf numFmtId="207" fontId="12" fillId="0" borderId="10" xfId="0" applyNumberFormat="1" applyFont="1" applyFill="1" applyBorder="1" applyAlignment="1">
      <alignment horizontal="center" vertical="top" wrapText="1"/>
    </xf>
    <xf numFmtId="1" fontId="12" fillId="0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3" fontId="33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top" wrapText="1"/>
    </xf>
    <xf numFmtId="216" fontId="12" fillId="0" borderId="10" xfId="0" applyNumberFormat="1" applyFont="1" applyFill="1" applyBorder="1" applyAlignment="1">
      <alignment horizontal="center" vertical="top" wrapText="1"/>
    </xf>
    <xf numFmtId="206" fontId="12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left" vertical="top" wrapText="1"/>
    </xf>
    <xf numFmtId="3" fontId="35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top" wrapText="1"/>
    </xf>
    <xf numFmtId="0" fontId="12" fillId="0" borderId="0" xfId="0" applyNumberFormat="1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 vertical="top" wrapText="1"/>
    </xf>
    <xf numFmtId="1" fontId="12" fillId="0" borderId="0" xfId="0" applyNumberFormat="1" applyFont="1" applyFill="1" applyBorder="1" applyAlignment="1">
      <alignment horizontal="center" vertical="top" wrapText="1"/>
    </xf>
    <xf numFmtId="0" fontId="31" fillId="0" borderId="0" xfId="0" applyFont="1" applyFill="1" applyAlignment="1">
      <alignment vertical="center" wrapText="1"/>
    </xf>
    <xf numFmtId="204" fontId="36" fillId="0" borderId="10" xfId="0" applyNumberFormat="1" applyFont="1" applyFill="1" applyBorder="1" applyAlignment="1">
      <alignment horizontal="center" vertical="top" wrapText="1"/>
    </xf>
    <xf numFmtId="3" fontId="37" fillId="0" borderId="10" xfId="0" applyNumberFormat="1" applyFont="1" applyFill="1" applyBorder="1" applyAlignment="1">
      <alignment horizontal="center" vertical="center" wrapText="1"/>
    </xf>
    <xf numFmtId="204" fontId="11" fillId="0" borderId="10" xfId="0" applyNumberFormat="1" applyFont="1" applyFill="1" applyBorder="1" applyAlignment="1">
      <alignment horizontal="center" vertical="top" wrapText="1"/>
    </xf>
    <xf numFmtId="0" fontId="36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204" fontId="38" fillId="0" borderId="10" xfId="0" applyNumberFormat="1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center" vertical="center" wrapText="1"/>
    </xf>
    <xf numFmtId="0" fontId="12" fillId="24" borderId="12" xfId="0" applyFont="1" applyFill="1" applyBorder="1" applyAlignment="1">
      <alignment vertical="top" wrapText="1"/>
    </xf>
    <xf numFmtId="0" fontId="36" fillId="0" borderId="12" xfId="0" applyFont="1" applyFill="1" applyBorder="1" applyAlignment="1">
      <alignment vertical="top" wrapText="1"/>
    </xf>
    <xf numFmtId="204" fontId="40" fillId="0" borderId="10" xfId="0" applyNumberFormat="1" applyFont="1" applyFill="1" applyBorder="1" applyAlignment="1">
      <alignment horizontal="center" vertical="top" wrapText="1"/>
    </xf>
    <xf numFmtId="0" fontId="40" fillId="0" borderId="10" xfId="0" applyFont="1" applyFill="1" applyBorder="1" applyAlignment="1">
      <alignment horizontal="center" vertical="top" wrapText="1"/>
    </xf>
    <xf numFmtId="0" fontId="40" fillId="0" borderId="0" xfId="0" applyFont="1" applyFill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top" wrapText="1"/>
    </xf>
    <xf numFmtId="0" fontId="36" fillId="0" borderId="10" xfId="0" applyFont="1" applyFill="1" applyBorder="1" applyAlignment="1">
      <alignment horizontal="center" vertical="top" wrapText="1"/>
    </xf>
    <xf numFmtId="204" fontId="41" fillId="0" borderId="12" xfId="0" applyNumberFormat="1" applyFont="1" applyFill="1" applyBorder="1" applyAlignment="1">
      <alignment horizontal="center" vertical="top" wrapText="1"/>
    </xf>
    <xf numFmtId="0" fontId="41" fillId="0" borderId="0" xfId="0" applyFont="1" applyFill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204" fontId="30" fillId="0" borderId="16" xfId="0" applyNumberFormat="1" applyFont="1" applyFill="1" applyBorder="1" applyAlignment="1">
      <alignment horizontal="center" vertical="top" wrapText="1"/>
    </xf>
    <xf numFmtId="204" fontId="12" fillId="0" borderId="17" xfId="0" applyNumberFormat="1" applyFont="1" applyFill="1" applyBorder="1" applyAlignment="1">
      <alignment horizontal="center" vertical="top" wrapText="1"/>
    </xf>
    <xf numFmtId="0" fontId="36" fillId="24" borderId="15" xfId="0" applyFont="1" applyFill="1" applyBorder="1" applyAlignment="1">
      <alignment vertical="top" wrapText="1"/>
    </xf>
    <xf numFmtId="0" fontId="42" fillId="0" borderId="10" xfId="0" applyFont="1" applyFill="1" applyBorder="1" applyAlignment="1">
      <alignment vertical="top" wrapText="1"/>
    </xf>
    <xf numFmtId="204" fontId="42" fillId="0" borderId="12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43" fillId="0" borderId="16" xfId="0" applyFont="1" applyFill="1" applyBorder="1" applyAlignment="1">
      <alignment horizontal="center" vertical="top" wrapText="1"/>
    </xf>
    <xf numFmtId="0" fontId="43" fillId="0" borderId="18" xfId="0" applyFont="1" applyFill="1" applyBorder="1" applyAlignment="1">
      <alignment horizontal="center" vertical="top" wrapText="1"/>
    </xf>
    <xf numFmtId="0" fontId="43" fillId="0" borderId="11" xfId="0" applyFont="1" applyFill="1" applyBorder="1" applyAlignment="1">
      <alignment horizontal="center" vertical="top" wrapText="1"/>
    </xf>
    <xf numFmtId="0" fontId="36" fillId="0" borderId="16" xfId="0" applyFont="1" applyFill="1" applyBorder="1" applyAlignment="1">
      <alignment horizontal="center" vertical="center" wrapText="1"/>
    </xf>
    <xf numFmtId="3" fontId="36" fillId="0" borderId="10" xfId="0" applyNumberFormat="1" applyFont="1" applyFill="1" applyBorder="1" applyAlignment="1">
      <alignment horizontal="center" vertical="top" wrapText="1"/>
    </xf>
    <xf numFmtId="0" fontId="36" fillId="0" borderId="10" xfId="0" applyFont="1" applyFill="1" applyBorder="1" applyAlignment="1">
      <alignment vertical="top" wrapText="1"/>
    </xf>
    <xf numFmtId="204" fontId="43" fillId="0" borderId="10" xfId="0" applyNumberFormat="1" applyFont="1" applyFill="1" applyBorder="1" applyAlignment="1">
      <alignment horizontal="center" vertical="top" wrapText="1"/>
    </xf>
    <xf numFmtId="204" fontId="43" fillId="0" borderId="10" xfId="0" applyNumberFormat="1" applyFont="1" applyBorder="1" applyAlignment="1">
      <alignment horizontal="center" vertical="top" wrapText="1"/>
    </xf>
    <xf numFmtId="204" fontId="36" fillId="0" borderId="10" xfId="0" applyNumberFormat="1" applyFont="1" applyFill="1" applyBorder="1" applyAlignment="1">
      <alignment horizontal="center" vertical="top" wrapText="1"/>
    </xf>
    <xf numFmtId="0" fontId="36" fillId="0" borderId="10" xfId="0" applyFont="1" applyFill="1" applyBorder="1" applyAlignment="1">
      <alignment horizontal="left" vertical="top" wrapText="1"/>
    </xf>
    <xf numFmtId="204" fontId="1" fillId="0" borderId="10" xfId="54" applyNumberFormat="1" applyFont="1" applyFill="1" applyBorder="1" applyAlignment="1">
      <alignment horizontal="center" vertical="top"/>
      <protection/>
    </xf>
    <xf numFmtId="0" fontId="36" fillId="0" borderId="10" xfId="0" applyNumberFormat="1" applyFont="1" applyFill="1" applyBorder="1" applyAlignment="1">
      <alignment horizontal="left" vertical="top" wrapText="1"/>
    </xf>
    <xf numFmtId="1" fontId="36" fillId="0" borderId="10" xfId="0" applyNumberFormat="1" applyFont="1" applyFill="1" applyBorder="1" applyAlignment="1">
      <alignment horizontal="center" vertical="top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2" fontId="36" fillId="0" borderId="10" xfId="0" applyNumberFormat="1" applyFont="1" applyFill="1" applyBorder="1" applyAlignment="1">
      <alignment horizontal="left" vertical="center" wrapText="1"/>
    </xf>
    <xf numFmtId="204" fontId="42" fillId="0" borderId="10" xfId="54" applyNumberFormat="1" applyFont="1" applyFill="1" applyBorder="1" applyAlignment="1">
      <alignment horizontal="center" vertical="top"/>
      <protection/>
    </xf>
    <xf numFmtId="204" fontId="36" fillId="0" borderId="10" xfId="54" applyNumberFormat="1" applyFont="1" applyFill="1" applyBorder="1" applyAlignment="1">
      <alignment horizontal="center" vertical="top"/>
      <protection/>
    </xf>
    <xf numFmtId="3" fontId="36" fillId="0" borderId="10" xfId="0" applyNumberFormat="1" applyFont="1" applyFill="1" applyBorder="1" applyAlignment="1">
      <alignment horizontal="center" vertical="center" wrapText="1"/>
    </xf>
    <xf numFmtId="206" fontId="36" fillId="0" borderId="10" xfId="0" applyNumberFormat="1" applyFont="1" applyFill="1" applyBorder="1" applyAlignment="1">
      <alignment horizontal="center" vertical="top" wrapText="1"/>
    </xf>
    <xf numFmtId="205" fontId="36" fillId="0" borderId="10" xfId="0" applyNumberFormat="1" applyFont="1" applyFill="1" applyBorder="1" applyAlignment="1">
      <alignment horizontal="center" vertical="top" wrapText="1"/>
    </xf>
    <xf numFmtId="0" fontId="32" fillId="0" borderId="19" xfId="0" applyFont="1" applyFill="1" applyBorder="1" applyAlignment="1">
      <alignment horizontal="left" vertical="top" wrapText="1"/>
    </xf>
    <xf numFmtId="0" fontId="32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top" wrapText="1"/>
    </xf>
    <xf numFmtId="0" fontId="30" fillId="0" borderId="13" xfId="0" applyFont="1" applyBorder="1" applyAlignment="1">
      <alignment horizontal="left" vertical="top" wrapText="1"/>
    </xf>
    <xf numFmtId="0" fontId="30" fillId="0" borderId="10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/>
    </xf>
    <xf numFmtId="0" fontId="31" fillId="0" borderId="0" xfId="0" applyFont="1" applyFill="1" applyAlignment="1">
      <alignment horizontal="left" vertical="top" wrapText="1"/>
    </xf>
    <xf numFmtId="0" fontId="43" fillId="0" borderId="16" xfId="0" applyFont="1" applyFill="1" applyBorder="1" applyAlignment="1">
      <alignment horizontal="center" vertical="top" wrapText="1"/>
    </xf>
    <xf numFmtId="0" fontId="43" fillId="0" borderId="18" xfId="0" applyFont="1" applyFill="1" applyBorder="1" applyAlignment="1">
      <alignment horizontal="center" vertical="top" wrapText="1"/>
    </xf>
    <xf numFmtId="0" fontId="43" fillId="0" borderId="11" xfId="0" applyFont="1" applyFill="1" applyBorder="1" applyAlignment="1">
      <alignment horizontal="center" vertical="top" wrapText="1"/>
    </xf>
    <xf numFmtId="0" fontId="43" fillId="0" borderId="12" xfId="0" applyFont="1" applyFill="1" applyBorder="1" applyAlignment="1">
      <alignment horizontal="left" vertical="top" wrapText="1"/>
    </xf>
    <xf numFmtId="0" fontId="43" fillId="0" borderId="14" xfId="0" applyFont="1" applyFill="1" applyBorder="1" applyAlignment="1">
      <alignment horizontal="left" vertical="top" wrapText="1"/>
    </xf>
    <xf numFmtId="0" fontId="30" fillId="0" borderId="17" xfId="0" applyFont="1" applyFill="1" applyBorder="1" applyAlignment="1">
      <alignment horizontal="center" vertical="top" wrapText="1"/>
    </xf>
    <xf numFmtId="0" fontId="30" fillId="0" borderId="15" xfId="0" applyFont="1" applyFill="1" applyBorder="1" applyAlignment="1">
      <alignment horizontal="center" vertical="top" wrapText="1"/>
    </xf>
    <xf numFmtId="0" fontId="30" fillId="0" borderId="21" xfId="0" applyFont="1" applyFill="1" applyBorder="1" applyAlignment="1">
      <alignment horizontal="center" vertical="top" wrapText="1"/>
    </xf>
    <xf numFmtId="0" fontId="45" fillId="0" borderId="19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left" vertical="top" wrapText="1"/>
    </xf>
    <xf numFmtId="0" fontId="34" fillId="0" borderId="0" xfId="0" applyFont="1" applyFill="1" applyAlignment="1">
      <alignment horizontal="center" vertical="top" wrapText="1"/>
    </xf>
    <xf numFmtId="0" fontId="30" fillId="0" borderId="12" xfId="0" applyFont="1" applyFill="1" applyBorder="1" applyAlignment="1">
      <alignment vertical="top" wrapText="1"/>
    </xf>
    <xf numFmtId="0" fontId="30" fillId="0" borderId="14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horizontal="left" vertical="top" wrapText="1"/>
    </xf>
    <xf numFmtId="0" fontId="30" fillId="0" borderId="13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36" fillId="25" borderId="12" xfId="0" applyFont="1" applyFill="1" applyBorder="1" applyAlignment="1">
      <alignment horizontal="center" vertical="center" wrapText="1"/>
    </xf>
    <xf numFmtId="0" fontId="36" fillId="25" borderId="14" xfId="0" applyFont="1" applyFill="1" applyBorder="1" applyAlignment="1">
      <alignment horizontal="center" vertical="center" wrapText="1"/>
    </xf>
    <xf numFmtId="204" fontId="12" fillId="0" borderId="12" xfId="0" applyNumberFormat="1" applyFont="1" applyFill="1" applyBorder="1" applyAlignment="1">
      <alignment horizontal="center" vertical="top" wrapText="1"/>
    </xf>
    <xf numFmtId="204" fontId="12" fillId="0" borderId="13" xfId="0" applyNumberFormat="1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 horizontal="left" vertical="top" wrapText="1"/>
    </xf>
    <xf numFmtId="0" fontId="30" fillId="0" borderId="16" xfId="0" applyFont="1" applyFill="1" applyBorder="1" applyAlignment="1">
      <alignment horizontal="center" vertical="top" wrapText="1"/>
    </xf>
    <xf numFmtId="0" fontId="30" fillId="0" borderId="18" xfId="0" applyFont="1" applyFill="1" applyBorder="1" applyAlignment="1">
      <alignment horizontal="center" vertical="top" wrapText="1"/>
    </xf>
    <xf numFmtId="0" fontId="30" fillId="0" borderId="11" xfId="0" applyFont="1" applyFill="1" applyBorder="1" applyAlignment="1">
      <alignment horizontal="center" vertical="top" wrapText="1"/>
    </xf>
    <xf numFmtId="0" fontId="30" fillId="24" borderId="16" xfId="0" applyFont="1" applyFill="1" applyBorder="1" applyAlignment="1">
      <alignment horizontal="center" vertical="top" wrapText="1"/>
    </xf>
    <xf numFmtId="0" fontId="30" fillId="24" borderId="18" xfId="0" applyFont="1" applyFill="1" applyBorder="1" applyAlignment="1">
      <alignment horizontal="center" vertical="top" wrapText="1"/>
    </xf>
    <xf numFmtId="0" fontId="30" fillId="24" borderId="11" xfId="0" applyFont="1" applyFill="1" applyBorder="1" applyAlignment="1">
      <alignment horizontal="center" vertical="top" wrapText="1"/>
    </xf>
    <xf numFmtId="204" fontId="1" fillId="0" borderId="12" xfId="0" applyNumberFormat="1" applyFont="1" applyFill="1" applyBorder="1" applyAlignment="1">
      <alignment horizontal="center" vertical="top" wrapText="1"/>
    </xf>
    <xf numFmtId="204" fontId="1" fillId="0" borderId="13" xfId="0" applyNumberFormat="1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top" wrapText="1"/>
    </xf>
    <xf numFmtId="0" fontId="30" fillId="0" borderId="14" xfId="0" applyFont="1" applyFill="1" applyBorder="1" applyAlignment="1">
      <alignment horizontal="left" vertical="top" wrapText="1"/>
    </xf>
    <xf numFmtId="0" fontId="30" fillId="0" borderId="10" xfId="0" applyFont="1" applyFill="1" applyBorder="1" applyAlignment="1">
      <alignment vertical="top" wrapText="1"/>
    </xf>
    <xf numFmtId="0" fontId="36" fillId="0" borderId="18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left" vertical="top" wrapText="1"/>
    </xf>
    <xf numFmtId="0" fontId="43" fillId="0" borderId="14" xfId="0" applyFont="1" applyFill="1" applyBorder="1" applyAlignment="1">
      <alignment horizontal="left" vertical="top" wrapText="1"/>
    </xf>
    <xf numFmtId="0" fontId="30" fillId="0" borderId="13" xfId="0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3" fontId="12" fillId="0" borderId="12" xfId="0" applyNumberFormat="1" applyFont="1" applyFill="1" applyBorder="1" applyAlignment="1">
      <alignment horizontal="center" vertical="top" wrapText="1"/>
    </xf>
    <xf numFmtId="3" fontId="12" fillId="0" borderId="13" xfId="0" applyNumberFormat="1" applyFont="1" applyFill="1" applyBorder="1" applyAlignment="1">
      <alignment horizontal="center" vertical="top" wrapText="1"/>
    </xf>
    <xf numFmtId="0" fontId="36" fillId="0" borderId="12" xfId="0" applyFont="1" applyFill="1" applyBorder="1" applyAlignment="1">
      <alignment horizontal="center" vertical="top" wrapText="1"/>
    </xf>
    <xf numFmtId="0" fontId="36" fillId="0" borderId="13" xfId="0" applyFont="1" applyFill="1" applyBorder="1" applyAlignment="1">
      <alignment horizontal="center" vertical="top" wrapText="1"/>
    </xf>
    <xf numFmtId="0" fontId="46" fillId="0" borderId="0" xfId="0" applyFont="1" applyFill="1" applyAlignment="1">
      <alignment horizontal="left" vertical="top" wrapText="1"/>
    </xf>
    <xf numFmtId="0" fontId="31" fillId="0" borderId="0" xfId="0" applyFont="1" applyFill="1" applyAlignment="1">
      <alignment horizontal="left" vertical="center" wrapText="1"/>
    </xf>
    <xf numFmtId="0" fontId="31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14" fontId="47" fillId="0" borderId="0" xfId="0" applyNumberFormat="1" applyFont="1" applyFill="1" applyAlignment="1">
      <alignment vertical="center" wrapText="1"/>
    </xf>
    <xf numFmtId="0" fontId="47" fillId="0" borderId="0" xfId="0" applyFont="1" applyFill="1" applyAlignment="1">
      <alignment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2014_розраухон потреби_16.09.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5:M110"/>
  <sheetViews>
    <sheetView tabSelected="1" view="pageBreakPreview" zoomScale="93" zoomScaleSheetLayoutView="93" zoomScalePageLayoutView="0" workbookViewId="0" topLeftCell="A82">
      <selection activeCell="E8" sqref="E8"/>
    </sheetView>
  </sheetViews>
  <sheetFormatPr defaultColWidth="9.140625" defaultRowHeight="12.75"/>
  <cols>
    <col min="1" max="1" width="25.57421875" style="47" customWidth="1"/>
    <col min="2" max="2" width="28.421875" style="47" customWidth="1"/>
    <col min="3" max="3" width="22.7109375" style="32" customWidth="1"/>
    <col min="4" max="4" width="22.28125" style="32" customWidth="1"/>
    <col min="5" max="5" width="14.8515625" style="32" customWidth="1"/>
    <col min="6" max="6" width="13.57421875" style="32" customWidth="1"/>
    <col min="7" max="7" width="11.7109375" style="32" customWidth="1"/>
    <col min="8" max="8" width="17.140625" style="32" customWidth="1"/>
    <col min="9" max="9" width="24.28125" style="2" customWidth="1"/>
    <col min="10" max="10" width="11.140625" style="1" bestFit="1" customWidth="1"/>
    <col min="11" max="12" width="9.140625" style="1" customWidth="1"/>
    <col min="13" max="13" width="34.00390625" style="1" customWidth="1"/>
    <col min="14" max="16384" width="9.140625" style="1" customWidth="1"/>
  </cols>
  <sheetData>
    <row r="5" spans="6:8" ht="20.25">
      <c r="F5" s="168" t="s">
        <v>45</v>
      </c>
      <c r="G5" s="168"/>
      <c r="H5" s="168"/>
    </row>
    <row r="6" spans="6:8" ht="20.25">
      <c r="F6" s="168" t="s">
        <v>46</v>
      </c>
      <c r="G6" s="168"/>
      <c r="H6" s="168"/>
    </row>
    <row r="7" spans="6:8" ht="20.25">
      <c r="F7" s="166" t="s">
        <v>140</v>
      </c>
      <c r="G7" s="144"/>
      <c r="H7" s="144"/>
    </row>
    <row r="8" spans="6:8" ht="20.25">
      <c r="F8" s="48"/>
      <c r="G8" s="48"/>
      <c r="H8" s="48"/>
    </row>
    <row r="9" spans="1:9" s="15" customFormat="1" ht="20.25" customHeight="1">
      <c r="A9" s="49"/>
      <c r="B9" s="49"/>
      <c r="C9" s="33"/>
      <c r="D9" s="33"/>
      <c r="E9" s="33"/>
      <c r="F9" s="168" t="s">
        <v>7</v>
      </c>
      <c r="G9" s="168"/>
      <c r="H9" s="168"/>
      <c r="I9" s="16"/>
    </row>
    <row r="10" spans="1:9" s="15" customFormat="1" ht="96" customHeight="1">
      <c r="A10" s="49"/>
      <c r="B10" s="49"/>
      <c r="C10" s="33"/>
      <c r="D10" s="33"/>
      <c r="E10" s="33"/>
      <c r="F10" s="168" t="s">
        <v>104</v>
      </c>
      <c r="G10" s="168"/>
      <c r="H10" s="168"/>
      <c r="I10" s="16"/>
    </row>
    <row r="12" spans="1:9" s="15" customFormat="1" ht="20.25">
      <c r="A12" s="169" t="s">
        <v>6</v>
      </c>
      <c r="B12" s="169"/>
      <c r="C12" s="169"/>
      <c r="D12" s="169"/>
      <c r="E12" s="169"/>
      <c r="F12" s="169"/>
      <c r="G12" s="169"/>
      <c r="H12" s="169"/>
      <c r="I12" s="16"/>
    </row>
    <row r="13" spans="1:8" s="15" customFormat="1" ht="20.25">
      <c r="A13" s="145" t="s">
        <v>57</v>
      </c>
      <c r="B13" s="145"/>
      <c r="C13" s="145"/>
      <c r="D13" s="145"/>
      <c r="E13" s="145"/>
      <c r="F13" s="145"/>
      <c r="G13" s="145"/>
      <c r="H13" s="145"/>
    </row>
    <row r="14" spans="1:8" s="15" customFormat="1" ht="9.75" customHeight="1">
      <c r="A14" s="50"/>
      <c r="B14" s="50"/>
      <c r="C14" s="50"/>
      <c r="D14" s="50"/>
      <c r="E14" s="50"/>
      <c r="F14" s="50"/>
      <c r="G14" s="50"/>
      <c r="H14" s="50"/>
    </row>
    <row r="15" spans="1:8" s="4" customFormat="1" ht="23.25" customHeight="1">
      <c r="A15" s="167" t="s">
        <v>0</v>
      </c>
      <c r="B15" s="167" t="s">
        <v>1</v>
      </c>
      <c r="C15" s="167" t="s">
        <v>2</v>
      </c>
      <c r="D15" s="167" t="s">
        <v>3</v>
      </c>
      <c r="E15" s="167" t="s">
        <v>33</v>
      </c>
      <c r="F15" s="167"/>
      <c r="G15" s="167"/>
      <c r="H15" s="167"/>
    </row>
    <row r="16" spans="1:8" s="4" customFormat="1" ht="23.25" customHeight="1">
      <c r="A16" s="167"/>
      <c r="B16" s="167"/>
      <c r="C16" s="167"/>
      <c r="D16" s="167"/>
      <c r="E16" s="167" t="s">
        <v>4</v>
      </c>
      <c r="F16" s="167" t="s">
        <v>5</v>
      </c>
      <c r="G16" s="167"/>
      <c r="H16" s="167"/>
    </row>
    <row r="17" spans="1:8" s="4" customFormat="1" ht="12.75">
      <c r="A17" s="167"/>
      <c r="B17" s="167"/>
      <c r="C17" s="167"/>
      <c r="D17" s="167"/>
      <c r="E17" s="167"/>
      <c r="F17" s="43">
        <v>2016</v>
      </c>
      <c r="G17" s="43">
        <v>2017</v>
      </c>
      <c r="H17" s="43">
        <v>2018</v>
      </c>
    </row>
    <row r="18" spans="1:8" s="4" customFormat="1" ht="12.75">
      <c r="A18" s="43">
        <v>1</v>
      </c>
      <c r="B18" s="43">
        <v>2</v>
      </c>
      <c r="C18" s="43">
        <v>3</v>
      </c>
      <c r="D18" s="43">
        <v>4</v>
      </c>
      <c r="E18" s="43">
        <v>5</v>
      </c>
      <c r="F18" s="43">
        <v>6</v>
      </c>
      <c r="G18" s="43">
        <v>7</v>
      </c>
      <c r="H18" s="43">
        <v>8</v>
      </c>
    </row>
    <row r="19" spans="1:8" s="4" customFormat="1" ht="12.75">
      <c r="A19" s="187" t="s">
        <v>58</v>
      </c>
      <c r="B19" s="188"/>
      <c r="C19" s="188"/>
      <c r="D19" s="188"/>
      <c r="E19" s="188"/>
      <c r="F19" s="188"/>
      <c r="G19" s="188"/>
      <c r="H19" s="189"/>
    </row>
    <row r="20" spans="1:9" s="4" customFormat="1" ht="12.75" customHeight="1">
      <c r="A20" s="163" t="s">
        <v>59</v>
      </c>
      <c r="B20" s="45"/>
      <c r="C20" s="180" t="s">
        <v>60</v>
      </c>
      <c r="D20" s="180" t="s">
        <v>19</v>
      </c>
      <c r="E20" s="30">
        <f>SUM(E21:E38)-E34</f>
        <v>905323.8690000001</v>
      </c>
      <c r="F20" s="30">
        <f>SUM(F21:F38)-F34</f>
        <v>323854.491</v>
      </c>
      <c r="G20" s="30">
        <f>SUM(G21:G38)-G34</f>
        <v>270157.5</v>
      </c>
      <c r="H20" s="30">
        <f>SUM(H21:H38)-H34</f>
        <v>311311.878</v>
      </c>
      <c r="I20" s="37">
        <f>F20-F31-F32</f>
        <v>268036.394</v>
      </c>
    </row>
    <row r="21" spans="1:8" s="4" customFormat="1" ht="25.5">
      <c r="A21" s="164"/>
      <c r="B21" s="38" t="s">
        <v>61</v>
      </c>
      <c r="C21" s="180"/>
      <c r="D21" s="180"/>
      <c r="E21" s="29">
        <f aca="true" t="shared" si="0" ref="E21:E37">F21+G21+H21</f>
        <v>210405.63500000004</v>
      </c>
      <c r="F21" s="96">
        <f>67467.227-17156.862-13000+269.055+5733.179+2639+34730-767.434+22.52+788.187-265.49-6309.51-3219.198</f>
        <v>70930.67400000001</v>
      </c>
      <c r="G21" s="29">
        <v>73173.513</v>
      </c>
      <c r="H21" s="29">
        <v>66301.448</v>
      </c>
    </row>
    <row r="22" spans="1:8" s="4" customFormat="1" ht="25.5">
      <c r="A22" s="164"/>
      <c r="B22" s="38" t="s">
        <v>62</v>
      </c>
      <c r="C22" s="180"/>
      <c r="D22" s="180"/>
      <c r="E22" s="29">
        <f t="shared" si="0"/>
        <v>198261.836</v>
      </c>
      <c r="F22" s="7">
        <f>56537.374+403.071+73.93+20000</f>
        <v>77014.375</v>
      </c>
      <c r="G22" s="29">
        <v>50273.113</v>
      </c>
      <c r="H22" s="29">
        <v>70974.348</v>
      </c>
    </row>
    <row r="23" spans="1:8" s="4" customFormat="1" ht="25.5">
      <c r="A23" s="164"/>
      <c r="B23" s="38" t="s">
        <v>63</v>
      </c>
      <c r="C23" s="180"/>
      <c r="D23" s="180"/>
      <c r="E23" s="29">
        <f t="shared" si="0"/>
        <v>41690.132</v>
      </c>
      <c r="F23" s="7">
        <f>15000-457.868+1148</f>
        <v>15690.132</v>
      </c>
      <c r="G23" s="29">
        <v>12300</v>
      </c>
      <c r="H23" s="29">
        <v>13700</v>
      </c>
    </row>
    <row r="24" spans="1:8" s="4" customFormat="1" ht="12.75" customHeight="1" hidden="1">
      <c r="A24" s="164"/>
      <c r="B24" s="38"/>
      <c r="C24" s="180"/>
      <c r="D24" s="180"/>
      <c r="E24" s="29"/>
      <c r="F24" s="29"/>
      <c r="G24" s="29"/>
      <c r="H24" s="29"/>
    </row>
    <row r="25" spans="1:8" s="4" customFormat="1" ht="25.5">
      <c r="A25" s="164"/>
      <c r="B25" s="38" t="s">
        <v>64</v>
      </c>
      <c r="C25" s="180"/>
      <c r="D25" s="180"/>
      <c r="E25" s="29">
        <f t="shared" si="0"/>
        <v>3773.362</v>
      </c>
      <c r="F25" s="29">
        <v>3773.362</v>
      </c>
      <c r="G25" s="29">
        <v>0</v>
      </c>
      <c r="H25" s="29">
        <v>0</v>
      </c>
    </row>
    <row r="26" spans="1:8" s="4" customFormat="1" ht="12.75">
      <c r="A26" s="164"/>
      <c r="B26" s="38" t="s">
        <v>65</v>
      </c>
      <c r="C26" s="180"/>
      <c r="D26" s="180"/>
      <c r="E26" s="29">
        <f t="shared" si="0"/>
        <v>130</v>
      </c>
      <c r="F26" s="29">
        <v>130</v>
      </c>
      <c r="G26" s="29">
        <v>0</v>
      </c>
      <c r="H26" s="29">
        <v>0</v>
      </c>
    </row>
    <row r="27" spans="1:8" s="4" customFormat="1" ht="38.25">
      <c r="A27" s="164"/>
      <c r="B27" s="38" t="s">
        <v>66</v>
      </c>
      <c r="C27" s="180"/>
      <c r="D27" s="180"/>
      <c r="E27" s="29">
        <f t="shared" si="0"/>
        <v>217106.19</v>
      </c>
      <c r="F27" s="29">
        <f>20000+5786.8+53900</f>
        <v>79686.8</v>
      </c>
      <c r="G27" s="29">
        <v>63871</v>
      </c>
      <c r="H27" s="29">
        <v>73548.39</v>
      </c>
    </row>
    <row r="28" spans="1:10" s="4" customFormat="1" ht="25.5">
      <c r="A28" s="164"/>
      <c r="B28" s="6" t="s">
        <v>121</v>
      </c>
      <c r="C28" s="180"/>
      <c r="D28" s="180"/>
      <c r="E28" s="7">
        <f t="shared" si="0"/>
        <v>265.49</v>
      </c>
      <c r="F28" s="7">
        <v>265.49</v>
      </c>
      <c r="G28" s="7">
        <v>0</v>
      </c>
      <c r="H28" s="7">
        <v>0</v>
      </c>
      <c r="I28" s="26"/>
      <c r="J28" s="26"/>
    </row>
    <row r="29" spans="1:8" s="4" customFormat="1" ht="25.5">
      <c r="A29" s="164"/>
      <c r="B29" s="38" t="s">
        <v>67</v>
      </c>
      <c r="C29" s="180"/>
      <c r="D29" s="180"/>
      <c r="E29" s="29">
        <f t="shared" si="0"/>
        <v>10394.099</v>
      </c>
      <c r="F29" s="7">
        <f>9363.5+1030.599</f>
        <v>10394.099</v>
      </c>
      <c r="G29" s="29">
        <v>0</v>
      </c>
      <c r="H29" s="29">
        <v>0</v>
      </c>
    </row>
    <row r="30" spans="1:8" s="4" customFormat="1" ht="12.75">
      <c r="A30" s="164"/>
      <c r="B30" s="38" t="s">
        <v>68</v>
      </c>
      <c r="C30" s="180"/>
      <c r="D30" s="180"/>
      <c r="E30" s="29">
        <f t="shared" si="0"/>
        <v>22794.944</v>
      </c>
      <c r="F30" s="7">
        <f>6060.637-50</f>
        <v>6010.637</v>
      </c>
      <c r="G30" s="29">
        <v>9324.615</v>
      </c>
      <c r="H30" s="29">
        <v>7459.692</v>
      </c>
    </row>
    <row r="31" spans="1:8" s="4" customFormat="1" ht="25.5">
      <c r="A31" s="164"/>
      <c r="B31" s="38" t="s">
        <v>69</v>
      </c>
      <c r="C31" s="180"/>
      <c r="D31" s="180"/>
      <c r="E31" s="29">
        <f t="shared" si="0"/>
        <v>192564.698</v>
      </c>
      <c r="F31" s="96">
        <f>15000+29550.204+10000+661.235</f>
        <v>55211.439</v>
      </c>
      <c r="G31" s="29">
        <v>58825.259</v>
      </c>
      <c r="H31" s="29">
        <v>78528</v>
      </c>
    </row>
    <row r="32" spans="1:8" s="4" customFormat="1" ht="38.25">
      <c r="A32" s="164"/>
      <c r="B32" s="38" t="s">
        <v>70</v>
      </c>
      <c r="C32" s="180"/>
      <c r="D32" s="180"/>
      <c r="E32" s="29">
        <f t="shared" si="0"/>
        <v>606.6579999999994</v>
      </c>
      <c r="F32" s="7">
        <f>17156.862+13000-29550.204</f>
        <v>606.6579999999994</v>
      </c>
      <c r="G32" s="29"/>
      <c r="H32" s="29"/>
    </row>
    <row r="33" spans="1:8" s="4" customFormat="1" ht="12.75">
      <c r="A33" s="164"/>
      <c r="B33" s="38" t="s">
        <v>71</v>
      </c>
      <c r="C33" s="180"/>
      <c r="D33" s="180"/>
      <c r="E33" s="29">
        <f t="shared" si="0"/>
        <v>1149.575</v>
      </c>
      <c r="F33" s="29">
        <f>F34</f>
        <v>429.575</v>
      </c>
      <c r="G33" s="29">
        <v>360</v>
      </c>
      <c r="H33" s="29">
        <v>360</v>
      </c>
    </row>
    <row r="34" spans="1:8" s="4" customFormat="1" ht="38.25">
      <c r="A34" s="164"/>
      <c r="B34" s="51" t="s">
        <v>72</v>
      </c>
      <c r="C34" s="180"/>
      <c r="D34" s="180"/>
      <c r="E34" s="29"/>
      <c r="F34" s="7">
        <f>358+24.755+46.82</f>
        <v>429.575</v>
      </c>
      <c r="G34" s="29">
        <v>360</v>
      </c>
      <c r="H34" s="29">
        <v>360</v>
      </c>
    </row>
    <row r="35" spans="1:8" s="4" customFormat="1" ht="12.75">
      <c r="A35" s="164"/>
      <c r="B35" s="38" t="s">
        <v>73</v>
      </c>
      <c r="C35" s="180"/>
      <c r="D35" s="180"/>
      <c r="E35" s="29">
        <f t="shared" si="0"/>
        <v>3980</v>
      </c>
      <c r="F35" s="29">
        <v>2390</v>
      </c>
      <c r="G35" s="29">
        <v>1590</v>
      </c>
      <c r="H35" s="29">
        <v>0</v>
      </c>
    </row>
    <row r="36" spans="1:8" s="4" customFormat="1" ht="38.25">
      <c r="A36" s="164"/>
      <c r="B36" s="38" t="s">
        <v>74</v>
      </c>
      <c r="C36" s="180"/>
      <c r="D36" s="180"/>
      <c r="E36" s="29">
        <f t="shared" si="0"/>
        <v>1494.5430000000001</v>
      </c>
      <c r="F36" s="29">
        <v>614.543</v>
      </c>
      <c r="G36" s="29">
        <v>440</v>
      </c>
      <c r="H36" s="29">
        <v>440</v>
      </c>
    </row>
    <row r="37" spans="1:8" s="4" customFormat="1" ht="41.25" customHeight="1">
      <c r="A37" s="164"/>
      <c r="B37" s="132" t="s">
        <v>131</v>
      </c>
      <c r="C37" s="180"/>
      <c r="D37" s="180"/>
      <c r="E37" s="29">
        <f t="shared" si="0"/>
        <v>635</v>
      </c>
      <c r="F37" s="96">
        <f>635</f>
        <v>635</v>
      </c>
      <c r="G37" s="29"/>
      <c r="H37" s="29"/>
    </row>
    <row r="38" spans="1:8" s="4" customFormat="1" ht="29.25" customHeight="1">
      <c r="A38" s="165"/>
      <c r="B38" s="132" t="s">
        <v>132</v>
      </c>
      <c r="C38" s="180"/>
      <c r="D38" s="180"/>
      <c r="E38" s="29">
        <f>F38</f>
        <v>71.707</v>
      </c>
      <c r="F38" s="96">
        <v>71.707</v>
      </c>
      <c r="G38" s="29"/>
      <c r="H38" s="29"/>
    </row>
    <row r="39" spans="1:8" s="4" customFormat="1" ht="12.75">
      <c r="A39" s="187" t="s">
        <v>75</v>
      </c>
      <c r="B39" s="188"/>
      <c r="C39" s="188"/>
      <c r="D39" s="188"/>
      <c r="E39" s="188"/>
      <c r="F39" s="188"/>
      <c r="G39" s="188"/>
      <c r="H39" s="189"/>
    </row>
    <row r="40" spans="1:8" s="4" customFormat="1" ht="12.75" customHeight="1">
      <c r="A40" s="170" t="s">
        <v>35</v>
      </c>
      <c r="B40" s="45"/>
      <c r="C40" s="175" t="s">
        <v>60</v>
      </c>
      <c r="D40" s="175" t="s">
        <v>19</v>
      </c>
      <c r="E40" s="30">
        <f>F40+G40+H40</f>
        <v>29703.781665000002</v>
      </c>
      <c r="F40" s="30">
        <f>SUM(F41:F59)-F46-F47-F48-F49-F50-F51-F53-F54</f>
        <v>13125.063000000002</v>
      </c>
      <c r="G40" s="30">
        <f>SUM(G41:G59)-G46-G47-G48-G49-G50-G51-G53-G54</f>
        <v>8067.503000000001</v>
      </c>
      <c r="H40" s="30">
        <f>SUM(H41:H59)-H46-H47-H48-H49-H50-H51-H53-H54</f>
        <v>8511.215665</v>
      </c>
    </row>
    <row r="41" spans="1:9" s="4" customFormat="1" ht="89.25">
      <c r="A41" s="171"/>
      <c r="B41" s="38" t="s">
        <v>76</v>
      </c>
      <c r="C41" s="156"/>
      <c r="D41" s="195"/>
      <c r="E41" s="29">
        <f aca="true" t="shared" si="1" ref="E41:E76">F41+G41+H41</f>
        <v>2271.125775</v>
      </c>
      <c r="F41" s="29">
        <v>705</v>
      </c>
      <c r="G41" s="29">
        <f>F41*1.081</f>
        <v>762.105</v>
      </c>
      <c r="H41" s="29">
        <f>G41*1.055</f>
        <v>804.020775</v>
      </c>
      <c r="I41" s="37">
        <f>F40-F59</f>
        <v>12783.366000000002</v>
      </c>
    </row>
    <row r="42" spans="1:8" s="4" customFormat="1" ht="63.75">
      <c r="A42" s="171"/>
      <c r="B42" s="38" t="s">
        <v>77</v>
      </c>
      <c r="C42" s="156"/>
      <c r="D42" s="195"/>
      <c r="E42" s="29">
        <f t="shared" si="1"/>
        <v>11336.300145</v>
      </c>
      <c r="F42" s="29">
        <v>3519</v>
      </c>
      <c r="G42" s="29">
        <f>F42*1.081</f>
        <v>3804.0389999999998</v>
      </c>
      <c r="H42" s="29">
        <f>G42*1.055</f>
        <v>4013.2611449999995</v>
      </c>
    </row>
    <row r="43" spans="1:8" s="4" customFormat="1" ht="51">
      <c r="A43" s="171"/>
      <c r="B43" s="38" t="s">
        <v>78</v>
      </c>
      <c r="C43" s="156"/>
      <c r="D43" s="195"/>
      <c r="E43" s="29">
        <f t="shared" si="1"/>
        <v>495</v>
      </c>
      <c r="F43" s="29">
        <v>495</v>
      </c>
      <c r="G43" s="29"/>
      <c r="H43" s="29"/>
    </row>
    <row r="44" spans="1:8" s="4" customFormat="1" ht="51">
      <c r="A44" s="171"/>
      <c r="B44" s="52" t="s">
        <v>79</v>
      </c>
      <c r="C44" s="156"/>
      <c r="D44" s="195"/>
      <c r="E44" s="29">
        <f t="shared" si="1"/>
        <v>10434.292745</v>
      </c>
      <c r="F44" s="29">
        <v>3239</v>
      </c>
      <c r="G44" s="29">
        <f>F44*1.081</f>
        <v>3501.359</v>
      </c>
      <c r="H44" s="29">
        <f>G44*1.055</f>
        <v>3693.933745</v>
      </c>
    </row>
    <row r="45" spans="1:8" s="4" customFormat="1" ht="51">
      <c r="A45" s="171"/>
      <c r="B45" s="53" t="s">
        <v>80</v>
      </c>
      <c r="C45" s="156"/>
      <c r="D45" s="195"/>
      <c r="E45" s="29">
        <f>SUM(E46:E51)</f>
        <v>997.512</v>
      </c>
      <c r="F45" s="29">
        <f>SUM(F46:F51)</f>
        <v>997.512</v>
      </c>
      <c r="G45" s="29"/>
      <c r="H45" s="29"/>
    </row>
    <row r="46" spans="1:8" s="4" customFormat="1" ht="25.5">
      <c r="A46" s="171"/>
      <c r="B46" s="54" t="s">
        <v>81</v>
      </c>
      <c r="C46" s="156"/>
      <c r="D46" s="195"/>
      <c r="E46" s="55">
        <f t="shared" si="1"/>
        <v>121.342</v>
      </c>
      <c r="F46" s="56">
        <v>121.342</v>
      </c>
      <c r="G46" s="29"/>
      <c r="H46" s="29"/>
    </row>
    <row r="47" spans="1:8" s="4" customFormat="1" ht="25.5">
      <c r="A47" s="171"/>
      <c r="B47" s="54" t="s">
        <v>82</v>
      </c>
      <c r="C47" s="156"/>
      <c r="D47" s="195"/>
      <c r="E47" s="55">
        <f t="shared" si="1"/>
        <v>65.66</v>
      </c>
      <c r="F47" s="56">
        <v>65.66</v>
      </c>
      <c r="G47" s="29"/>
      <c r="H47" s="29"/>
    </row>
    <row r="48" spans="1:8" s="4" customFormat="1" ht="25.5">
      <c r="A48" s="171"/>
      <c r="B48" s="54" t="s">
        <v>83</v>
      </c>
      <c r="C48" s="156"/>
      <c r="D48" s="195"/>
      <c r="E48" s="55">
        <f t="shared" si="1"/>
        <v>154.191</v>
      </c>
      <c r="F48" s="56">
        <v>154.191</v>
      </c>
      <c r="G48" s="29"/>
      <c r="H48" s="29"/>
    </row>
    <row r="49" spans="1:8" s="4" customFormat="1" ht="42.75" customHeight="1">
      <c r="A49" s="171"/>
      <c r="B49" s="54" t="s">
        <v>84</v>
      </c>
      <c r="C49" s="156"/>
      <c r="D49" s="195"/>
      <c r="E49" s="55">
        <f t="shared" si="1"/>
        <v>83.983</v>
      </c>
      <c r="F49" s="56">
        <v>83.983</v>
      </c>
      <c r="G49" s="29"/>
      <c r="H49" s="29"/>
    </row>
    <row r="50" spans="1:8" s="4" customFormat="1" ht="38.25">
      <c r="A50" s="171"/>
      <c r="B50" s="54" t="s">
        <v>85</v>
      </c>
      <c r="C50" s="156"/>
      <c r="D50" s="195"/>
      <c r="E50" s="55">
        <f t="shared" si="1"/>
        <v>54.32</v>
      </c>
      <c r="F50" s="56">
        <v>54.32</v>
      </c>
      <c r="G50" s="29"/>
      <c r="H50" s="29"/>
    </row>
    <row r="51" spans="1:8" s="4" customFormat="1" ht="63.75">
      <c r="A51" s="171"/>
      <c r="B51" s="54" t="s">
        <v>86</v>
      </c>
      <c r="C51" s="156"/>
      <c r="D51" s="195"/>
      <c r="E51" s="55">
        <f t="shared" si="1"/>
        <v>518.016</v>
      </c>
      <c r="F51" s="56">
        <v>518.016</v>
      </c>
      <c r="G51" s="29"/>
      <c r="H51" s="29"/>
    </row>
    <row r="52" spans="1:8" s="4" customFormat="1" ht="25.5">
      <c r="A52" s="171"/>
      <c r="B52" s="57" t="s">
        <v>87</v>
      </c>
      <c r="C52" s="156"/>
      <c r="D52" s="195"/>
      <c r="E52" s="29">
        <f aca="true" t="shared" si="2" ref="E52:E58">F52+G52+H52</f>
        <v>543.7769999999999</v>
      </c>
      <c r="F52" s="58">
        <f>SUM(F53:F54)</f>
        <v>543.7769999999999</v>
      </c>
      <c r="G52" s="29"/>
      <c r="H52" s="29"/>
    </row>
    <row r="53" spans="1:8" s="4" customFormat="1" ht="39.75" customHeight="1">
      <c r="A53" s="171"/>
      <c r="B53" s="59" t="s">
        <v>88</v>
      </c>
      <c r="C53" s="156"/>
      <c r="D53" s="195"/>
      <c r="E53" s="55">
        <f t="shared" si="2"/>
        <v>542.877</v>
      </c>
      <c r="F53" s="139">
        <f>323.501+219.376</f>
        <v>542.877</v>
      </c>
      <c r="G53" s="29"/>
      <c r="H53" s="29"/>
    </row>
    <row r="54" spans="1:8" s="4" customFormat="1" ht="25.5">
      <c r="A54" s="171"/>
      <c r="B54" s="59" t="s">
        <v>89</v>
      </c>
      <c r="C54" s="156"/>
      <c r="D54" s="195"/>
      <c r="E54" s="55">
        <f t="shared" si="2"/>
        <v>0.9</v>
      </c>
      <c r="F54" s="56">
        <v>0.9</v>
      </c>
      <c r="G54" s="29"/>
      <c r="H54" s="29"/>
    </row>
    <row r="55" spans="1:9" s="4" customFormat="1" ht="89.25">
      <c r="A55" s="171"/>
      <c r="B55" s="138" t="s">
        <v>138</v>
      </c>
      <c r="C55" s="156"/>
      <c r="D55" s="195"/>
      <c r="E55" s="29">
        <f t="shared" si="2"/>
        <v>485.745</v>
      </c>
      <c r="F55" s="58">
        <v>485.745</v>
      </c>
      <c r="G55" s="29"/>
      <c r="H55" s="29"/>
      <c r="I55" s="4" t="s">
        <v>136</v>
      </c>
    </row>
    <row r="56" spans="1:8" s="4" customFormat="1" ht="78" customHeight="1">
      <c r="A56" s="171"/>
      <c r="B56" s="57" t="s">
        <v>90</v>
      </c>
      <c r="C56" s="156"/>
      <c r="D56" s="195"/>
      <c r="E56" s="29">
        <f t="shared" si="2"/>
        <v>1.05</v>
      </c>
      <c r="F56" s="140">
        <f>0.75+0.3</f>
        <v>1.05</v>
      </c>
      <c r="G56" s="29"/>
      <c r="H56" s="29"/>
    </row>
    <row r="57" spans="1:8" s="4" customFormat="1" ht="55.5" customHeight="1">
      <c r="A57" s="171"/>
      <c r="B57" s="57" t="s">
        <v>100</v>
      </c>
      <c r="C57" s="156"/>
      <c r="D57" s="195"/>
      <c r="E57" s="29">
        <f t="shared" si="2"/>
        <v>2776.424</v>
      </c>
      <c r="F57" s="58">
        <v>2776.424</v>
      </c>
      <c r="G57" s="29"/>
      <c r="H57" s="29"/>
    </row>
    <row r="58" spans="1:8" s="4" customFormat="1" ht="45.75" customHeight="1">
      <c r="A58" s="171"/>
      <c r="B58" s="57" t="s">
        <v>117</v>
      </c>
      <c r="C58" s="156"/>
      <c r="D58" s="195"/>
      <c r="E58" s="29">
        <f t="shared" si="2"/>
        <v>20.858</v>
      </c>
      <c r="F58" s="133">
        <v>20.858</v>
      </c>
      <c r="G58" s="29"/>
      <c r="H58" s="29"/>
    </row>
    <row r="59" spans="1:8" s="4" customFormat="1" ht="49.5" customHeight="1">
      <c r="A59" s="171"/>
      <c r="B59" s="52" t="s">
        <v>91</v>
      </c>
      <c r="C59" s="156"/>
      <c r="D59" s="195"/>
      <c r="E59" s="29">
        <f t="shared" si="1"/>
        <v>341.697</v>
      </c>
      <c r="F59" s="29">
        <v>341.697</v>
      </c>
      <c r="G59" s="29"/>
      <c r="H59" s="29"/>
    </row>
    <row r="60" spans="1:10" s="28" customFormat="1" ht="51" customHeight="1">
      <c r="A60" s="197" t="s">
        <v>35</v>
      </c>
      <c r="B60" s="60"/>
      <c r="C60" s="180" t="s">
        <v>54</v>
      </c>
      <c r="D60" s="180" t="s">
        <v>19</v>
      </c>
      <c r="E60" s="30">
        <f t="shared" si="1"/>
        <v>5177.622</v>
      </c>
      <c r="F60" s="30">
        <f>SUM(F61)</f>
        <v>5177.622</v>
      </c>
      <c r="G60" s="30">
        <f>SUM(G61)</f>
        <v>0</v>
      </c>
      <c r="H60" s="30">
        <f>SUM(H61)</f>
        <v>0</v>
      </c>
      <c r="I60" s="39">
        <f>F60+F62+F65+F68+F70+F73+F75</f>
        <v>32518.561</v>
      </c>
      <c r="J60" s="39">
        <f>I60+I41</f>
        <v>45301.927</v>
      </c>
    </row>
    <row r="61" spans="1:8" s="28" customFormat="1" ht="51">
      <c r="A61" s="197"/>
      <c r="B61" s="60" t="s">
        <v>49</v>
      </c>
      <c r="C61" s="180"/>
      <c r="D61" s="180"/>
      <c r="E61" s="29">
        <f t="shared" si="1"/>
        <v>5177.622</v>
      </c>
      <c r="F61" s="29">
        <v>5177.622</v>
      </c>
      <c r="G61" s="29"/>
      <c r="H61" s="29"/>
    </row>
    <row r="62" spans="1:8" s="28" customFormat="1" ht="36.75" customHeight="1">
      <c r="A62" s="197" t="s">
        <v>35</v>
      </c>
      <c r="B62" s="60"/>
      <c r="C62" s="175" t="s">
        <v>50</v>
      </c>
      <c r="D62" s="180" t="s">
        <v>19</v>
      </c>
      <c r="E62" s="30">
        <f t="shared" si="1"/>
        <v>4002.438</v>
      </c>
      <c r="F62" s="30">
        <f>SUM(F63:F64)</f>
        <v>4002.438</v>
      </c>
      <c r="G62" s="30">
        <f>SUM(G64)</f>
        <v>0</v>
      </c>
      <c r="H62" s="30">
        <f>SUM(H64)</f>
        <v>0</v>
      </c>
    </row>
    <row r="63" spans="1:8" s="28" customFormat="1" ht="51.75" customHeight="1">
      <c r="A63" s="197"/>
      <c r="B63" s="60" t="s">
        <v>49</v>
      </c>
      <c r="C63" s="195"/>
      <c r="D63" s="180"/>
      <c r="E63" s="29">
        <f>F63+G63+H63</f>
        <v>3938.502</v>
      </c>
      <c r="F63" s="29">
        <f>4002.438-63.936</f>
        <v>3938.502</v>
      </c>
      <c r="G63" s="29"/>
      <c r="H63" s="29"/>
    </row>
    <row r="64" spans="1:8" s="28" customFormat="1" ht="69" customHeight="1">
      <c r="A64" s="197"/>
      <c r="B64" s="60" t="s">
        <v>122</v>
      </c>
      <c r="C64" s="176"/>
      <c r="D64" s="180"/>
      <c r="E64" s="29">
        <f t="shared" si="1"/>
        <v>63.936</v>
      </c>
      <c r="F64" s="29">
        <v>63.936</v>
      </c>
      <c r="G64" s="29"/>
      <c r="H64" s="29"/>
    </row>
    <row r="65" spans="1:9" ht="25.5" customHeight="1">
      <c r="A65" s="197" t="s">
        <v>35</v>
      </c>
      <c r="B65" s="60"/>
      <c r="C65" s="175" t="s">
        <v>52</v>
      </c>
      <c r="D65" s="175" t="s">
        <v>19</v>
      </c>
      <c r="E65" s="30">
        <f t="shared" si="1"/>
        <v>3611.2870000000003</v>
      </c>
      <c r="F65" s="30">
        <f>SUM(F66:F67)</f>
        <v>3611.2870000000003</v>
      </c>
      <c r="G65" s="30">
        <f>SUM(G67)</f>
        <v>0</v>
      </c>
      <c r="H65" s="30">
        <f>SUM(H67)</f>
        <v>0</v>
      </c>
      <c r="I65" s="1"/>
    </row>
    <row r="66" spans="1:9" ht="55.5" customHeight="1">
      <c r="A66" s="197"/>
      <c r="B66" s="60" t="s">
        <v>49</v>
      </c>
      <c r="C66" s="195"/>
      <c r="D66" s="195"/>
      <c r="E66" s="29">
        <f>F66+G66+H66</f>
        <v>3567.139</v>
      </c>
      <c r="F66" s="96">
        <f>2358.884-158.169-44.148+1605.005-194.433</f>
        <v>3567.139</v>
      </c>
      <c r="G66" s="29">
        <v>0</v>
      </c>
      <c r="H66" s="29">
        <f>G66*1.055</f>
        <v>0</v>
      </c>
      <c r="I66" s="1"/>
    </row>
    <row r="67" spans="1:9" ht="52.5" customHeight="1">
      <c r="A67" s="197"/>
      <c r="B67" s="60" t="s">
        <v>122</v>
      </c>
      <c r="C67" s="176"/>
      <c r="D67" s="176"/>
      <c r="E67" s="29">
        <f t="shared" si="1"/>
        <v>44.148</v>
      </c>
      <c r="F67" s="7">
        <v>44.148</v>
      </c>
      <c r="G67" s="29">
        <v>0</v>
      </c>
      <c r="H67" s="29">
        <f>G67*1.055</f>
        <v>0</v>
      </c>
      <c r="I67" s="1"/>
    </row>
    <row r="68" spans="1:9" ht="25.5" customHeight="1">
      <c r="A68" s="197" t="s">
        <v>35</v>
      </c>
      <c r="B68" s="60"/>
      <c r="C68" s="180" t="s">
        <v>22</v>
      </c>
      <c r="D68" s="175" t="s">
        <v>19</v>
      </c>
      <c r="E68" s="30">
        <f t="shared" si="1"/>
        <v>6568.202</v>
      </c>
      <c r="F68" s="30">
        <f>SUM(F69)</f>
        <v>6568.202</v>
      </c>
      <c r="G68" s="30">
        <f>SUM(G69)</f>
        <v>0</v>
      </c>
      <c r="H68" s="30">
        <f>SUM(H69)</f>
        <v>0</v>
      </c>
      <c r="I68" s="1"/>
    </row>
    <row r="69" spans="1:9" ht="52.5" customHeight="1">
      <c r="A69" s="197"/>
      <c r="B69" s="60" t="s">
        <v>49</v>
      </c>
      <c r="C69" s="180"/>
      <c r="D69" s="176"/>
      <c r="E69" s="29">
        <f t="shared" si="1"/>
        <v>6568.202</v>
      </c>
      <c r="F69" s="96">
        <f>3917.28-349.078+3000</f>
        <v>6568.202</v>
      </c>
      <c r="G69" s="29">
        <v>0</v>
      </c>
      <c r="H69" s="29">
        <f>G69*1.055</f>
        <v>0</v>
      </c>
      <c r="I69" s="1"/>
    </row>
    <row r="70" spans="1:9" ht="25.5" customHeight="1">
      <c r="A70" s="173" t="s">
        <v>35</v>
      </c>
      <c r="B70" s="60"/>
      <c r="C70" s="180" t="s">
        <v>23</v>
      </c>
      <c r="D70" s="175" t="s">
        <v>19</v>
      </c>
      <c r="E70" s="30">
        <f t="shared" si="1"/>
        <v>7057.303</v>
      </c>
      <c r="F70" s="30">
        <f>SUM(F71+F72)</f>
        <v>7057.303</v>
      </c>
      <c r="G70" s="30">
        <f>SUM(G71)</f>
        <v>0</v>
      </c>
      <c r="H70" s="30">
        <f>SUM(H71)</f>
        <v>0</v>
      </c>
      <c r="I70" s="1"/>
    </row>
    <row r="71" spans="1:9" ht="52.5" customHeight="1">
      <c r="A71" s="196"/>
      <c r="B71" s="60" t="s">
        <v>49</v>
      </c>
      <c r="C71" s="180"/>
      <c r="D71" s="176"/>
      <c r="E71" s="29">
        <f t="shared" si="1"/>
        <v>7007.306</v>
      </c>
      <c r="F71" s="96">
        <f>5007.306+2000</f>
        <v>7007.306</v>
      </c>
      <c r="G71" s="29">
        <v>0</v>
      </c>
      <c r="H71" s="29">
        <f>G71*1.055</f>
        <v>0</v>
      </c>
      <c r="I71" s="1"/>
    </row>
    <row r="72" spans="1:9" ht="69.75" customHeight="1">
      <c r="A72" s="174"/>
      <c r="B72" s="134" t="s">
        <v>122</v>
      </c>
      <c r="C72" s="45"/>
      <c r="D72" s="109"/>
      <c r="E72" s="29">
        <f>F72+G72+H72</f>
        <v>49.997</v>
      </c>
      <c r="F72" s="96">
        <v>49.997</v>
      </c>
      <c r="G72" s="29">
        <v>0</v>
      </c>
      <c r="H72" s="29">
        <f>G72*1.055</f>
        <v>0</v>
      </c>
      <c r="I72" s="1"/>
    </row>
    <row r="73" spans="1:9" ht="25.5" customHeight="1">
      <c r="A73" s="197" t="s">
        <v>35</v>
      </c>
      <c r="B73" s="60"/>
      <c r="C73" s="180" t="s">
        <v>24</v>
      </c>
      <c r="D73" s="175" t="s">
        <v>19</v>
      </c>
      <c r="E73" s="30">
        <f t="shared" si="1"/>
        <v>3907.5480000000002</v>
      </c>
      <c r="F73" s="30">
        <f>SUM(F74)</f>
        <v>3907.5480000000002</v>
      </c>
      <c r="G73" s="30">
        <f>SUM(G74)</f>
        <v>0</v>
      </c>
      <c r="H73" s="30">
        <f>SUM(H74)</f>
        <v>0</v>
      </c>
      <c r="I73" s="1"/>
    </row>
    <row r="74" spans="1:9" ht="52.5" customHeight="1">
      <c r="A74" s="197"/>
      <c r="B74" s="60" t="s">
        <v>49</v>
      </c>
      <c r="C74" s="180"/>
      <c r="D74" s="176"/>
      <c r="E74" s="29">
        <f t="shared" si="1"/>
        <v>3907.5480000000002</v>
      </c>
      <c r="F74" s="96">
        <f>3542.584+436.8-71.836</f>
        <v>3907.5480000000002</v>
      </c>
      <c r="G74" s="29">
        <v>0</v>
      </c>
      <c r="H74" s="29">
        <f>G74*1.055</f>
        <v>0</v>
      </c>
      <c r="I74" s="1"/>
    </row>
    <row r="75" spans="1:9" ht="25.5" customHeight="1">
      <c r="A75" s="197" t="s">
        <v>35</v>
      </c>
      <c r="B75" s="60"/>
      <c r="C75" s="179" t="s">
        <v>25</v>
      </c>
      <c r="D75" s="175" t="s">
        <v>19</v>
      </c>
      <c r="E75" s="30">
        <f t="shared" si="1"/>
        <v>2194.161</v>
      </c>
      <c r="F75" s="30">
        <f>SUM(F76)</f>
        <v>2194.161</v>
      </c>
      <c r="G75" s="30">
        <f>SUM(G76)</f>
        <v>0</v>
      </c>
      <c r="H75" s="30">
        <f>SUM(H76)</f>
        <v>0</v>
      </c>
      <c r="I75" s="1"/>
    </row>
    <row r="76" spans="1:9" ht="52.5" customHeight="1">
      <c r="A76" s="197"/>
      <c r="B76" s="60" t="s">
        <v>49</v>
      </c>
      <c r="C76" s="179"/>
      <c r="D76" s="176"/>
      <c r="E76" s="29">
        <f t="shared" si="1"/>
        <v>2194.161</v>
      </c>
      <c r="F76" s="7">
        <f>1754.26+439.901</f>
        <v>2194.161</v>
      </c>
      <c r="G76" s="29">
        <v>0</v>
      </c>
      <c r="H76" s="29">
        <f>G76*1.055</f>
        <v>0</v>
      </c>
      <c r="I76" s="1"/>
    </row>
    <row r="77" spans="1:9" ht="12.75">
      <c r="A77" s="187" t="s">
        <v>92</v>
      </c>
      <c r="B77" s="188"/>
      <c r="C77" s="188"/>
      <c r="D77" s="188"/>
      <c r="E77" s="188"/>
      <c r="F77" s="188"/>
      <c r="G77" s="188"/>
      <c r="H77" s="189"/>
      <c r="I77" s="1"/>
    </row>
    <row r="78" spans="1:9" ht="14.25" customHeight="1">
      <c r="A78" s="173" t="s">
        <v>93</v>
      </c>
      <c r="B78" s="60"/>
      <c r="C78" s="180" t="s">
        <v>60</v>
      </c>
      <c r="D78" s="180" t="s">
        <v>19</v>
      </c>
      <c r="E78" s="30">
        <f>F78+G78+H78</f>
        <v>28209.242</v>
      </c>
      <c r="F78" s="30">
        <f>F79</f>
        <v>28209.242</v>
      </c>
      <c r="G78" s="30">
        <f>G79</f>
        <v>0</v>
      </c>
      <c r="H78" s="30">
        <f>H79</f>
        <v>0</v>
      </c>
      <c r="I78" s="1"/>
    </row>
    <row r="79" spans="1:9" ht="61.5" customHeight="1">
      <c r="A79" s="174"/>
      <c r="B79" s="60" t="s">
        <v>94</v>
      </c>
      <c r="C79" s="180"/>
      <c r="D79" s="180"/>
      <c r="E79" s="29">
        <f>F79+G79+H79</f>
        <v>28209.242</v>
      </c>
      <c r="F79" s="29">
        <v>28209.242</v>
      </c>
      <c r="G79" s="29"/>
      <c r="H79" s="29"/>
      <c r="I79" s="1"/>
    </row>
    <row r="80" spans="1:8" s="4" customFormat="1" ht="12.75">
      <c r="A80" s="187" t="s">
        <v>34</v>
      </c>
      <c r="B80" s="188"/>
      <c r="C80" s="188"/>
      <c r="D80" s="188"/>
      <c r="E80" s="188"/>
      <c r="F80" s="188"/>
      <c r="G80" s="188"/>
      <c r="H80" s="189"/>
    </row>
    <row r="81" spans="1:8" s="4" customFormat="1" ht="12.75" customHeight="1">
      <c r="A81" s="173" t="s">
        <v>36</v>
      </c>
      <c r="B81" s="45"/>
      <c r="C81" s="175" t="s">
        <v>60</v>
      </c>
      <c r="D81" s="175" t="s">
        <v>19</v>
      </c>
      <c r="E81" s="30">
        <f>F81+G81+H81</f>
        <v>156360.31699999998</v>
      </c>
      <c r="F81" s="30">
        <f>F82+F85+F87+F84</f>
        <v>146964.748</v>
      </c>
      <c r="G81" s="30">
        <f>G82+G85+G87+G84</f>
        <v>9395.569</v>
      </c>
      <c r="H81" s="30">
        <f>H82+H85+H87+H84</f>
        <v>0</v>
      </c>
    </row>
    <row r="82" spans="1:8" s="4" customFormat="1" ht="38.25">
      <c r="A82" s="196"/>
      <c r="B82" s="38" t="s">
        <v>44</v>
      </c>
      <c r="C82" s="195"/>
      <c r="D82" s="195"/>
      <c r="E82" s="29">
        <f>F82+G82+H82</f>
        <v>88692.902</v>
      </c>
      <c r="F82" s="96">
        <f>113687.369+5576.126+500-500-23422.52-7148.073</f>
        <v>88692.902</v>
      </c>
      <c r="G82" s="29"/>
      <c r="H82" s="29"/>
    </row>
    <row r="83" spans="1:8" s="108" customFormat="1" ht="51">
      <c r="A83" s="196"/>
      <c r="B83" s="99" t="s">
        <v>133</v>
      </c>
      <c r="C83" s="195"/>
      <c r="D83" s="195"/>
      <c r="E83" s="96">
        <f>F83+G83+H83</f>
        <v>11070.997</v>
      </c>
      <c r="F83" s="96">
        <f>F84</f>
        <v>11070.997</v>
      </c>
      <c r="G83" s="106"/>
      <c r="H83" s="106"/>
    </row>
    <row r="84" spans="1:8" s="112" customFormat="1" ht="25.5">
      <c r="A84" s="174"/>
      <c r="B84" s="119" t="s">
        <v>134</v>
      </c>
      <c r="C84" s="176"/>
      <c r="D84" s="176"/>
      <c r="E84" s="120">
        <f>F84</f>
        <v>11070.997</v>
      </c>
      <c r="F84" s="120">
        <v>11070.997</v>
      </c>
      <c r="G84" s="111"/>
      <c r="H84" s="111"/>
    </row>
    <row r="85" spans="1:8" s="4" customFormat="1" ht="38.25" customHeight="1">
      <c r="A85" s="61" t="s">
        <v>36</v>
      </c>
      <c r="B85" s="177" t="s">
        <v>95</v>
      </c>
      <c r="C85" s="179" t="s">
        <v>96</v>
      </c>
      <c r="D85" s="180" t="s">
        <v>19</v>
      </c>
      <c r="E85" s="183">
        <f>F85+G85+H85</f>
        <v>47204.569</v>
      </c>
      <c r="F85" s="193">
        <f>4924.761+36449.462+4600-125.736</f>
        <v>45848.487</v>
      </c>
      <c r="G85" s="183">
        <v>1356.082</v>
      </c>
      <c r="H85" s="183"/>
    </row>
    <row r="86" spans="1:8" s="4" customFormat="1" ht="12.75">
      <c r="A86" s="62"/>
      <c r="B86" s="178"/>
      <c r="C86" s="179"/>
      <c r="D86" s="180"/>
      <c r="E86" s="184"/>
      <c r="F86" s="194"/>
      <c r="G86" s="184"/>
      <c r="H86" s="184"/>
    </row>
    <row r="87" spans="1:8" s="4" customFormat="1" ht="38.25">
      <c r="A87" s="63" t="s">
        <v>97</v>
      </c>
      <c r="B87" s="64" t="s">
        <v>98</v>
      </c>
      <c r="C87" s="45" t="s">
        <v>96</v>
      </c>
      <c r="D87" s="45" t="s">
        <v>19</v>
      </c>
      <c r="E87" s="29">
        <f>F87+G87</f>
        <v>9391.849</v>
      </c>
      <c r="F87" s="29">
        <f>17.362+1335</f>
        <v>1352.362</v>
      </c>
      <c r="G87" s="29">
        <v>8039.487</v>
      </c>
      <c r="H87" s="29"/>
    </row>
    <row r="88" spans="1:8" s="103" customFormat="1" ht="12.75">
      <c r="A88" s="158" t="s">
        <v>125</v>
      </c>
      <c r="B88" s="159"/>
      <c r="C88" s="159"/>
      <c r="D88" s="159"/>
      <c r="E88" s="159"/>
      <c r="F88" s="159"/>
      <c r="G88" s="159"/>
      <c r="H88" s="160"/>
    </row>
    <row r="89" spans="1:8" s="103" customFormat="1" ht="12.75">
      <c r="A89" s="161" t="s">
        <v>124</v>
      </c>
      <c r="B89" s="128"/>
      <c r="C89" s="181" t="s">
        <v>60</v>
      </c>
      <c r="D89" s="181" t="s">
        <v>19</v>
      </c>
      <c r="E89" s="129">
        <f>F89+G89+H89</f>
        <v>1648.22</v>
      </c>
      <c r="F89" s="129">
        <f>SUM(F90:F90)</f>
        <v>1648.22</v>
      </c>
      <c r="G89" s="130">
        <f>SUM(G90:G90)</f>
        <v>0</v>
      </c>
      <c r="H89" s="130">
        <f>SUM(H90:H90)</f>
        <v>0</v>
      </c>
    </row>
    <row r="90" spans="1:13" s="103" customFormat="1" ht="42" customHeight="1">
      <c r="A90" s="162"/>
      <c r="B90" s="128" t="s">
        <v>139</v>
      </c>
      <c r="C90" s="182"/>
      <c r="D90" s="182"/>
      <c r="E90" s="131">
        <f>F90+G90+H90</f>
        <v>1648.22</v>
      </c>
      <c r="F90" s="131">
        <v>1648.22</v>
      </c>
      <c r="G90" s="130"/>
      <c r="H90" s="130"/>
      <c r="L90" s="172" t="s">
        <v>137</v>
      </c>
      <c r="M90" s="172"/>
    </row>
    <row r="91" spans="1:13" ht="12.75" customHeight="1">
      <c r="A91" s="187" t="s">
        <v>99</v>
      </c>
      <c r="B91" s="188"/>
      <c r="C91" s="188"/>
      <c r="D91" s="188"/>
      <c r="E91" s="188"/>
      <c r="F91" s="188"/>
      <c r="G91" s="188"/>
      <c r="H91" s="189"/>
      <c r="I91" s="1"/>
      <c r="L91" s="172"/>
      <c r="M91" s="172"/>
    </row>
    <row r="92" spans="1:10" ht="12.75" customHeight="1">
      <c r="A92" s="173" t="s">
        <v>127</v>
      </c>
      <c r="B92" s="34"/>
      <c r="C92" s="175" t="s">
        <v>60</v>
      </c>
      <c r="D92" s="175" t="s">
        <v>19</v>
      </c>
      <c r="E92" s="30">
        <f>F92+G92+H92</f>
        <v>303400</v>
      </c>
      <c r="F92" s="30">
        <f>SUM(F93:F93)</f>
        <v>303400</v>
      </c>
      <c r="G92" s="30">
        <f>SUM(G93:G93)</f>
        <v>0</v>
      </c>
      <c r="H92" s="116">
        <f>SUM(H93:H93)</f>
        <v>0</v>
      </c>
      <c r="I92" s="114"/>
      <c r="J92" s="115"/>
    </row>
    <row r="93" spans="1:13" ht="179.25" customHeight="1">
      <c r="A93" s="174"/>
      <c r="B93" s="105" t="s">
        <v>128</v>
      </c>
      <c r="C93" s="176"/>
      <c r="D93" s="176"/>
      <c r="E93" s="65">
        <f>F93+G93+H93</f>
        <v>303400</v>
      </c>
      <c r="F93" s="65">
        <f>50000+50000+23400+180000</f>
        <v>303400</v>
      </c>
      <c r="G93" s="65"/>
      <c r="H93" s="117"/>
      <c r="I93" s="118"/>
      <c r="J93" s="115"/>
      <c r="M93" s="104" t="s">
        <v>126</v>
      </c>
    </row>
    <row r="94" spans="1:9" ht="12.75" customHeight="1" hidden="1">
      <c r="A94" s="190" t="s">
        <v>118</v>
      </c>
      <c r="B94" s="191"/>
      <c r="C94" s="191"/>
      <c r="D94" s="191"/>
      <c r="E94" s="191"/>
      <c r="F94" s="191"/>
      <c r="G94" s="191"/>
      <c r="H94" s="192"/>
      <c r="I94" s="1"/>
    </row>
    <row r="95" spans="1:9" ht="12.75" customHeight="1" hidden="1">
      <c r="A95" s="173" t="s">
        <v>119</v>
      </c>
      <c r="B95" s="34"/>
      <c r="C95" s="175" t="s">
        <v>60</v>
      </c>
      <c r="D95" s="175" t="s">
        <v>19</v>
      </c>
      <c r="E95" s="30">
        <f>F95+G95+H95</f>
        <v>0</v>
      </c>
      <c r="F95" s="30">
        <f>SUM(F96:F96)</f>
        <v>0</v>
      </c>
      <c r="G95" s="30">
        <f>SUM(G96:G96)</f>
        <v>0</v>
      </c>
      <c r="H95" s="30">
        <f>SUM(H96:H96)</f>
        <v>0</v>
      </c>
      <c r="I95" s="1"/>
    </row>
    <row r="96" spans="1:9" ht="51" customHeight="1" hidden="1">
      <c r="A96" s="174"/>
      <c r="B96" s="38" t="s">
        <v>120</v>
      </c>
      <c r="C96" s="176"/>
      <c r="D96" s="176"/>
      <c r="E96" s="29">
        <f>F96+G96+H96</f>
        <v>0</v>
      </c>
      <c r="F96" s="98">
        <v>0</v>
      </c>
      <c r="G96" s="29"/>
      <c r="H96" s="29"/>
      <c r="I96" s="1"/>
    </row>
    <row r="97" spans="1:9" ht="12.75">
      <c r="A97" s="185" t="s">
        <v>101</v>
      </c>
      <c r="B97" s="185"/>
      <c r="C97" s="185"/>
      <c r="D97" s="185"/>
      <c r="E97" s="185"/>
      <c r="F97" s="185"/>
      <c r="G97" s="185"/>
      <c r="H97" s="185"/>
      <c r="I97" s="1"/>
    </row>
    <row r="98" spans="1:9" ht="15.75" customHeight="1">
      <c r="A98" s="186" t="s">
        <v>102</v>
      </c>
      <c r="B98" s="38"/>
      <c r="C98" s="180" t="s">
        <v>60</v>
      </c>
      <c r="D98" s="180" t="s">
        <v>19</v>
      </c>
      <c r="E98" s="30">
        <f>F98+G98+H98</f>
        <v>92.274</v>
      </c>
      <c r="F98" s="30">
        <f>F99</f>
        <v>92.274</v>
      </c>
      <c r="G98" s="30">
        <f>G99</f>
        <v>0</v>
      </c>
      <c r="H98" s="30">
        <f>H99</f>
        <v>0</v>
      </c>
      <c r="I98" s="1"/>
    </row>
    <row r="99" spans="1:9" ht="38.25">
      <c r="A99" s="186"/>
      <c r="B99" s="38" t="s">
        <v>103</v>
      </c>
      <c r="C99" s="180"/>
      <c r="D99" s="180"/>
      <c r="E99" s="29">
        <f>F99+G99+H99</f>
        <v>92.274</v>
      </c>
      <c r="F99" s="7">
        <f>109.041-16.767</f>
        <v>92.274</v>
      </c>
      <c r="G99" s="29"/>
      <c r="H99" s="29"/>
      <c r="I99" s="1"/>
    </row>
    <row r="100" spans="1:9" ht="12.75">
      <c r="A100" s="66" t="s">
        <v>37</v>
      </c>
      <c r="B100" s="66"/>
      <c r="C100" s="34"/>
      <c r="D100" s="34"/>
      <c r="E100" s="30">
        <f>F100+G100+H100</f>
        <v>1457256.264665</v>
      </c>
      <c r="F100" s="102">
        <f>F98+F95+F92+F81+F78+F40+F20+F75+F73+F70+F68+F65+F62+F60+F89</f>
        <v>849812.5989999998</v>
      </c>
      <c r="G100" s="30">
        <f>G98+G95+G92+G81+G78+G40+G20+G75+G73+G70+G68+G65+G62+G60</f>
        <v>287620.572</v>
      </c>
      <c r="H100" s="30">
        <f>H98+H95+H92+H81+H78+H40+H20+H75+H73+H70+H68+H65+H62+H60</f>
        <v>319823.09366500005</v>
      </c>
      <c r="I100" s="1"/>
    </row>
    <row r="101" spans="1:9" s="15" customFormat="1" ht="20.25">
      <c r="A101" s="67"/>
      <c r="B101" s="67"/>
      <c r="C101" s="67"/>
      <c r="D101" s="67"/>
      <c r="E101" s="67"/>
      <c r="F101" s="67"/>
      <c r="G101" s="67"/>
      <c r="H101" s="67"/>
      <c r="I101" s="16"/>
    </row>
    <row r="102" spans="1:8" ht="12.75">
      <c r="A102" s="68"/>
      <c r="B102" s="68"/>
      <c r="C102" s="35"/>
      <c r="D102" s="35"/>
      <c r="E102" s="69"/>
      <c r="F102" s="69"/>
      <c r="G102" s="69"/>
      <c r="H102" s="69"/>
    </row>
    <row r="103" spans="1:8" ht="12.75">
      <c r="A103" s="70"/>
      <c r="B103" s="70"/>
      <c r="C103" s="36"/>
      <c r="D103" s="36"/>
      <c r="E103" s="36"/>
      <c r="F103" s="71"/>
      <c r="G103" s="36"/>
      <c r="H103" s="36"/>
    </row>
    <row r="104" spans="1:9" s="15" customFormat="1" ht="18.75">
      <c r="A104" s="157" t="s">
        <v>38</v>
      </c>
      <c r="B104" s="157"/>
      <c r="C104" s="33"/>
      <c r="D104" s="33"/>
      <c r="E104" s="33"/>
      <c r="F104" s="72"/>
      <c r="G104" s="157" t="s">
        <v>47</v>
      </c>
      <c r="H104" s="157"/>
      <c r="I104" s="16"/>
    </row>
    <row r="105" ht="12.75">
      <c r="F105" s="73"/>
    </row>
    <row r="108" ht="12.75">
      <c r="F108" s="73"/>
    </row>
    <row r="110" ht="12.75">
      <c r="F110" s="73"/>
    </row>
  </sheetData>
  <sheetProtection/>
  <mergeCells count="77">
    <mergeCell ref="F5:H5"/>
    <mergeCell ref="F6:H6"/>
    <mergeCell ref="F7:H7"/>
    <mergeCell ref="A13:H13"/>
    <mergeCell ref="F9:H9"/>
    <mergeCell ref="A104:B104"/>
    <mergeCell ref="G104:H104"/>
    <mergeCell ref="A19:H19"/>
    <mergeCell ref="A88:H88"/>
    <mergeCell ref="A89:A90"/>
    <mergeCell ref="D81:D84"/>
    <mergeCell ref="A39:H39"/>
    <mergeCell ref="A60:A61"/>
    <mergeCell ref="A20:A38"/>
    <mergeCell ref="C20:C38"/>
    <mergeCell ref="E15:H15"/>
    <mergeCell ref="F10:H10"/>
    <mergeCell ref="A12:H12"/>
    <mergeCell ref="A40:A59"/>
    <mergeCell ref="D20:D38"/>
    <mergeCell ref="C40:C59"/>
    <mergeCell ref="D40:D59"/>
    <mergeCell ref="A15:A17"/>
    <mergeCell ref="E16:E17"/>
    <mergeCell ref="F16:H16"/>
    <mergeCell ref="A65:A67"/>
    <mergeCell ref="C65:C67"/>
    <mergeCell ref="D65:D67"/>
    <mergeCell ref="D15:D17"/>
    <mergeCell ref="B15:B17"/>
    <mergeCell ref="C15:C17"/>
    <mergeCell ref="A62:A64"/>
    <mergeCell ref="C62:C64"/>
    <mergeCell ref="D62:D64"/>
    <mergeCell ref="C60:C61"/>
    <mergeCell ref="D60:D61"/>
    <mergeCell ref="A68:A69"/>
    <mergeCell ref="C68:C69"/>
    <mergeCell ref="D68:D69"/>
    <mergeCell ref="C70:C71"/>
    <mergeCell ref="D70:D71"/>
    <mergeCell ref="A70:A72"/>
    <mergeCell ref="A73:A74"/>
    <mergeCell ref="C73:C74"/>
    <mergeCell ref="D73:D74"/>
    <mergeCell ref="A75:A76"/>
    <mergeCell ref="C75:C76"/>
    <mergeCell ref="D75:D76"/>
    <mergeCell ref="F85:F86"/>
    <mergeCell ref="G85:G86"/>
    <mergeCell ref="A77:H77"/>
    <mergeCell ref="A78:A79"/>
    <mergeCell ref="C78:C79"/>
    <mergeCell ref="D78:D79"/>
    <mergeCell ref="A80:H80"/>
    <mergeCell ref="C81:C84"/>
    <mergeCell ref="A81:A84"/>
    <mergeCell ref="E85:E86"/>
    <mergeCell ref="A97:H97"/>
    <mergeCell ref="A98:A99"/>
    <mergeCell ref="C98:C99"/>
    <mergeCell ref="D98:D99"/>
    <mergeCell ref="H85:H86"/>
    <mergeCell ref="A91:H91"/>
    <mergeCell ref="A92:A93"/>
    <mergeCell ref="C92:C93"/>
    <mergeCell ref="D92:D93"/>
    <mergeCell ref="B85:B86"/>
    <mergeCell ref="C85:C86"/>
    <mergeCell ref="D85:D86"/>
    <mergeCell ref="C89:C90"/>
    <mergeCell ref="D89:D90"/>
    <mergeCell ref="L90:M91"/>
    <mergeCell ref="A95:A96"/>
    <mergeCell ref="C95:C96"/>
    <mergeCell ref="D95:D96"/>
    <mergeCell ref="A94:H94"/>
  </mergeCells>
  <printOptions/>
  <pageMargins left="0.7874015748031497" right="0.3937007874015748" top="0.984251968503937" bottom="0.3937007874015748" header="0.7874015748031497" footer="0"/>
  <pageSetup fitToHeight="25" horizontalDpi="600" verticalDpi="600" orientation="landscape" paperSize="9" scale="87" r:id="rId1"/>
  <headerFooter alignWithMargins="0">
    <oddHeader>&amp;C&amp;P</oddHeader>
  </headerFooter>
  <rowBreaks count="2" manualBreakCount="2">
    <brk id="67" max="7" man="1"/>
    <brk id="8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5:F27"/>
  <sheetViews>
    <sheetView view="pageBreakPreview" zoomScaleSheetLayoutView="100" zoomScalePageLayoutView="0" workbookViewId="0" topLeftCell="A4">
      <selection activeCell="D7" sqref="D7:E7"/>
    </sheetView>
  </sheetViews>
  <sheetFormatPr defaultColWidth="9.140625" defaultRowHeight="12.75"/>
  <cols>
    <col min="1" max="1" width="46.00390625" style="8" customWidth="1"/>
    <col min="2" max="2" width="27.28125" style="8" customWidth="1"/>
    <col min="3" max="3" width="17.28125" style="8" customWidth="1"/>
    <col min="4" max="4" width="17.8515625" style="8" customWidth="1"/>
    <col min="5" max="5" width="16.7109375" style="8" customWidth="1"/>
    <col min="6" max="6" width="9.57421875" style="8" bestFit="1" customWidth="1"/>
    <col min="7" max="16384" width="9.140625" style="8" customWidth="1"/>
  </cols>
  <sheetData>
    <row r="5" spans="4:5" ht="18.75">
      <c r="D5" s="146" t="s">
        <v>45</v>
      </c>
      <c r="E5" s="146"/>
    </row>
    <row r="6" spans="4:5" ht="18.75">
      <c r="D6" s="146" t="s">
        <v>46</v>
      </c>
      <c r="E6" s="146"/>
    </row>
    <row r="7" spans="4:5" ht="18.75">
      <c r="D7" s="147" t="s">
        <v>140</v>
      </c>
      <c r="E7" s="146"/>
    </row>
    <row r="9" spans="4:6" ht="18.75" customHeight="1">
      <c r="D9" s="17" t="s">
        <v>18</v>
      </c>
      <c r="E9" s="17"/>
      <c r="F9" s="15"/>
    </row>
    <row r="10" spans="4:6" ht="94.5" customHeight="1">
      <c r="D10" s="148" t="s">
        <v>116</v>
      </c>
      <c r="E10" s="148"/>
      <c r="F10" s="15"/>
    </row>
    <row r="12" spans="1:5" s="17" customFormat="1" ht="18.75">
      <c r="A12" s="150" t="s">
        <v>21</v>
      </c>
      <c r="B12" s="150"/>
      <c r="C12" s="150"/>
      <c r="D12" s="150"/>
      <c r="E12" s="150"/>
    </row>
    <row r="13" spans="1:5" s="17" customFormat="1" ht="18.75" customHeight="1">
      <c r="A13" s="151" t="s">
        <v>115</v>
      </c>
      <c r="B13" s="151"/>
      <c r="C13" s="151"/>
      <c r="D13" s="151"/>
      <c r="E13" s="151"/>
    </row>
    <row r="14" spans="1:5" ht="12.75">
      <c r="A14" s="9"/>
      <c r="B14" s="9"/>
      <c r="C14" s="9"/>
      <c r="D14" s="9"/>
      <c r="E14" s="9"/>
    </row>
    <row r="15" spans="1:5" ht="12.75">
      <c r="A15" s="149"/>
      <c r="B15" s="149" t="s">
        <v>8</v>
      </c>
      <c r="C15" s="149" t="s">
        <v>9</v>
      </c>
      <c r="D15" s="149"/>
      <c r="E15" s="149"/>
    </row>
    <row r="16" spans="1:5" ht="12.75">
      <c r="A16" s="149"/>
      <c r="B16" s="149"/>
      <c r="C16" s="10">
        <v>2016</v>
      </c>
      <c r="D16" s="10">
        <v>2017</v>
      </c>
      <c r="E16" s="10">
        <v>2018</v>
      </c>
    </row>
    <row r="17" spans="1:5" s="9" customFormat="1" ht="12.75">
      <c r="A17" s="10">
        <v>1</v>
      </c>
      <c r="B17" s="10">
        <v>2</v>
      </c>
      <c r="C17" s="10">
        <v>3</v>
      </c>
      <c r="D17" s="10">
        <v>4</v>
      </c>
      <c r="E17" s="10">
        <v>5</v>
      </c>
    </row>
    <row r="18" spans="1:6" ht="12.75">
      <c r="A18" s="11" t="s">
        <v>41</v>
      </c>
      <c r="B18" s="12">
        <f>C18+D18+E18</f>
        <v>1457256.264665</v>
      </c>
      <c r="C18" s="12">
        <f>'додаток 1'!F100</f>
        <v>849812.5989999998</v>
      </c>
      <c r="D18" s="12">
        <f>'додаток 1'!G100</f>
        <v>287620.572</v>
      </c>
      <c r="E18" s="12">
        <f>'додаток 1'!H100</f>
        <v>319823.09366500005</v>
      </c>
      <c r="F18" s="13"/>
    </row>
    <row r="19" spans="1:6" ht="12.75">
      <c r="A19" s="11" t="s">
        <v>42</v>
      </c>
      <c r="B19" s="12"/>
      <c r="C19" s="12"/>
      <c r="D19" s="12"/>
      <c r="E19" s="12"/>
      <c r="F19" s="13"/>
    </row>
    <row r="20" spans="1:6" s="20" customFormat="1" ht="12.75">
      <c r="A20" s="21" t="s">
        <v>43</v>
      </c>
      <c r="B20" s="18">
        <f>C20+D20+E20</f>
        <v>0</v>
      </c>
      <c r="C20" s="18"/>
      <c r="D20" s="18"/>
      <c r="E20" s="18"/>
      <c r="F20" s="19"/>
    </row>
    <row r="21" spans="1:5" ht="12.75">
      <c r="A21" s="11" t="s">
        <v>10</v>
      </c>
      <c r="B21" s="12">
        <f>C21+D21+E21</f>
        <v>0</v>
      </c>
      <c r="C21" s="12"/>
      <c r="D21" s="12"/>
      <c r="E21" s="12"/>
    </row>
    <row r="22" spans="1:5" ht="12.75">
      <c r="A22" s="11" t="s">
        <v>11</v>
      </c>
      <c r="B22" s="12">
        <f>C22+D22+E22</f>
        <v>0</v>
      </c>
      <c r="C22" s="10"/>
      <c r="D22" s="12"/>
      <c r="E22" s="12"/>
    </row>
    <row r="23" spans="1:5" ht="12.75" customHeight="1">
      <c r="A23" s="11" t="s">
        <v>28</v>
      </c>
      <c r="B23" s="12">
        <f>C23+D23+E23</f>
        <v>0</v>
      </c>
      <c r="C23" s="10"/>
      <c r="D23" s="14"/>
      <c r="E23" s="14"/>
    </row>
    <row r="24" spans="1:5" ht="19.5" customHeight="1">
      <c r="A24" s="11" t="s">
        <v>12</v>
      </c>
      <c r="B24" s="12">
        <f>B18+B21+B22+B23</f>
        <v>1457256.264665</v>
      </c>
      <c r="C24" s="12">
        <f>C18+C21+C22+C23</f>
        <v>849812.5989999998</v>
      </c>
      <c r="D24" s="12">
        <f>D18+D21+D22+D23</f>
        <v>287620.572</v>
      </c>
      <c r="E24" s="12">
        <f>E18+E21+E22+E23</f>
        <v>319823.09366500005</v>
      </c>
    </row>
    <row r="27" spans="1:5" s="17" customFormat="1" ht="18.75">
      <c r="A27" s="17" t="s">
        <v>38</v>
      </c>
      <c r="D27" s="146" t="s">
        <v>47</v>
      </c>
      <c r="E27" s="146"/>
    </row>
  </sheetData>
  <sheetProtection/>
  <mergeCells count="10">
    <mergeCell ref="D27:E27"/>
    <mergeCell ref="A15:A16"/>
    <mergeCell ref="C15:E15"/>
    <mergeCell ref="A12:E12"/>
    <mergeCell ref="A13:E13"/>
    <mergeCell ref="B15:B16"/>
    <mergeCell ref="D5:E5"/>
    <mergeCell ref="D6:E6"/>
    <mergeCell ref="D7:E7"/>
    <mergeCell ref="D10:E10"/>
  </mergeCells>
  <printOptions/>
  <pageMargins left="1.1811023622047245" right="0.3937007874015748" top="0.7874015748031497" bottom="0.5905511811023623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5:J120"/>
  <sheetViews>
    <sheetView view="pageBreakPreview" zoomScale="70" zoomScaleSheetLayoutView="70" zoomScalePageLayoutView="70" workbookViewId="0" topLeftCell="A26">
      <selection activeCell="D7" sqref="D7"/>
    </sheetView>
  </sheetViews>
  <sheetFormatPr defaultColWidth="9.140625" defaultRowHeight="12.75"/>
  <cols>
    <col min="1" max="1" width="36.7109375" style="74" customWidth="1"/>
    <col min="2" max="2" width="28.00390625" style="75" customWidth="1"/>
    <col min="3" max="3" width="9.140625" style="76" customWidth="1"/>
    <col min="4" max="4" width="16.421875" style="75" customWidth="1"/>
    <col min="5" max="5" width="16.7109375" style="75" customWidth="1"/>
    <col min="6" max="6" width="15.140625" style="75" customWidth="1"/>
    <col min="7" max="7" width="16.140625" style="75" customWidth="1"/>
    <col min="8" max="8" width="0.13671875" style="23" customWidth="1"/>
    <col min="9" max="9" width="9.140625" style="23" customWidth="1"/>
    <col min="10" max="10" width="54.421875" style="23" customWidth="1"/>
    <col min="11" max="16384" width="9.140625" style="23" customWidth="1"/>
  </cols>
  <sheetData>
    <row r="5" spans="5:6" ht="18.75">
      <c r="E5" s="157" t="s">
        <v>45</v>
      </c>
      <c r="F5" s="157"/>
    </row>
    <row r="6" spans="5:6" ht="18.75" customHeight="1">
      <c r="E6" s="157" t="s">
        <v>46</v>
      </c>
      <c r="F6" s="157"/>
    </row>
    <row r="7" spans="5:6" ht="18.75" customHeight="1">
      <c r="E7" s="210" t="s">
        <v>140</v>
      </c>
      <c r="F7" s="157"/>
    </row>
    <row r="8" spans="5:6" ht="6.75" customHeight="1">
      <c r="E8" s="214"/>
      <c r="F8" s="215"/>
    </row>
    <row r="9" spans="1:7" ht="18.75">
      <c r="A9" s="75"/>
      <c r="E9" s="211" t="s">
        <v>27</v>
      </c>
      <c r="F9" s="211"/>
      <c r="G9" s="211"/>
    </row>
    <row r="10" spans="1:7" ht="58.5" customHeight="1">
      <c r="A10" s="75"/>
      <c r="E10" s="211" t="s">
        <v>105</v>
      </c>
      <c r="F10" s="211"/>
      <c r="G10" s="211"/>
    </row>
    <row r="11" ht="9.75" customHeight="1">
      <c r="A11" s="75"/>
    </row>
    <row r="12" spans="1:7" s="22" customFormat="1" ht="18.75">
      <c r="A12" s="213" t="s">
        <v>20</v>
      </c>
      <c r="B12" s="213"/>
      <c r="C12" s="213"/>
      <c r="D12" s="213"/>
      <c r="E12" s="213"/>
      <c r="F12" s="213"/>
      <c r="G12" s="213"/>
    </row>
    <row r="13" spans="1:7" s="22" customFormat="1" ht="18.75" customHeight="1">
      <c r="A13" s="212" t="s">
        <v>106</v>
      </c>
      <c r="B13" s="212"/>
      <c r="C13" s="212"/>
      <c r="D13" s="212"/>
      <c r="E13" s="212"/>
      <c r="F13" s="212"/>
      <c r="G13" s="212"/>
    </row>
    <row r="14" spans="1:7" s="22" customFormat="1" ht="10.5" customHeight="1">
      <c r="A14" s="77"/>
      <c r="B14" s="77"/>
      <c r="C14" s="77"/>
      <c r="D14" s="77"/>
      <c r="E14" s="77"/>
      <c r="F14" s="77"/>
      <c r="G14" s="77"/>
    </row>
    <row r="15" spans="1:8" ht="12.75">
      <c r="A15" s="167" t="s">
        <v>0</v>
      </c>
      <c r="B15" s="167" t="s">
        <v>13</v>
      </c>
      <c r="C15" s="167" t="s">
        <v>14</v>
      </c>
      <c r="D15" s="167" t="s">
        <v>17</v>
      </c>
      <c r="E15" s="167"/>
      <c r="F15" s="167"/>
      <c r="G15" s="167"/>
      <c r="H15" s="24"/>
    </row>
    <row r="16" spans="1:8" ht="12.75">
      <c r="A16" s="167"/>
      <c r="B16" s="167"/>
      <c r="C16" s="167"/>
      <c r="D16" s="167" t="s">
        <v>15</v>
      </c>
      <c r="E16" s="167" t="s">
        <v>16</v>
      </c>
      <c r="F16" s="167"/>
      <c r="G16" s="167"/>
      <c r="H16" s="24"/>
    </row>
    <row r="17" spans="1:8" ht="24" customHeight="1">
      <c r="A17" s="167"/>
      <c r="B17" s="167"/>
      <c r="C17" s="167"/>
      <c r="D17" s="167"/>
      <c r="E17" s="43">
        <v>2016</v>
      </c>
      <c r="F17" s="43">
        <v>2017</v>
      </c>
      <c r="G17" s="43">
        <v>2018</v>
      </c>
      <c r="H17" s="24"/>
    </row>
    <row r="18" spans="1:8" s="4" customFormat="1" ht="12.75">
      <c r="A18" s="43">
        <v>1</v>
      </c>
      <c r="B18" s="43">
        <v>2</v>
      </c>
      <c r="C18" s="43">
        <v>3</v>
      </c>
      <c r="D18" s="43">
        <v>4</v>
      </c>
      <c r="E18" s="43">
        <v>5</v>
      </c>
      <c r="F18" s="43">
        <v>6</v>
      </c>
      <c r="G18" s="43">
        <v>7</v>
      </c>
      <c r="H18" s="3"/>
    </row>
    <row r="19" spans="1:8" s="4" customFormat="1" ht="12.75">
      <c r="A19" s="121" t="s">
        <v>58</v>
      </c>
      <c r="B19" s="122"/>
      <c r="C19" s="122"/>
      <c r="D19" s="122"/>
      <c r="E19" s="122"/>
      <c r="F19" s="122"/>
      <c r="G19" s="122"/>
      <c r="H19" s="122"/>
    </row>
    <row r="20" spans="1:8" s="4" customFormat="1" ht="12.75">
      <c r="A20" s="180" t="s">
        <v>107</v>
      </c>
      <c r="B20" s="180"/>
      <c r="C20" s="180"/>
      <c r="D20" s="180"/>
      <c r="E20" s="180"/>
      <c r="F20" s="180"/>
      <c r="G20" s="180"/>
      <c r="H20" s="3"/>
    </row>
    <row r="21" spans="1:8" s="4" customFormat="1" ht="20.25" customHeight="1">
      <c r="A21" s="173" t="s">
        <v>59</v>
      </c>
      <c r="B21" s="177" t="s">
        <v>61</v>
      </c>
      <c r="C21" s="45" t="s">
        <v>108</v>
      </c>
      <c r="D21" s="41">
        <f>E21+F21+G21</f>
        <v>416</v>
      </c>
      <c r="E21" s="110">
        <f>59+225-5+5</f>
        <v>284</v>
      </c>
      <c r="F21" s="45">
        <v>62</v>
      </c>
      <c r="G21" s="45">
        <v>70</v>
      </c>
      <c r="H21" s="3"/>
    </row>
    <row r="22" spans="1:8" s="4" customFormat="1" ht="17.25" customHeight="1">
      <c r="A22" s="196"/>
      <c r="B22" s="178"/>
      <c r="C22" s="45" t="s">
        <v>39</v>
      </c>
      <c r="D22" s="29">
        <f aca="true" t="shared" si="0" ref="D22:D41">E22+F22+G22</f>
        <v>1741.1529999999998</v>
      </c>
      <c r="E22" s="110">
        <f>273.664+1.792+773.108-7.121+33.38</f>
        <v>1074.8229999999999</v>
      </c>
      <c r="F22" s="45">
        <v>312.973</v>
      </c>
      <c r="G22" s="45">
        <v>353.357</v>
      </c>
      <c r="H22" s="3"/>
    </row>
    <row r="23" spans="1:9" s="4" customFormat="1" ht="25.5">
      <c r="A23" s="196"/>
      <c r="B23" s="38" t="s">
        <v>62</v>
      </c>
      <c r="C23" s="45" t="s">
        <v>39</v>
      </c>
      <c r="D23" s="29">
        <f t="shared" si="0"/>
        <v>294.49</v>
      </c>
      <c r="E23" s="45">
        <f>123.056+0.21</f>
        <v>123.26599999999999</v>
      </c>
      <c r="F23" s="45">
        <v>70.995</v>
      </c>
      <c r="G23" s="45">
        <v>100.229</v>
      </c>
      <c r="H23" s="3"/>
      <c r="I23" s="40"/>
    </row>
    <row r="24" spans="1:8" s="4" customFormat="1" ht="25.5">
      <c r="A24" s="196"/>
      <c r="B24" s="38" t="s">
        <v>63</v>
      </c>
      <c r="C24" s="45" t="s">
        <v>109</v>
      </c>
      <c r="D24" s="29">
        <f t="shared" si="0"/>
        <v>60.11</v>
      </c>
      <c r="E24" s="78">
        <v>21.999</v>
      </c>
      <c r="F24" s="45">
        <v>18.026</v>
      </c>
      <c r="G24" s="45">
        <v>20.085</v>
      </c>
      <c r="H24" s="3"/>
    </row>
    <row r="25" spans="1:8" s="4" customFormat="1" ht="12.75" customHeight="1" hidden="1">
      <c r="A25" s="196"/>
      <c r="B25" s="38"/>
      <c r="C25" s="45"/>
      <c r="D25" s="41"/>
      <c r="E25" s="79"/>
      <c r="F25" s="45"/>
      <c r="G25" s="45"/>
      <c r="H25" s="3"/>
    </row>
    <row r="26" spans="1:8" s="4" customFormat="1" ht="25.5">
      <c r="A26" s="196"/>
      <c r="B26" s="31" t="s">
        <v>64</v>
      </c>
      <c r="C26" s="45" t="s">
        <v>109</v>
      </c>
      <c r="D26" s="29">
        <f>E26+F26+G26</f>
        <v>59.311</v>
      </c>
      <c r="E26" s="45">
        <v>59.311</v>
      </c>
      <c r="F26" s="45">
        <v>0</v>
      </c>
      <c r="G26" s="45">
        <v>0</v>
      </c>
      <c r="H26" s="3"/>
    </row>
    <row r="27" spans="1:8" s="4" customFormat="1" ht="12.75">
      <c r="A27" s="196"/>
      <c r="B27" s="38" t="s">
        <v>65</v>
      </c>
      <c r="C27" s="45" t="s">
        <v>26</v>
      </c>
      <c r="D27" s="41">
        <f t="shared" si="0"/>
        <v>20</v>
      </c>
      <c r="E27" s="45">
        <v>20</v>
      </c>
      <c r="F27" s="45">
        <v>0</v>
      </c>
      <c r="G27" s="45">
        <v>0</v>
      </c>
      <c r="H27" s="3"/>
    </row>
    <row r="28" spans="1:8" s="4" customFormat="1" ht="21" customHeight="1">
      <c r="A28" s="196"/>
      <c r="B28" s="177" t="s">
        <v>66</v>
      </c>
      <c r="C28" s="175" t="s">
        <v>26</v>
      </c>
      <c r="D28" s="206">
        <f t="shared" si="0"/>
        <v>715</v>
      </c>
      <c r="E28" s="208">
        <f>62+153+73+1</f>
        <v>289</v>
      </c>
      <c r="F28" s="175">
        <v>198</v>
      </c>
      <c r="G28" s="175">
        <v>228</v>
      </c>
      <c r="H28" s="3"/>
    </row>
    <row r="29" spans="1:8" s="4" customFormat="1" ht="18" customHeight="1">
      <c r="A29" s="196"/>
      <c r="B29" s="178"/>
      <c r="C29" s="176"/>
      <c r="D29" s="207"/>
      <c r="E29" s="209"/>
      <c r="F29" s="176"/>
      <c r="G29" s="176"/>
      <c r="H29" s="3"/>
    </row>
    <row r="30" spans="1:8" s="4" customFormat="1" ht="27.75" customHeight="1">
      <c r="A30" s="196"/>
      <c r="B30" s="6" t="s">
        <v>121</v>
      </c>
      <c r="C30" s="100" t="s">
        <v>26</v>
      </c>
      <c r="D30" s="101">
        <f>E30+F30+G30</f>
        <v>10</v>
      </c>
      <c r="E30" s="100">
        <v>10</v>
      </c>
      <c r="F30" s="100"/>
      <c r="G30" s="100"/>
      <c r="H30" s="3"/>
    </row>
    <row r="31" spans="1:8" s="4" customFormat="1" ht="29.25" customHeight="1">
      <c r="A31" s="196"/>
      <c r="B31" s="64" t="s">
        <v>67</v>
      </c>
      <c r="C31" s="44" t="s">
        <v>26</v>
      </c>
      <c r="D31" s="80">
        <f>E31+F31+G31</f>
        <v>307</v>
      </c>
      <c r="E31" s="46">
        <v>307</v>
      </c>
      <c r="F31" s="46"/>
      <c r="G31" s="46"/>
      <c r="H31" s="3"/>
    </row>
    <row r="32" spans="1:8" s="4" customFormat="1" ht="12.75">
      <c r="A32" s="196"/>
      <c r="B32" s="38" t="s">
        <v>68</v>
      </c>
      <c r="C32" s="44" t="s">
        <v>26</v>
      </c>
      <c r="D32" s="41">
        <f t="shared" si="0"/>
        <v>49</v>
      </c>
      <c r="E32" s="45">
        <v>13</v>
      </c>
      <c r="F32" s="45">
        <v>20</v>
      </c>
      <c r="G32" s="45">
        <v>16</v>
      </c>
      <c r="H32" s="3"/>
    </row>
    <row r="33" spans="1:8" s="4" customFormat="1" ht="25.5">
      <c r="A33" s="196"/>
      <c r="B33" s="6" t="s">
        <v>69</v>
      </c>
      <c r="C33" s="45" t="s">
        <v>108</v>
      </c>
      <c r="D33" s="41">
        <f>E33+F33+G33</f>
        <v>197</v>
      </c>
      <c r="E33" s="110">
        <f>23+20+20</f>
        <v>63</v>
      </c>
      <c r="F33" s="45">
        <v>48</v>
      </c>
      <c r="G33" s="45">
        <v>86</v>
      </c>
      <c r="H33" s="3"/>
    </row>
    <row r="34" spans="1:8" s="4" customFormat="1" ht="38.25">
      <c r="A34" s="196"/>
      <c r="B34" s="6" t="s">
        <v>110</v>
      </c>
      <c r="C34" s="45" t="s">
        <v>108</v>
      </c>
      <c r="D34" s="41">
        <f t="shared" si="0"/>
        <v>4</v>
      </c>
      <c r="E34" s="100">
        <f>24-20</f>
        <v>4</v>
      </c>
      <c r="F34" s="45"/>
      <c r="G34" s="45"/>
      <c r="H34" s="3"/>
    </row>
    <row r="35" spans="1:8" s="4" customFormat="1" ht="12.75">
      <c r="A35" s="196"/>
      <c r="B35" s="38" t="s">
        <v>71</v>
      </c>
      <c r="C35" s="45" t="s">
        <v>26</v>
      </c>
      <c r="D35" s="41">
        <f t="shared" si="0"/>
        <v>235</v>
      </c>
      <c r="E35" s="41">
        <f>E36</f>
        <v>79</v>
      </c>
      <c r="F35" s="41">
        <f>F36</f>
        <v>78</v>
      </c>
      <c r="G35" s="41">
        <f>G36</f>
        <v>78</v>
      </c>
      <c r="H35" s="3"/>
    </row>
    <row r="36" spans="1:10" s="4" customFormat="1" ht="41.25" customHeight="1">
      <c r="A36" s="196"/>
      <c r="B36" s="51" t="s">
        <v>72</v>
      </c>
      <c r="C36" s="45" t="s">
        <v>26</v>
      </c>
      <c r="D36" s="41">
        <f t="shared" si="0"/>
        <v>235</v>
      </c>
      <c r="E36" s="41">
        <f>78+1</f>
        <v>79</v>
      </c>
      <c r="F36" s="41">
        <v>78</v>
      </c>
      <c r="G36" s="41">
        <v>78</v>
      </c>
      <c r="H36" s="7"/>
      <c r="I36" s="26"/>
      <c r="J36" s="26"/>
    </row>
    <row r="37" spans="1:8" s="4" customFormat="1" ht="12.75">
      <c r="A37" s="196"/>
      <c r="B37" s="38" t="s">
        <v>73</v>
      </c>
      <c r="C37" s="45" t="s">
        <v>108</v>
      </c>
      <c r="D37" s="41">
        <f t="shared" si="0"/>
        <v>5</v>
      </c>
      <c r="E37" s="45">
        <v>3</v>
      </c>
      <c r="F37" s="45">
        <v>2</v>
      </c>
      <c r="G37" s="45">
        <v>0</v>
      </c>
      <c r="H37" s="3"/>
    </row>
    <row r="38" spans="1:8" s="4" customFormat="1" ht="38.25">
      <c r="A38" s="196"/>
      <c r="B38" s="38" t="s">
        <v>74</v>
      </c>
      <c r="C38" s="45" t="s">
        <v>108</v>
      </c>
      <c r="D38" s="41">
        <f t="shared" si="0"/>
        <v>25</v>
      </c>
      <c r="E38" s="45">
        <v>11</v>
      </c>
      <c r="F38" s="45">
        <v>7</v>
      </c>
      <c r="G38" s="45">
        <v>7</v>
      </c>
      <c r="H38" s="3"/>
    </row>
    <row r="39" spans="1:8" s="4" customFormat="1" ht="38.25" customHeight="1" hidden="1">
      <c r="A39" s="196"/>
      <c r="B39" s="38" t="s">
        <v>111</v>
      </c>
      <c r="C39" s="45" t="s">
        <v>56</v>
      </c>
      <c r="D39" s="41">
        <f t="shared" si="0"/>
        <v>0</v>
      </c>
      <c r="E39" s="29"/>
      <c r="F39" s="45"/>
      <c r="G39" s="45"/>
      <c r="H39" s="3"/>
    </row>
    <row r="40" spans="1:8" s="108" customFormat="1" ht="40.5" customHeight="1">
      <c r="A40" s="196"/>
      <c r="B40" s="132" t="s">
        <v>130</v>
      </c>
      <c r="C40" s="110" t="s">
        <v>129</v>
      </c>
      <c r="D40" s="127">
        <f t="shared" si="0"/>
        <v>427</v>
      </c>
      <c r="E40" s="127">
        <f>208+219</f>
        <v>427</v>
      </c>
      <c r="F40" s="106"/>
      <c r="G40" s="106"/>
      <c r="H40" s="106"/>
    </row>
    <row r="41" spans="1:8" s="4" customFormat="1" ht="38.25">
      <c r="A41" s="174"/>
      <c r="B41" s="132" t="s">
        <v>132</v>
      </c>
      <c r="C41" s="110" t="s">
        <v>129</v>
      </c>
      <c r="D41" s="127">
        <f t="shared" si="0"/>
        <v>1</v>
      </c>
      <c r="E41" s="127">
        <v>1</v>
      </c>
      <c r="F41" s="106"/>
      <c r="G41" s="29"/>
      <c r="H41" s="29"/>
    </row>
    <row r="42" spans="1:8" s="4" customFormat="1" ht="12.75" customHeight="1">
      <c r="A42" s="203" t="s">
        <v>75</v>
      </c>
      <c r="B42" s="204"/>
      <c r="C42" s="204"/>
      <c r="D42" s="204"/>
      <c r="E42" s="204"/>
      <c r="F42" s="204"/>
      <c r="G42" s="204"/>
      <c r="H42" s="205"/>
    </row>
    <row r="43" spans="1:8" s="4" customFormat="1" ht="12.75">
      <c r="A43" s="180" t="s">
        <v>107</v>
      </c>
      <c r="B43" s="180"/>
      <c r="C43" s="180"/>
      <c r="D43" s="180"/>
      <c r="E43" s="180"/>
      <c r="F43" s="180"/>
      <c r="G43" s="180"/>
      <c r="H43" s="3"/>
    </row>
    <row r="44" spans="1:8" s="4" customFormat="1" ht="52.5" customHeight="1">
      <c r="A44" s="173" t="s">
        <v>35</v>
      </c>
      <c r="B44" s="177" t="s">
        <v>76</v>
      </c>
      <c r="C44" s="175" t="s">
        <v>112</v>
      </c>
      <c r="D44" s="206">
        <v>7</v>
      </c>
      <c r="E44" s="175">
        <v>7</v>
      </c>
      <c r="F44" s="175">
        <v>7</v>
      </c>
      <c r="G44" s="175">
        <v>7</v>
      </c>
      <c r="H44" s="3"/>
    </row>
    <row r="45" spans="1:8" s="4" customFormat="1" ht="12.75">
      <c r="A45" s="196"/>
      <c r="B45" s="178"/>
      <c r="C45" s="176"/>
      <c r="D45" s="207"/>
      <c r="E45" s="176"/>
      <c r="F45" s="176"/>
      <c r="G45" s="176"/>
      <c r="H45" s="3"/>
    </row>
    <row r="46" spans="1:8" s="4" customFormat="1" ht="63.75">
      <c r="A46" s="196"/>
      <c r="B46" s="38" t="s">
        <v>77</v>
      </c>
      <c r="C46" s="45" t="s">
        <v>26</v>
      </c>
      <c r="D46" s="41">
        <f aca="true" t="shared" si="1" ref="D46:D62">E46+F46+G46</f>
        <v>6122</v>
      </c>
      <c r="E46" s="45">
        <v>1901</v>
      </c>
      <c r="F46" s="45">
        <v>2054</v>
      </c>
      <c r="G46" s="45">
        <v>2167</v>
      </c>
      <c r="H46" s="3"/>
    </row>
    <row r="47" spans="1:8" s="4" customFormat="1" ht="51">
      <c r="A47" s="196"/>
      <c r="B47" s="38" t="s">
        <v>78</v>
      </c>
      <c r="C47" s="45" t="s">
        <v>26</v>
      </c>
      <c r="D47" s="41">
        <v>275</v>
      </c>
      <c r="E47" s="45">
        <v>275</v>
      </c>
      <c r="F47" s="45"/>
      <c r="G47" s="45"/>
      <c r="H47" s="3"/>
    </row>
    <row r="48" spans="1:8" s="4" customFormat="1" ht="51">
      <c r="A48" s="196"/>
      <c r="B48" s="52" t="s">
        <v>79</v>
      </c>
      <c r="C48" s="45" t="s">
        <v>113</v>
      </c>
      <c r="D48" s="81">
        <f t="shared" si="1"/>
        <v>3.589</v>
      </c>
      <c r="E48" s="45">
        <v>3.589</v>
      </c>
      <c r="F48" s="45"/>
      <c r="G48" s="45"/>
      <c r="H48" s="3"/>
    </row>
    <row r="49" spans="1:8" s="4" customFormat="1" ht="51">
      <c r="A49" s="196"/>
      <c r="B49" s="53" t="s">
        <v>80</v>
      </c>
      <c r="C49" s="45"/>
      <c r="D49" s="81"/>
      <c r="E49" s="45"/>
      <c r="F49" s="45"/>
      <c r="G49" s="45"/>
      <c r="H49" s="3"/>
    </row>
    <row r="50" spans="1:8" s="4" customFormat="1" ht="25.5">
      <c r="A50" s="196"/>
      <c r="B50" s="54" t="s">
        <v>81</v>
      </c>
      <c r="C50" s="82" t="s">
        <v>26</v>
      </c>
      <c r="D50" s="83">
        <f t="shared" si="1"/>
        <v>92</v>
      </c>
      <c r="E50" s="83">
        <v>92</v>
      </c>
      <c r="F50" s="45"/>
      <c r="G50" s="45"/>
      <c r="H50" s="3"/>
    </row>
    <row r="51" spans="1:8" s="4" customFormat="1" ht="25.5">
      <c r="A51" s="196"/>
      <c r="B51" s="54" t="s">
        <v>82</v>
      </c>
      <c r="C51" s="82" t="s">
        <v>26</v>
      </c>
      <c r="D51" s="83">
        <f t="shared" si="1"/>
        <v>742</v>
      </c>
      <c r="E51" s="83">
        <v>742</v>
      </c>
      <c r="F51" s="45"/>
      <c r="G51" s="45"/>
      <c r="H51" s="3"/>
    </row>
    <row r="52" spans="1:8" s="4" customFormat="1" ht="25.5">
      <c r="A52" s="196"/>
      <c r="B52" s="54" t="s">
        <v>83</v>
      </c>
      <c r="C52" s="82" t="s">
        <v>26</v>
      </c>
      <c r="D52" s="83">
        <f t="shared" si="1"/>
        <v>1091</v>
      </c>
      <c r="E52" s="83">
        <v>1091</v>
      </c>
      <c r="F52" s="45"/>
      <c r="G52" s="45"/>
      <c r="H52" s="3"/>
    </row>
    <row r="53" spans="1:8" s="4" customFormat="1" ht="38.25">
      <c r="A53" s="196"/>
      <c r="B53" s="54" t="s">
        <v>84</v>
      </c>
      <c r="C53" s="82" t="s">
        <v>26</v>
      </c>
      <c r="D53" s="83">
        <f t="shared" si="1"/>
        <v>977</v>
      </c>
      <c r="E53" s="83">
        <v>977</v>
      </c>
      <c r="F53" s="45"/>
      <c r="G53" s="45"/>
      <c r="H53" s="3"/>
    </row>
    <row r="54" spans="1:8" s="4" customFormat="1" ht="38.25">
      <c r="A54" s="196"/>
      <c r="B54" s="54" t="s">
        <v>85</v>
      </c>
      <c r="C54" s="82" t="s">
        <v>26</v>
      </c>
      <c r="D54" s="83">
        <f t="shared" si="1"/>
        <v>26</v>
      </c>
      <c r="E54" s="83">
        <v>26</v>
      </c>
      <c r="F54" s="45"/>
      <c r="G54" s="45"/>
      <c r="H54" s="3"/>
    </row>
    <row r="55" spans="1:8" s="4" customFormat="1" ht="63.75">
      <c r="A55" s="196"/>
      <c r="B55" s="54" t="s">
        <v>86</v>
      </c>
      <c r="C55" s="82" t="s">
        <v>26</v>
      </c>
      <c r="D55" s="83">
        <f t="shared" si="1"/>
        <v>2850</v>
      </c>
      <c r="E55" s="83">
        <v>2850</v>
      </c>
      <c r="F55" s="45"/>
      <c r="G55" s="45"/>
      <c r="H55" s="3"/>
    </row>
    <row r="56" spans="1:8" s="4" customFormat="1" ht="25.5">
      <c r="A56" s="196"/>
      <c r="B56" s="57" t="s">
        <v>87</v>
      </c>
      <c r="C56" s="82" t="s">
        <v>108</v>
      </c>
      <c r="D56" s="83">
        <f t="shared" si="1"/>
        <v>5</v>
      </c>
      <c r="E56" s="141">
        <f>3+2</f>
        <v>5</v>
      </c>
      <c r="F56" s="45"/>
      <c r="G56" s="45"/>
      <c r="H56" s="3"/>
    </row>
    <row r="57" spans="1:8" s="4" customFormat="1" ht="38.25">
      <c r="A57" s="196"/>
      <c r="B57" s="59" t="s">
        <v>88</v>
      </c>
      <c r="C57" s="82" t="s">
        <v>108</v>
      </c>
      <c r="D57" s="84">
        <f t="shared" si="1"/>
        <v>5</v>
      </c>
      <c r="E57" s="84">
        <v>5</v>
      </c>
      <c r="F57" s="45"/>
      <c r="G57" s="45"/>
      <c r="H57" s="3"/>
    </row>
    <row r="58" spans="1:8" s="4" customFormat="1" ht="25.5">
      <c r="A58" s="196"/>
      <c r="B58" s="59" t="s">
        <v>89</v>
      </c>
      <c r="C58" s="82" t="s">
        <v>108</v>
      </c>
      <c r="D58" s="84">
        <f t="shared" si="1"/>
        <v>5</v>
      </c>
      <c r="E58" s="84">
        <v>5</v>
      </c>
      <c r="F58" s="45"/>
      <c r="G58" s="45"/>
      <c r="H58" s="3"/>
    </row>
    <row r="59" spans="1:8" s="4" customFormat="1" ht="89.25">
      <c r="A59" s="196"/>
      <c r="B59" s="138" t="s">
        <v>138</v>
      </c>
      <c r="C59" s="82" t="s">
        <v>26</v>
      </c>
      <c r="D59" s="83">
        <f t="shared" si="1"/>
        <v>1385</v>
      </c>
      <c r="E59" s="83">
        <v>1385</v>
      </c>
      <c r="F59" s="45"/>
      <c r="G59" s="45"/>
      <c r="H59" s="3"/>
    </row>
    <row r="60" spans="1:8" s="4" customFormat="1" ht="102">
      <c r="A60" s="196"/>
      <c r="B60" s="57" t="s">
        <v>90</v>
      </c>
      <c r="C60" s="43" t="s">
        <v>108</v>
      </c>
      <c r="D60" s="83">
        <f t="shared" si="1"/>
        <v>3</v>
      </c>
      <c r="E60" s="83">
        <f>2+1</f>
        <v>3</v>
      </c>
      <c r="F60" s="45"/>
      <c r="G60" s="45"/>
      <c r="H60" s="3"/>
    </row>
    <row r="61" spans="1:8" s="4" customFormat="1" ht="51">
      <c r="A61" s="196"/>
      <c r="B61" s="38" t="s">
        <v>100</v>
      </c>
      <c r="C61" s="85" t="s">
        <v>26</v>
      </c>
      <c r="D61" s="85">
        <f>E61+F111+G111</f>
        <v>3084</v>
      </c>
      <c r="E61" s="43">
        <f>234+1900+950</f>
        <v>3084</v>
      </c>
      <c r="F61" s="45"/>
      <c r="G61" s="45"/>
      <c r="H61" s="3"/>
    </row>
    <row r="62" spans="1:8" s="4" customFormat="1" ht="38.25">
      <c r="A62" s="174"/>
      <c r="B62" s="52" t="s">
        <v>91</v>
      </c>
      <c r="C62" s="45" t="s">
        <v>108</v>
      </c>
      <c r="D62" s="41">
        <f t="shared" si="1"/>
        <v>1</v>
      </c>
      <c r="E62" s="45">
        <v>1</v>
      </c>
      <c r="F62" s="45"/>
      <c r="G62" s="45"/>
      <c r="H62" s="3"/>
    </row>
    <row r="63" spans="1:8" s="4" customFormat="1" ht="12.75">
      <c r="A63" s="180" t="s">
        <v>55</v>
      </c>
      <c r="B63" s="180"/>
      <c r="C63" s="180"/>
      <c r="D63" s="180"/>
      <c r="E63" s="180"/>
      <c r="F63" s="180"/>
      <c r="G63" s="180"/>
      <c r="H63" s="3"/>
    </row>
    <row r="64" spans="1:8" s="4" customFormat="1" ht="21.75" customHeight="1">
      <c r="A64" s="197" t="s">
        <v>35</v>
      </c>
      <c r="B64" s="60"/>
      <c r="C64" s="45"/>
      <c r="D64" s="86"/>
      <c r="E64" s="86"/>
      <c r="F64" s="86"/>
      <c r="G64" s="86"/>
      <c r="H64" s="3"/>
    </row>
    <row r="65" spans="1:9" s="4" customFormat="1" ht="63.75">
      <c r="A65" s="197"/>
      <c r="B65" s="60" t="s">
        <v>49</v>
      </c>
      <c r="C65" s="45" t="s">
        <v>39</v>
      </c>
      <c r="D65" s="78">
        <v>22.128</v>
      </c>
      <c r="E65" s="29">
        <v>22.128</v>
      </c>
      <c r="F65" s="87"/>
      <c r="G65" s="87"/>
      <c r="H65" s="3"/>
      <c r="I65" s="37">
        <f>E65+E68+E73+E76+E79+E83+E86</f>
        <v>126.06099999999999</v>
      </c>
    </row>
    <row r="66" spans="1:8" s="4" customFormat="1" ht="12.75">
      <c r="A66" s="180" t="s">
        <v>51</v>
      </c>
      <c r="B66" s="180"/>
      <c r="C66" s="180"/>
      <c r="D66" s="180"/>
      <c r="E66" s="180"/>
      <c r="F66" s="180"/>
      <c r="G66" s="180"/>
      <c r="H66" s="3"/>
    </row>
    <row r="67" spans="1:8" s="4" customFormat="1" ht="21.75" customHeight="1">
      <c r="A67" s="170" t="s">
        <v>35</v>
      </c>
      <c r="B67" s="60"/>
      <c r="C67" s="45"/>
      <c r="D67" s="86"/>
      <c r="E67" s="86"/>
      <c r="F67" s="86"/>
      <c r="G67" s="86"/>
      <c r="H67" s="3"/>
    </row>
    <row r="68" spans="1:8" s="4" customFormat="1" ht="63.75">
      <c r="A68" s="202"/>
      <c r="B68" s="60" t="s">
        <v>49</v>
      </c>
      <c r="C68" s="45" t="s">
        <v>39</v>
      </c>
      <c r="D68" s="78">
        <v>17.105</v>
      </c>
      <c r="E68" s="29">
        <v>17.105</v>
      </c>
      <c r="F68" s="87"/>
      <c r="G68" s="87"/>
      <c r="H68" s="3"/>
    </row>
    <row r="69" spans="1:8" s="4" customFormat="1" ht="63.75">
      <c r="A69" s="62"/>
      <c r="B69" s="60" t="s">
        <v>122</v>
      </c>
      <c r="C69" s="45" t="s">
        <v>123</v>
      </c>
      <c r="D69" s="45">
        <f>E69+F69+G69</f>
        <v>1</v>
      </c>
      <c r="E69" s="45">
        <v>1</v>
      </c>
      <c r="F69" s="45"/>
      <c r="G69" s="45"/>
      <c r="H69" s="3"/>
    </row>
    <row r="70" spans="1:8" s="4" customFormat="1" ht="12.75">
      <c r="A70" s="180" t="s">
        <v>53</v>
      </c>
      <c r="B70" s="180"/>
      <c r="C70" s="180"/>
      <c r="D70" s="180"/>
      <c r="E70" s="180"/>
      <c r="F70" s="180"/>
      <c r="G70" s="180"/>
      <c r="H70" s="3"/>
    </row>
    <row r="71" spans="1:8" s="4" customFormat="1" ht="12.75">
      <c r="A71" s="170" t="s">
        <v>35</v>
      </c>
      <c r="B71" s="60"/>
      <c r="C71" s="45"/>
      <c r="D71" s="45"/>
      <c r="E71" s="45"/>
      <c r="F71" s="45"/>
      <c r="G71" s="45"/>
      <c r="H71" s="3"/>
    </row>
    <row r="72" spans="1:8" s="4" customFormat="1" ht="55.5" customHeight="1">
      <c r="A72" s="171"/>
      <c r="B72" s="60" t="s">
        <v>49</v>
      </c>
      <c r="C72" s="45" t="s">
        <v>39</v>
      </c>
      <c r="D72" s="45">
        <f>E72+F72+G72</f>
        <v>12.881</v>
      </c>
      <c r="E72" s="45">
        <v>12.881</v>
      </c>
      <c r="F72" s="45"/>
      <c r="G72" s="45"/>
      <c r="H72" s="3"/>
    </row>
    <row r="73" spans="1:8" s="4" customFormat="1" ht="63.75">
      <c r="A73" s="202"/>
      <c r="B73" s="60" t="s">
        <v>122</v>
      </c>
      <c r="C73" s="45" t="s">
        <v>123</v>
      </c>
      <c r="D73" s="45">
        <f>E73+F73+G73</f>
        <v>1</v>
      </c>
      <c r="E73" s="45">
        <v>1</v>
      </c>
      <c r="F73" s="45"/>
      <c r="G73" s="45"/>
      <c r="H73" s="3"/>
    </row>
    <row r="74" spans="1:8" s="4" customFormat="1" ht="12.75">
      <c r="A74" s="180" t="s">
        <v>29</v>
      </c>
      <c r="B74" s="180"/>
      <c r="C74" s="180"/>
      <c r="D74" s="180"/>
      <c r="E74" s="180"/>
      <c r="F74" s="180"/>
      <c r="G74" s="180"/>
      <c r="H74" s="3"/>
    </row>
    <row r="75" spans="1:8" s="4" customFormat="1" ht="12.75">
      <c r="A75" s="170" t="s">
        <v>35</v>
      </c>
      <c r="B75" s="60"/>
      <c r="C75" s="45"/>
      <c r="D75" s="45"/>
      <c r="E75" s="45"/>
      <c r="F75" s="45"/>
      <c r="G75" s="45"/>
      <c r="H75" s="3"/>
    </row>
    <row r="76" spans="1:8" s="4" customFormat="1" ht="63.75">
      <c r="A76" s="202"/>
      <c r="B76" s="60" t="s">
        <v>49</v>
      </c>
      <c r="C76" s="45" t="s">
        <v>39</v>
      </c>
      <c r="D76" s="45">
        <f>E76+F76+G76</f>
        <v>28.991</v>
      </c>
      <c r="E76" s="78">
        <v>28.991</v>
      </c>
      <c r="F76" s="45"/>
      <c r="G76" s="45"/>
      <c r="H76" s="3"/>
    </row>
    <row r="77" spans="1:8" s="4" customFormat="1" ht="12.75">
      <c r="A77" s="180" t="s">
        <v>30</v>
      </c>
      <c r="B77" s="180"/>
      <c r="C77" s="180"/>
      <c r="D77" s="180"/>
      <c r="E77" s="180"/>
      <c r="F77" s="180"/>
      <c r="G77" s="180"/>
      <c r="H77" s="3"/>
    </row>
    <row r="78" spans="1:8" s="4" customFormat="1" ht="12.75">
      <c r="A78" s="170" t="s">
        <v>35</v>
      </c>
      <c r="B78" s="60"/>
      <c r="C78" s="45"/>
      <c r="D78" s="45"/>
      <c r="E78" s="45"/>
      <c r="F78" s="45"/>
      <c r="G78" s="45"/>
      <c r="H78" s="3"/>
    </row>
    <row r="79" spans="1:8" s="4" customFormat="1" ht="63.75">
      <c r="A79" s="202"/>
      <c r="B79" s="60" t="s">
        <v>49</v>
      </c>
      <c r="C79" s="45" t="s">
        <v>39</v>
      </c>
      <c r="D79" s="88">
        <f>E79+F79+G79</f>
        <v>30.5</v>
      </c>
      <c r="E79" s="142">
        <f>21.4+9.1</f>
        <v>30.5</v>
      </c>
      <c r="F79" s="45"/>
      <c r="G79" s="45"/>
      <c r="H79" s="3"/>
    </row>
    <row r="80" spans="1:8" s="4" customFormat="1" ht="63.75">
      <c r="A80" s="62"/>
      <c r="B80" s="134" t="s">
        <v>122</v>
      </c>
      <c r="C80" s="110" t="s">
        <v>123</v>
      </c>
      <c r="D80" s="110">
        <f>E80+F80+G80</f>
        <v>1</v>
      </c>
      <c r="E80" s="110">
        <v>1</v>
      </c>
      <c r="F80" s="45"/>
      <c r="G80" s="45"/>
      <c r="H80" s="3"/>
    </row>
    <row r="81" spans="1:8" s="4" customFormat="1" ht="12.75">
      <c r="A81" s="180" t="s">
        <v>31</v>
      </c>
      <c r="B81" s="180"/>
      <c r="C81" s="180"/>
      <c r="D81" s="180"/>
      <c r="E81" s="180"/>
      <c r="F81" s="180"/>
      <c r="G81" s="180"/>
      <c r="H81" s="3"/>
    </row>
    <row r="82" spans="1:8" s="4" customFormat="1" ht="12.75">
      <c r="A82" s="170" t="s">
        <v>35</v>
      </c>
      <c r="B82" s="60"/>
      <c r="C82" s="45"/>
      <c r="D82" s="45"/>
      <c r="E82" s="45"/>
      <c r="F82" s="45"/>
      <c r="G82" s="45"/>
      <c r="H82" s="3"/>
    </row>
    <row r="83" spans="1:8" s="4" customFormat="1" ht="63.75">
      <c r="A83" s="202"/>
      <c r="B83" s="60" t="s">
        <v>49</v>
      </c>
      <c r="C83" s="45" t="s">
        <v>39</v>
      </c>
      <c r="D83" s="78">
        <f>E83+F83+G83</f>
        <v>16.96</v>
      </c>
      <c r="E83" s="78">
        <f>15.14+1.82</f>
        <v>16.96</v>
      </c>
      <c r="F83" s="45"/>
      <c r="G83" s="45"/>
      <c r="H83" s="3"/>
    </row>
    <row r="84" spans="1:8" s="4" customFormat="1" ht="12.75">
      <c r="A84" s="180" t="s">
        <v>32</v>
      </c>
      <c r="B84" s="180"/>
      <c r="C84" s="180"/>
      <c r="D84" s="180"/>
      <c r="E84" s="180"/>
      <c r="F84" s="180"/>
      <c r="G84" s="180"/>
      <c r="H84" s="3"/>
    </row>
    <row r="85" spans="1:8" s="4" customFormat="1" ht="12.75">
      <c r="A85" s="170" t="s">
        <v>35</v>
      </c>
      <c r="B85" s="60"/>
      <c r="C85" s="45"/>
      <c r="D85" s="45"/>
      <c r="E85" s="45"/>
      <c r="F85" s="45"/>
      <c r="G85" s="45"/>
      <c r="H85" s="3"/>
    </row>
    <row r="86" spans="1:8" s="4" customFormat="1" ht="76.5" customHeight="1">
      <c r="A86" s="202"/>
      <c r="B86" s="60" t="s">
        <v>49</v>
      </c>
      <c r="C86" s="45" t="s">
        <v>39</v>
      </c>
      <c r="D86" s="78">
        <f>E86</f>
        <v>9.376999999999999</v>
      </c>
      <c r="E86" s="143">
        <f>7.497+1.88</f>
        <v>9.376999999999999</v>
      </c>
      <c r="F86" s="45"/>
      <c r="G86" s="45"/>
      <c r="H86" s="3"/>
    </row>
    <row r="87" spans="1:8" s="4" customFormat="1" ht="12.75">
      <c r="A87" s="203" t="s">
        <v>92</v>
      </c>
      <c r="B87" s="204"/>
      <c r="C87" s="204"/>
      <c r="D87" s="204"/>
      <c r="E87" s="204"/>
      <c r="F87" s="204"/>
      <c r="G87" s="204"/>
      <c r="H87" s="205"/>
    </row>
    <row r="88" spans="1:8" s="4" customFormat="1" ht="12.75">
      <c r="A88" s="173" t="s">
        <v>93</v>
      </c>
      <c r="B88" s="60"/>
      <c r="C88" s="38"/>
      <c r="D88" s="38"/>
      <c r="E88" s="30"/>
      <c r="F88" s="30"/>
      <c r="G88" s="30"/>
      <c r="H88" s="5">
        <f>H89</f>
        <v>0</v>
      </c>
    </row>
    <row r="89" spans="1:9" s="4" customFormat="1" ht="38.25">
      <c r="A89" s="174"/>
      <c r="B89" s="60" t="s">
        <v>94</v>
      </c>
      <c r="C89" s="45" t="s">
        <v>26</v>
      </c>
      <c r="D89" s="41">
        <f>E89+F89+G89</f>
        <v>450</v>
      </c>
      <c r="E89" s="135">
        <f>228+222</f>
        <v>450</v>
      </c>
      <c r="F89" s="45">
        <v>0</v>
      </c>
      <c r="G89" s="45">
        <v>0</v>
      </c>
      <c r="H89" s="7"/>
      <c r="I89" s="4">
        <v>450</v>
      </c>
    </row>
    <row r="90" spans="1:8" s="4" customFormat="1" ht="12.75">
      <c r="A90" s="121" t="s">
        <v>34</v>
      </c>
      <c r="B90" s="122"/>
      <c r="C90" s="122"/>
      <c r="D90" s="122"/>
      <c r="E90" s="122"/>
      <c r="F90" s="122"/>
      <c r="G90" s="122"/>
      <c r="H90" s="122"/>
    </row>
    <row r="91" spans="1:8" s="4" customFormat="1" ht="12.75">
      <c r="A91" s="180" t="s">
        <v>107</v>
      </c>
      <c r="B91" s="180"/>
      <c r="C91" s="180"/>
      <c r="D91" s="180"/>
      <c r="E91" s="180"/>
      <c r="F91" s="180"/>
      <c r="G91" s="180"/>
      <c r="H91" s="3"/>
    </row>
    <row r="92" spans="1:8" s="4" customFormat="1" ht="12.75" customHeight="1">
      <c r="A92" s="173" t="s">
        <v>36</v>
      </c>
      <c r="B92" s="45"/>
      <c r="C92" s="45"/>
      <c r="D92" s="45"/>
      <c r="E92" s="45"/>
      <c r="F92" s="45"/>
      <c r="G92" s="45"/>
      <c r="H92" s="3"/>
    </row>
    <row r="93" spans="1:8" s="4" customFormat="1" ht="38.25">
      <c r="A93" s="196"/>
      <c r="B93" s="38" t="s">
        <v>44</v>
      </c>
      <c r="C93" s="45" t="s">
        <v>48</v>
      </c>
      <c r="D93" s="41">
        <f>E93+F93+G93</f>
        <v>59</v>
      </c>
      <c r="E93" s="110">
        <f>45-10+3-4</f>
        <v>34</v>
      </c>
      <c r="F93" s="45">
        <v>20</v>
      </c>
      <c r="G93" s="45">
        <v>5</v>
      </c>
      <c r="H93" s="3"/>
    </row>
    <row r="94" spans="1:8" s="108" customFormat="1" ht="38.25">
      <c r="A94" s="174"/>
      <c r="B94" s="99" t="s">
        <v>135</v>
      </c>
      <c r="C94" s="110" t="s">
        <v>40</v>
      </c>
      <c r="D94" s="127">
        <f>E94+F94+G94</f>
        <v>1</v>
      </c>
      <c r="E94" s="110">
        <v>1</v>
      </c>
      <c r="F94" s="107"/>
      <c r="G94" s="107"/>
      <c r="H94" s="113"/>
    </row>
    <row r="95" spans="1:8" s="4" customFormat="1" ht="12.75">
      <c r="A95" s="121" t="s">
        <v>34</v>
      </c>
      <c r="B95" s="122"/>
      <c r="C95" s="122"/>
      <c r="D95" s="122"/>
      <c r="E95" s="122"/>
      <c r="F95" s="122"/>
      <c r="G95" s="122"/>
      <c r="H95" s="122"/>
    </row>
    <row r="96" spans="1:8" s="4" customFormat="1" ht="12.75">
      <c r="A96" s="180" t="s">
        <v>114</v>
      </c>
      <c r="B96" s="180"/>
      <c r="C96" s="180"/>
      <c r="D96" s="180"/>
      <c r="E96" s="180"/>
      <c r="F96" s="180"/>
      <c r="G96" s="180"/>
      <c r="H96" s="3"/>
    </row>
    <row r="97" spans="1:8" s="4" customFormat="1" ht="12.75" customHeight="1">
      <c r="A97" s="173" t="s">
        <v>36</v>
      </c>
      <c r="B97" s="45"/>
      <c r="C97" s="45"/>
      <c r="D97" s="45"/>
      <c r="E97" s="45"/>
      <c r="F97" s="45"/>
      <c r="G97" s="45"/>
      <c r="H97" s="3"/>
    </row>
    <row r="98" spans="1:8" s="4" customFormat="1" ht="25.5">
      <c r="A98" s="196"/>
      <c r="B98" s="89" t="s">
        <v>95</v>
      </c>
      <c r="C98" s="45" t="s">
        <v>48</v>
      </c>
      <c r="D98" s="45">
        <f>E98+F98+G98</f>
        <v>5</v>
      </c>
      <c r="E98" s="45">
        <v>4</v>
      </c>
      <c r="F98" s="45">
        <v>1</v>
      </c>
      <c r="G98" s="45"/>
      <c r="H98" s="3"/>
    </row>
    <row r="99" spans="1:8" s="4" customFormat="1" ht="25.5">
      <c r="A99" s="196"/>
      <c r="B99" s="38" t="s">
        <v>98</v>
      </c>
      <c r="C99" s="45" t="s">
        <v>48</v>
      </c>
      <c r="D99" s="45">
        <f>E99+F99+G99</f>
        <v>2</v>
      </c>
      <c r="E99" s="45">
        <v>1</v>
      </c>
      <c r="F99" s="45">
        <v>1</v>
      </c>
      <c r="G99" s="45"/>
      <c r="H99" s="3"/>
    </row>
    <row r="100" spans="1:8" s="103" customFormat="1" ht="12.75">
      <c r="A100" s="123" t="str">
        <f>'додаток 1'!A88:H88</f>
        <v>Будівництво та придбання житла для окремих категорій населення</v>
      </c>
      <c r="B100" s="124"/>
      <c r="C100" s="124"/>
      <c r="D100" s="124"/>
      <c r="E100" s="124"/>
      <c r="F100" s="124"/>
      <c r="G100" s="124"/>
      <c r="H100" s="125"/>
    </row>
    <row r="101" spans="1:8" s="103" customFormat="1" ht="12.75">
      <c r="A101" s="126" t="s">
        <v>107</v>
      </c>
      <c r="B101" s="198"/>
      <c r="C101" s="198"/>
      <c r="D101" s="198"/>
      <c r="E101" s="198"/>
      <c r="F101" s="198"/>
      <c r="G101" s="199"/>
      <c r="H101" s="136"/>
    </row>
    <row r="102" spans="1:10" s="103" customFormat="1" ht="17.25" customHeight="1">
      <c r="A102" s="200" t="s">
        <v>124</v>
      </c>
      <c r="B102" s="99"/>
      <c r="C102" s="110"/>
      <c r="D102" s="127"/>
      <c r="E102" s="110"/>
      <c r="F102" s="110"/>
      <c r="G102" s="110"/>
      <c r="H102" s="136"/>
      <c r="J102" s="152"/>
    </row>
    <row r="103" spans="1:10" s="103" customFormat="1" ht="29.25" customHeight="1">
      <c r="A103" s="201"/>
      <c r="B103" s="99" t="s">
        <v>139</v>
      </c>
      <c r="C103" s="110" t="s">
        <v>26</v>
      </c>
      <c r="D103" s="127">
        <f>E103+F103+G103</f>
        <v>2</v>
      </c>
      <c r="E103" s="127">
        <v>2</v>
      </c>
      <c r="F103" s="110"/>
      <c r="G103" s="110"/>
      <c r="H103" s="136"/>
      <c r="J103" s="172"/>
    </row>
    <row r="104" spans="1:8" s="1" customFormat="1" ht="12.75">
      <c r="A104" s="155" t="s">
        <v>99</v>
      </c>
      <c r="B104" s="155"/>
      <c r="C104" s="155"/>
      <c r="D104" s="155"/>
      <c r="E104" s="155"/>
      <c r="F104" s="155"/>
      <c r="G104" s="155"/>
      <c r="H104" s="6"/>
    </row>
    <row r="105" spans="1:8" s="1" customFormat="1" ht="12.75">
      <c r="A105" s="167" t="s">
        <v>107</v>
      </c>
      <c r="B105" s="167"/>
      <c r="C105" s="167"/>
      <c r="D105" s="167"/>
      <c r="E105" s="167"/>
      <c r="F105" s="167"/>
      <c r="G105" s="167"/>
      <c r="H105" s="6"/>
    </row>
    <row r="106" spans="1:8" s="1" customFormat="1" ht="12.75" customHeight="1">
      <c r="A106" s="173" t="s">
        <v>127</v>
      </c>
      <c r="B106" s="34"/>
      <c r="C106" s="43"/>
      <c r="D106" s="52"/>
      <c r="E106" s="52"/>
      <c r="F106" s="52"/>
      <c r="G106" s="52"/>
      <c r="H106" s="6"/>
    </row>
    <row r="107" spans="1:8" s="1" customFormat="1" ht="165.75">
      <c r="A107" s="174"/>
      <c r="B107" s="105" t="s">
        <v>128</v>
      </c>
      <c r="C107" s="44" t="s">
        <v>40</v>
      </c>
      <c r="D107" s="42">
        <f>E107+F107+G107</f>
        <v>4</v>
      </c>
      <c r="E107" s="137">
        <f>3+1</f>
        <v>4</v>
      </c>
      <c r="F107" s="42"/>
      <c r="G107" s="42"/>
      <c r="H107" s="6"/>
    </row>
    <row r="108" spans="1:8" s="1" customFormat="1" ht="12.75" hidden="1">
      <c r="A108" s="190" t="s">
        <v>118</v>
      </c>
      <c r="B108" s="191"/>
      <c r="C108" s="191"/>
      <c r="D108" s="191"/>
      <c r="E108" s="191"/>
      <c r="F108" s="191"/>
      <c r="G108" s="191"/>
      <c r="H108" s="192"/>
    </row>
    <row r="109" spans="1:8" s="1" customFormat="1" ht="12.75" hidden="1">
      <c r="A109" s="167" t="s">
        <v>107</v>
      </c>
      <c r="B109" s="167"/>
      <c r="C109" s="167"/>
      <c r="D109" s="167"/>
      <c r="E109" s="167"/>
      <c r="F109" s="167"/>
      <c r="G109" s="167"/>
      <c r="H109" s="6"/>
    </row>
    <row r="110" spans="1:8" s="1" customFormat="1" ht="12.75" customHeight="1" hidden="1">
      <c r="A110" s="153" t="s">
        <v>119</v>
      </c>
      <c r="B110" s="34"/>
      <c r="C110" s="43"/>
      <c r="D110" s="52"/>
      <c r="E110" s="52"/>
      <c r="F110" s="52"/>
      <c r="G110" s="52"/>
      <c r="H110" s="6"/>
    </row>
    <row r="111" spans="1:8" s="1" customFormat="1" ht="54.75" customHeight="1" hidden="1">
      <c r="A111" s="154"/>
      <c r="B111" s="38" t="s">
        <v>120</v>
      </c>
      <c r="C111" s="43" t="s">
        <v>26</v>
      </c>
      <c r="D111" s="42">
        <f>E111+F111+G111</f>
        <v>0</v>
      </c>
      <c r="E111" s="42"/>
      <c r="F111" s="43"/>
      <c r="G111" s="43"/>
      <c r="H111" s="6"/>
    </row>
    <row r="112" spans="1:8" ht="12.75">
      <c r="A112" s="155" t="s">
        <v>101</v>
      </c>
      <c r="B112" s="155"/>
      <c r="C112" s="155"/>
      <c r="D112" s="155"/>
      <c r="E112" s="155"/>
      <c r="F112" s="155"/>
      <c r="G112" s="155"/>
      <c r="H112" s="25"/>
    </row>
    <row r="113" spans="1:8" ht="12.75">
      <c r="A113" s="167" t="s">
        <v>107</v>
      </c>
      <c r="B113" s="167"/>
      <c r="C113" s="167"/>
      <c r="D113" s="167"/>
      <c r="E113" s="167"/>
      <c r="F113" s="167"/>
      <c r="G113" s="167"/>
      <c r="H113" s="25"/>
    </row>
    <row r="114" spans="1:8" ht="38.25">
      <c r="A114" s="66" t="s">
        <v>102</v>
      </c>
      <c r="B114" s="38" t="s">
        <v>103</v>
      </c>
      <c r="C114" s="85" t="s">
        <v>26</v>
      </c>
      <c r="D114" s="85">
        <f>E114+F114+G114</f>
        <v>9</v>
      </c>
      <c r="E114" s="97">
        <f>14-5</f>
        <v>9</v>
      </c>
      <c r="F114" s="90"/>
      <c r="G114" s="90"/>
      <c r="H114" s="25"/>
    </row>
    <row r="115" spans="1:7" s="22" customFormat="1" ht="18.75">
      <c r="A115" s="77"/>
      <c r="B115" s="77"/>
      <c r="C115" s="77"/>
      <c r="D115" s="77"/>
      <c r="E115" s="77"/>
      <c r="F115" s="77"/>
      <c r="G115" s="77"/>
    </row>
    <row r="116" spans="1:8" ht="12.75">
      <c r="A116" s="91"/>
      <c r="B116" s="92"/>
      <c r="C116" s="93"/>
      <c r="D116" s="94"/>
      <c r="E116" s="94"/>
      <c r="F116" s="94"/>
      <c r="G116" s="94"/>
      <c r="H116" s="27"/>
    </row>
    <row r="117" spans="1:7" s="22" customFormat="1" ht="18.75" customHeight="1">
      <c r="A117" s="95" t="s">
        <v>38</v>
      </c>
      <c r="B117" s="95"/>
      <c r="C117" s="77"/>
      <c r="D117" s="95"/>
      <c r="E117" s="95"/>
      <c r="F117" s="157" t="s">
        <v>47</v>
      </c>
      <c r="G117" s="157"/>
    </row>
    <row r="118" spans="1:7" s="4" customFormat="1" ht="25.5" customHeight="1">
      <c r="A118" s="74"/>
      <c r="B118" s="75"/>
      <c r="C118" s="76"/>
      <c r="D118" s="75"/>
      <c r="E118" s="75"/>
      <c r="F118" s="75"/>
      <c r="G118" s="75"/>
    </row>
    <row r="119" spans="1:7" s="4" customFormat="1" ht="17.25" customHeight="1">
      <c r="A119" s="74"/>
      <c r="B119" s="75"/>
      <c r="C119" s="76"/>
      <c r="D119" s="75"/>
      <c r="E119" s="75"/>
      <c r="F119" s="75"/>
      <c r="G119" s="75"/>
    </row>
    <row r="120" spans="1:7" s="4" customFormat="1" ht="12.75">
      <c r="A120" s="74"/>
      <c r="B120" s="75"/>
      <c r="C120" s="76"/>
      <c r="D120" s="75"/>
      <c r="E120" s="75"/>
      <c r="F120" s="75"/>
      <c r="G120" s="75"/>
    </row>
  </sheetData>
  <sheetProtection/>
  <mergeCells count="67">
    <mergeCell ref="A15:A17"/>
    <mergeCell ref="A19:H19"/>
    <mergeCell ref="A42:H42"/>
    <mergeCell ref="F117:G117"/>
    <mergeCell ref="E5:F5"/>
    <mergeCell ref="E6:F6"/>
    <mergeCell ref="E7:F7"/>
    <mergeCell ref="E9:G9"/>
    <mergeCell ref="E10:G10"/>
    <mergeCell ref="A13:G13"/>
    <mergeCell ref="A12:G12"/>
    <mergeCell ref="B15:B17"/>
    <mergeCell ref="C15:C17"/>
    <mergeCell ref="D15:G15"/>
    <mergeCell ref="D16:D17"/>
    <mergeCell ref="E16:G16"/>
    <mergeCell ref="A20:G20"/>
    <mergeCell ref="B21:B22"/>
    <mergeCell ref="B28:B29"/>
    <mergeCell ref="C28:C29"/>
    <mergeCell ref="D28:D29"/>
    <mergeCell ref="E28:E29"/>
    <mergeCell ref="F28:F29"/>
    <mergeCell ref="G28:G29"/>
    <mergeCell ref="A21:A41"/>
    <mergeCell ref="A43:G43"/>
    <mergeCell ref="A44:A62"/>
    <mergeCell ref="B44:B45"/>
    <mergeCell ref="C44:C45"/>
    <mergeCell ref="D44:D45"/>
    <mergeCell ref="E44:E45"/>
    <mergeCell ref="F44:F45"/>
    <mergeCell ref="G44:G45"/>
    <mergeCell ref="A81:G81"/>
    <mergeCell ref="A82:A83"/>
    <mergeCell ref="A63:G63"/>
    <mergeCell ref="A64:A65"/>
    <mergeCell ref="A66:G66"/>
    <mergeCell ref="A67:A68"/>
    <mergeCell ref="A70:G70"/>
    <mergeCell ref="A71:A73"/>
    <mergeCell ref="A74:G74"/>
    <mergeCell ref="A75:A76"/>
    <mergeCell ref="A77:G77"/>
    <mergeCell ref="A78:A79"/>
    <mergeCell ref="A101:G101"/>
    <mergeCell ref="A102:A103"/>
    <mergeCell ref="A84:G84"/>
    <mergeCell ref="A85:A86"/>
    <mergeCell ref="A87:H87"/>
    <mergeCell ref="A88:A89"/>
    <mergeCell ref="A90:H90"/>
    <mergeCell ref="A91:G91"/>
    <mergeCell ref="A110:A111"/>
    <mergeCell ref="A112:G112"/>
    <mergeCell ref="A113:G113"/>
    <mergeCell ref="A108:H108"/>
    <mergeCell ref="J102:J103"/>
    <mergeCell ref="A92:A94"/>
    <mergeCell ref="A106:A107"/>
    <mergeCell ref="A109:G109"/>
    <mergeCell ref="A95:H95"/>
    <mergeCell ref="A96:G96"/>
    <mergeCell ref="A97:A99"/>
    <mergeCell ref="A104:G104"/>
    <mergeCell ref="A105:G105"/>
    <mergeCell ref="A100:H100"/>
  </mergeCells>
  <printOptions/>
  <pageMargins left="1.1811023622047245" right="0.3937007874015748" top="0.984251968503937" bottom="0.3937007874015748" header="0.7874015748031497" footer="0"/>
  <pageSetup fitToHeight="25" horizontalDpi="600" verticalDpi="600" orientation="landscape" paperSize="9" scale="95" r:id="rId1"/>
  <headerFooter alignWithMargins="0">
    <oddHeader>&amp;C&amp;P</oddHeader>
  </headerFooter>
  <rowBreaks count="3" manualBreakCount="3">
    <brk id="72" max="6" man="1"/>
    <brk id="87" max="6" man="1"/>
    <brk id="11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3" sqref="E13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2016-09-01T06:55:38Z</cp:lastPrinted>
  <dcterms:created xsi:type="dcterms:W3CDTF">1996-10-08T23:32:33Z</dcterms:created>
  <dcterms:modified xsi:type="dcterms:W3CDTF">2016-09-01T08:34:07Z</dcterms:modified>
  <cp:category/>
  <cp:version/>
  <cp:contentType/>
  <cp:contentStatus/>
</cp:coreProperties>
</file>