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1'!$A$1:$H$395</definedName>
    <definedName name="_xlnm.Print_Area" localSheetId="1">'додаток 2'!$A$1:$E$25</definedName>
    <definedName name="_xlnm.Print_Area" localSheetId="2">'Додаток 3'!$A$1:$G$411</definedName>
  </definedNames>
  <calcPr fullCalcOnLoad="1"/>
</workbook>
</file>

<file path=xl/sharedStrings.xml><?xml version="1.0" encoding="utf-8"?>
<sst xmlns="http://schemas.openxmlformats.org/spreadsheetml/2006/main" count="1282" uniqueCount="387">
  <si>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</si>
  <si>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</si>
  <si>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</si>
  <si>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</si>
  <si>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</si>
  <si>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</si>
  <si>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</si>
  <si>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</si>
  <si>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</si>
  <si>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</si>
  <si>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</si>
  <si>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</si>
  <si>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</si>
  <si>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</si>
  <si>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</si>
  <si>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</si>
  <si>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</si>
  <si>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</si>
  <si>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</si>
  <si>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</si>
  <si>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</si>
  <si>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</si>
  <si>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</si>
  <si>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</si>
  <si>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</si>
  <si>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</si>
  <si>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</si>
  <si>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</si>
  <si>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</si>
  <si>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</si>
  <si>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</si>
  <si>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</si>
  <si>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</si>
  <si>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</si>
  <si>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</si>
  <si>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</si>
  <si>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</si>
  <si>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</si>
  <si>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</si>
  <si>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</si>
  <si>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</si>
  <si>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</si>
  <si>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</si>
  <si>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</si>
  <si>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</si>
  <si>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</si>
  <si>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</si>
  <si>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</si>
  <si>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</si>
  <si>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</si>
  <si>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</si>
  <si>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</si>
  <si>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</si>
  <si>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</si>
  <si>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</si>
  <si>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</si>
  <si>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</si>
  <si>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</si>
  <si>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</si>
  <si>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</si>
  <si>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</si>
  <si>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</si>
  <si>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</si>
  <si>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</si>
  <si>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</si>
  <si>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</si>
  <si>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</si>
  <si>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</si>
  <si>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</si>
  <si>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</si>
  <si>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</si>
  <si>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</si>
  <si>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</si>
  <si>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</si>
  <si>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</si>
  <si>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</si>
  <si>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</si>
  <si>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</si>
  <si>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</si>
  <si>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</si>
  <si>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</si>
  <si>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</si>
  <si>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</si>
  <si>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</si>
  <si>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</si>
  <si>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</si>
  <si>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</si>
  <si>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</si>
  <si>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</si>
  <si>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</si>
  <si>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</si>
  <si>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</si>
  <si>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</si>
  <si>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</si>
  <si>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</si>
  <si>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</si>
  <si>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</si>
  <si>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</si>
  <si>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</si>
  <si>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</si>
  <si>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</si>
  <si>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</si>
  <si>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</si>
  <si>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</si>
  <si>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перевезення безпечних відходів</t>
  </si>
  <si>
    <t>збирання безпечних відходів (очищення території від сміття)</t>
  </si>
  <si>
    <t>забезпечення  проектування, будівництва та реконструкції об'єктів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</si>
  <si>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</si>
  <si>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</si>
  <si>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</si>
  <si>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</si>
  <si>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</si>
  <si>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</si>
  <si>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</si>
  <si>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</si>
  <si>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</si>
  <si>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</si>
  <si>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</si>
  <si>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</si>
  <si>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</si>
  <si>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установка дорожніх знаків</t>
  </si>
  <si>
    <t>поховання померлих почесних громадян міста</t>
  </si>
  <si>
    <t>обрізка та ліквідація сухих, аварійно-небезпечних дерев</t>
  </si>
  <si>
    <t>встановлення малих архітектурних форм</t>
  </si>
  <si>
    <t>інвентаризація та паспортизація вулиць</t>
  </si>
  <si>
    <t>км.</t>
  </si>
  <si>
    <t>догляд за зеленими насадженнями, в тому числі покіс трав</t>
  </si>
  <si>
    <t>відновлення дорожньої розмітки</t>
  </si>
  <si>
    <t>косіння трави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</si>
  <si>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</si>
  <si>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</si>
  <si>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</si>
  <si>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</si>
  <si>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</si>
  <si>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</si>
  <si>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</si>
  <si>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</si>
  <si>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</si>
  <si>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</si>
  <si>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</si>
  <si>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</si>
  <si>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</si>
  <si>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</si>
  <si>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</si>
  <si>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</si>
  <si>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</si>
  <si>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</si>
  <si>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</si>
  <si>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</si>
  <si>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</si>
  <si>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</si>
  <si>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</si>
  <si>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</si>
  <si>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</si>
  <si>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</si>
  <si>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</si>
  <si>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</si>
  <si>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</si>
  <si>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</si>
  <si>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в тому числі за рахунок власних надходжень</t>
  </si>
  <si>
    <t xml:space="preserve">в тому числі за рахунок власних надходжень </t>
  </si>
  <si>
    <t>видалення та обрізування  дерев</t>
  </si>
  <si>
    <t>утримання об"єкту понижених вод</t>
  </si>
  <si>
    <t>Утримання об'єкту понижених вод</t>
  </si>
  <si>
    <t>поточний ремонт доріг приватного сектору</t>
  </si>
  <si>
    <t>експлуатація та утримання мостів</t>
  </si>
  <si>
    <t>виготовлення та встановлення  малих архітектурних форм</t>
  </si>
  <si>
    <t>Елуад-1670, Символ-4203,895</t>
  </si>
  <si>
    <t>поточний ремонт та технічне обслуговування малих архітектурних форм парків та пляжів</t>
  </si>
  <si>
    <t>поточний ремонт колесо-відбійного брусу</t>
  </si>
  <si>
    <t>паспортизація мостових переходів</t>
  </si>
  <si>
    <t>экспертна оцінка скверів</t>
  </si>
  <si>
    <t>Р.О. Пидорич</t>
  </si>
  <si>
    <t>поточний ремонт шляхів та тротуарів</t>
  </si>
  <si>
    <t>виготовлення та встановлення малих  архітектурних форм- лав</t>
  </si>
  <si>
    <t>утримання та поточний ремонт об'єктів розташованих в парках та скверах</t>
  </si>
  <si>
    <t>утримання та поточний ремонт засобів регулювання дорожнього руху</t>
  </si>
  <si>
    <t>встановлення та заміна дорожніх знаків</t>
  </si>
  <si>
    <t>виготовлення та встановлення табличок</t>
  </si>
  <si>
    <t>збираня безпечних відходів</t>
  </si>
  <si>
    <t>Забезпечення утримання в належному стані об'єктів транспортного господарства, в тому числі:</t>
  </si>
  <si>
    <t>міс.</t>
  </si>
  <si>
    <t>га.</t>
  </si>
  <si>
    <t>поточний ремонт малих архітектурних форм</t>
  </si>
  <si>
    <t>поточний ремонт флагштоків</t>
  </si>
  <si>
    <t>встановлення флагштоків</t>
  </si>
  <si>
    <t>в т.ч. за рахунок власних надходжень</t>
  </si>
  <si>
    <t>монтаж збірних конструкцій з електроустаткуванням</t>
  </si>
  <si>
    <t>технічне обслуговування та встановлення дорожніх знаків</t>
  </si>
  <si>
    <t>відновлення та нанесення дорожньої розміткидорожньої розмітки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</si>
  <si>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</si>
  <si>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</si>
  <si>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</si>
  <si>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</si>
  <si>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</si>
  <si>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</si>
  <si>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експлуатація та утримання шляхів та тротуарів, у т.ч.:</t>
  </si>
  <si>
    <t>утримання тротуарів</t>
  </si>
  <si>
    <t>очищення доріг та тротуарів від снігу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</si>
  <si>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</si>
  <si>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"Експлуатаційне лінійне управління автомобільних шляхів"</t>
  </si>
  <si>
    <t>внески у статутні капітали комунальних  підприємств міста (придбання спеціальної техніки)</t>
  </si>
  <si>
    <t>ЗМІНИ</t>
  </si>
  <si>
    <t>зМІНИ</t>
  </si>
  <si>
    <t xml:space="preserve">Демонтаж пам’ятника </t>
  </si>
  <si>
    <t>Демонтаж пам’ятника Серго Орджонікідзе в м.Запоріжжя</t>
  </si>
  <si>
    <t>Збереження та утримання на належному рівні незакріпленої зеленої зони населеного пункту, в тому числі:</t>
  </si>
  <si>
    <t>Збереження та утримання на належному рівні недоглянутої зеленої зони населеного пункту, в тому числі:</t>
  </si>
  <si>
    <t>догляд за газонами</t>
  </si>
  <si>
    <t>Збереження та утримання на належному рівні незакріпленої зеленої зони населеного пункту, в тому числі</t>
  </si>
  <si>
    <t>Збереження та утримання на належному рівні недоглянутої зеленої зони населеного пункту, в тому числі</t>
  </si>
  <si>
    <t>Забезпечення утримання в належному стані недоглянутих об"єктів дорожнього господарства, в тому числі</t>
  </si>
  <si>
    <t xml:space="preserve">експлуатація та утримання доріг та тротуарів </t>
  </si>
  <si>
    <t>Забезпечення утримання в належному стані недоглянутих об"єктів дорожнього господарства, в тому числі:</t>
  </si>
  <si>
    <t xml:space="preserve">демонтаж пам’ятника </t>
  </si>
  <si>
    <t>обрізка та видалення аварійних дерев</t>
  </si>
  <si>
    <t>Забезпечення утримання в належному стані недоглянутих  об'єктів дорожнього господарства,утримання доріг і тротуарів  в тому числі:</t>
  </si>
  <si>
    <t>утримання доріг (асфальтові,грунтові)</t>
  </si>
  <si>
    <t>прибирання зупинок</t>
  </si>
  <si>
    <t>Забезпечення утримання в належному стані недоглянутих  об'єктів дорожнього господарства,утримання доріг і тротуарів  в тому числі:числі:</t>
  </si>
  <si>
    <t>Збереження та утримання на належному рівні незакріпленої зеленої зони району та поліпшення її екологічних умов(зелені зони, пустирі, балки, стихійні звалища сміття), в тому числі:</t>
  </si>
  <si>
    <t>експлуатація та утримання доріг та тротуарів (весняно-літній та осінньо-зимовий період)</t>
  </si>
  <si>
    <t>Збереження та утримання на належному рівні не закріпленої зеленої зони району та поліпшення її екологічних умов (зелені зони, пустирі, балки, стихійні звалища сміття), в тому числі:</t>
  </si>
  <si>
    <t>Збереження та утримання на належному рівні недоглянутої зеленої зони району та поліпшення її екологічних умов (зелені зони, пустирі, балки, стихійні звалища сміття), в тому числі:</t>
  </si>
  <si>
    <t xml:space="preserve">збирання безпечних відходів </t>
  </si>
  <si>
    <t>вивіз та захоронення твердих побутових відходів</t>
  </si>
  <si>
    <t>збирання безпечних відходів на закріплених територіях Хортицького району</t>
  </si>
  <si>
    <t>збирання безпечних відходів на теріторії парку, скверу Хортицького району</t>
  </si>
  <si>
    <t>послуги підприємств щодо перевезення безпечних відходів, вивіз та захоронення твердих побутових відходів</t>
  </si>
  <si>
    <t>експлуатація та утримання доріг та тротуарів (осінньо-зимове утримання доріг)</t>
  </si>
  <si>
    <t xml:space="preserve">Збереження та утримання на належному рівні не доглянутої зеленої зони району та поліпшення ії екологічних умов ( зелені зони, пустирі,балкі,  стіхійні звалища сміття)  у т.ч.                                                                                                              </t>
  </si>
  <si>
    <t>видалення  дерев</t>
  </si>
  <si>
    <t>Забезпечення утримання в належному технічному стані не доглянутих об'єктів  дорожнього господарства                ( утримання доріг, тротуарів, зупинок) у т.ч.</t>
  </si>
  <si>
    <t>утримання доріг та тротуарів</t>
  </si>
  <si>
    <t>утримання посадкових майданчиків зупинок громадського транспорту</t>
  </si>
  <si>
    <t xml:space="preserve">Забезпечення утримання в належному стані недоглянутих об"єктів  дороржнього господарства (доріг, тротуарів, зупинок) </t>
  </si>
  <si>
    <t xml:space="preserve">утримання тротуарів </t>
  </si>
  <si>
    <t>збір випадкового сміття</t>
  </si>
  <si>
    <t xml:space="preserve">вивіз та захоронення сміття </t>
  </si>
  <si>
    <t>ліквідація  стихійних звалищ сміття</t>
  </si>
  <si>
    <t xml:space="preserve">Проведення заходів з демонтажу об'єктів монументального мистецтва  </t>
  </si>
  <si>
    <t xml:space="preserve"> демонтаж пам'ятника В.І.Леніну та відповідних елементів архітектурного комплексу                                                                </t>
  </si>
  <si>
    <t>благоустрій кварталу поховань загиблих невпізнаних воїнів АТО на Кушугумском кладовищі. Виготовлення та встановлення намогильних споруд</t>
  </si>
  <si>
    <t>Утримання тротуарів у зимовий період</t>
  </si>
  <si>
    <t>Утримання тротуарів у зимовий період:</t>
  </si>
  <si>
    <t>Благоустрій кварталу поховання невпізнаних воїнів АТО на Кушугумському кладовищі (відсипка дороги асфальтобетонною крихтою та улаштування  покриття кварталу із висівок гранітних )</t>
  </si>
  <si>
    <t>Збереження  та утримання на належному рівні незакріплених зелених зон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</si>
  <si>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недоглянутих зелених зон населеного пункту та поліпшення екологічних умов (зелені зони, пустирі, балки…) в тому числі:</t>
  </si>
  <si>
    <t>Збереження та утримання на належному рівні недоглянутої зеленої зони району та поліпшення її екологічних умов(зелені зони, пустирі, балки, стихійні звалища сміття), в тому числі:</t>
  </si>
  <si>
    <t>Збереження  та утримання на належному рівні незакріпленої зеленої зони населеного пункту та поліпшення екологічних умов (зелені зони, пустирі, балки…) в тому числі:</t>
  </si>
  <si>
    <t>Збереження  та утримання на належному рівні недоглянутої зеленої зони населеного пункту та поліпшення екологічних умов (зелені зони, пустирі, балки…) в тому числі:</t>
  </si>
  <si>
    <t>Головний розпорядник бюджетних коштів - районна адміністрація Запорізької міської ради по  Шевченківському району</t>
  </si>
  <si>
    <t>зміни, додаток 3</t>
  </si>
  <si>
    <t xml:space="preserve">Збереження та утримання на належному рівні не закріпленої зеленої зони району та поліпшення ії екологічних умов  ( зелені зони, пустирі,балкі,  стіхійні звалища сміття)  у т.ч.                                                     </t>
  </si>
  <si>
    <t>Збереження та утримання на належному рівні незакріплених територій району та поліпшення їх екологічних умов, в тому числі:</t>
  </si>
  <si>
    <t>Збереження та утримання на належному рівні недоглянутих територій району та поліпшення їх екологічних умов, в тому числі:</t>
  </si>
  <si>
    <t>Головний розпорядник бюджетних коштів -  районна адміністрація Запорізької міської ради по Комунарському району</t>
  </si>
  <si>
    <t>Головний розпорядник бюджетних коштів -  районна адміністрація Запорізької міської ради по Хортицькому району</t>
  </si>
  <si>
    <t xml:space="preserve">утримання доріг </t>
  </si>
  <si>
    <t>Забезпечення утримання в належному технічному стані не доглянутих об'єктів  дорожнього господарства                                      ( утримання доріг, тротуарів, зупинок) у т.ч.</t>
  </si>
  <si>
    <t>зафарбування графіті» на послуги з видалення несанкціонованих надписів типу «графіті на об'єктах благоустрою</t>
  </si>
  <si>
    <t>Комунальне підриємство "Титан"</t>
  </si>
  <si>
    <t xml:space="preserve">Комунальне ремонтно-будівельне підприємство "Зеленбуд" </t>
  </si>
  <si>
    <t xml:space="preserve">демонтаж пам'ятника В.І.Леніну та відповідних елементів архітектурного комплексу                                                                </t>
  </si>
  <si>
    <t>встановлення малих архітектурних форм, в тому числі:</t>
  </si>
  <si>
    <t>встановлення урн</t>
  </si>
  <si>
    <t>встановлення лавок</t>
  </si>
  <si>
    <t>обрізка та ліквідація, аварійно-небезпечних дерев</t>
  </si>
  <si>
    <t xml:space="preserve">збирання безпечних відходів непридатних для вторинного використовування </t>
  </si>
  <si>
    <t xml:space="preserve">послуги підприємств щодо перевезення безпечних відходів </t>
  </si>
  <si>
    <t>Проведення технічної інвентаризації, паспортизації, незалежної грошової оцінки об'єктів благоустрою, в тому числі:</t>
  </si>
  <si>
    <t>проведення незалежної грошової оцінки автомобільних доріг та мостових переходів</t>
  </si>
  <si>
    <t>Забезпечення утримання в належному стані недоглянутих об"єктів дорожнього господарства</t>
  </si>
  <si>
    <t>догляд за зеленими насадженнями в тому числі покіс трав</t>
  </si>
  <si>
    <t>Забезпечення утримання в належному стані недоглянутих об'єктів  дорожнього господарства, в тому числі</t>
  </si>
  <si>
    <t>Забезпечення утримання в належному стані недоглянутих об'єктів дорожнього господарства, в тому числі</t>
  </si>
  <si>
    <t xml:space="preserve">Збереження та утримання на належному рівні не доглянутої зеленої зони району та поліпшення ії екологічних умов  ( зелені зони, пустирі,балкі,  стіхійні звалища сміття)  у т.ч.                                                                                                              </t>
  </si>
  <si>
    <t>Забезпечення утримання в належному технічному стані не закріплених об'єктів  дорожнього господарства  ( утримання доріг, тротуарів, зупинок) у т.ч.</t>
  </si>
  <si>
    <t>утримання об'єкту понижених вод</t>
  </si>
  <si>
    <t>Забезпечення утримання в належному технічному стані незакріплених об'єктів  дорожнього господарства                ( утримання доріг, тротуарів, зупинок) у т.ч.</t>
  </si>
  <si>
    <t>послуги з видалення несанкціонованих надписів типу "графіті" на об'єктах благоустрою</t>
  </si>
  <si>
    <t>власні</t>
  </si>
  <si>
    <t>збирання  безпечних відходів</t>
  </si>
  <si>
    <t>догляд за зеленими насадженнями в т.ч. покіс трав</t>
  </si>
  <si>
    <t>догляд за зеленими насадженнями в т.ч покіс покіс трав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</si>
  <si>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</si>
  <si>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</si>
  <si>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>районна адміністрація Запорізької міської ради по Вознесенівському району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</si>
  <si>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</si>
  <si>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</si>
  <si>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</si>
  <si>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</si>
  <si>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</si>
  <si>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</si>
  <si>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</si>
  <si>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 xml:space="preserve">водопостачання та каналізування семи модульних туалетних кабін </t>
  </si>
  <si>
    <t>встановлення (підключення) семи модульних туалетних кабінок</t>
  </si>
  <si>
    <t>благоустрій майданчика під пам'ятні знаки "Запорізьким захисникам  України" в парку Металургів м.Запоріжжя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</si>
  <si>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</si>
  <si>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</si>
  <si>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>виконання робіт з виготовлення та встановлення на фасадах будівель міста меморіальних дошок загиблим запоріжцям- участникам АТО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</si>
  <si>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</si>
  <si>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</si>
  <si>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</si>
  <si>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</si>
  <si>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тис.грн.</t>
  </si>
  <si>
    <t>підбір та захоронення мертвих тварин</t>
  </si>
  <si>
    <t>до Програми  розвитку інфраструктури  та комплексного благоустрою міста Запоріжжя на 2016-2018 роки</t>
  </si>
  <si>
    <t>з виконання Програми розвитку інфраструктури та комплексного благоустрою міста Запоріжжя на 2016-2018 роки</t>
  </si>
  <si>
    <t>до Програми розвитку інфраструктури  та комплексного благоустрою міста Запоріжжя на 2016-2018 роки</t>
  </si>
  <si>
    <t>Програми розвитку  інфраструктури  та комплексного благоустрою міста Запоріжжя на 2016-2018 роки</t>
  </si>
  <si>
    <t>виконання Програми розвитку інфраструктури  та комплексного благоустрою міста Запоріжжя на 2016-2018 роки</t>
  </si>
  <si>
    <t>встановлення обладнання (елементів) дитячих, спортивних майданчиків</t>
  </si>
  <si>
    <t>утримання та поточний ремонт засобів регулювання дорожнього руху (світлофорних об'єктів)</t>
  </si>
  <si>
    <t>придбання персонального комп'ютеру</t>
  </si>
  <si>
    <t>придбання багатофункціонального пристрою А-3</t>
  </si>
  <si>
    <t xml:space="preserve">придбання багатофункціонального пристрою </t>
  </si>
  <si>
    <t>капітальний ремонт приміщень за адресою пр. Соборний, 214</t>
  </si>
  <si>
    <t>Керівництво і управління у сфері комунального господарства</t>
  </si>
  <si>
    <t>Придбання обладнання та предметів довгострокового користування</t>
  </si>
  <si>
    <t xml:space="preserve">Капітальний ремонт житлових будівель та приміщень </t>
  </si>
  <si>
    <t>Комунальне підприємство електромереж зовнішнього освітлення "Запоріжміськсвітло"</t>
  </si>
  <si>
    <t>капітальний ремонт інформаційного стенду "Декоративний  в’їздний знак в  м. Запоріжжя" на ділянці  автомобільної дороги, яка  роз’єднує автодорогу Н-08 Бориспіль- Дніпропетровськ- Запоріжжя  (через Кременчук) та автодорогу по вул. Тиражній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</si>
  <si>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</si>
  <si>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</si>
  <si>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 xml:space="preserve">поповнення обігових коштів комунального підприємства для придбання контейнерів </t>
  </si>
  <si>
    <t>ліквідація засміченості зливового колектора</t>
  </si>
  <si>
    <t>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колекторів), в тому числі:</t>
  </si>
  <si>
    <t>промивка вуличної зливової каналізації</t>
  </si>
  <si>
    <t>технічне обслуговування, поточний ремонт та встановлення засобів регулювання дорожнього руху</t>
  </si>
  <si>
    <t>м/п</t>
  </si>
  <si>
    <t>технічне обслуговування поточний ремонт та встановлення засобів регулювання дорожнього руху</t>
  </si>
  <si>
    <t xml:space="preserve">Головний розпорядник бюджетних коштів - районна адміністрація Запорізької міської ради по Заводському району </t>
  </si>
  <si>
    <t xml:space="preserve">Благоустрій міста та розвиток інфраструктури </t>
  </si>
  <si>
    <t>ДІБ 150101</t>
  </si>
  <si>
    <t>ДІБ 100203</t>
  </si>
  <si>
    <t xml:space="preserve"> Утримання в належному стані об'єктів, задіяних в прийомі поверхневого стоку в дощову каналізацію </t>
  </si>
  <si>
    <t>промивка зливової системи</t>
  </si>
  <si>
    <t>бюджет розвитку</t>
  </si>
  <si>
    <t>Утримання в належному стані об'єктів, задіяних в прийомі поверхневого стоку в дощову каналізацію</t>
  </si>
  <si>
    <t xml:space="preserve">поточний ремонт засобів регулювання дорожнього руху </t>
  </si>
  <si>
    <t>Забезпечення утримання в належному технічному стані об'єктів дорожнього господарства</t>
  </si>
  <si>
    <t>очищення і промивка мережі зливової каналізації</t>
  </si>
  <si>
    <t>районня адміністрація Запорізької міської рди по Дніпровському району</t>
  </si>
  <si>
    <t>поточний ремонт шляхопроводу</t>
  </si>
  <si>
    <t xml:space="preserve">очищення і промивка мережі зливової каналізації </t>
  </si>
  <si>
    <t>промивка зливових каналізацій</t>
  </si>
  <si>
    <t>очищення зливових каналізацій</t>
  </si>
  <si>
    <t>встановлення обладнання (елементів) спортивних майданчиків</t>
  </si>
  <si>
    <t>встановлення обладнання (елементів) дитячих майданчиків</t>
  </si>
  <si>
    <t xml:space="preserve">поточний ремонт павільйонів очікування  </t>
  </si>
  <si>
    <t>поточний ремонт павільонів очікування</t>
  </si>
  <si>
    <t>Утримання в належному стані об"єктів , задіяних в прийомі поверхневого стоку в дощову каналізацію (очисних споруд, насосних станцій, відкритих колекторів)</t>
  </si>
  <si>
    <t>од</t>
  </si>
  <si>
    <t xml:space="preserve">Забезпечення утримання в належному стані об'єктів, задіяних в прийомі поверхневого стоку в дощову каналізацію (очисних споруд, насосних станцій, відкритих колекторів) </t>
  </si>
  <si>
    <t>капітальний ремонт тротуару, майдану</t>
  </si>
  <si>
    <t xml:space="preserve">забезпечення  проектування, будівництва та реконструкції об'єктів </t>
  </si>
  <si>
    <t>придбання комп'ютерної техніки та інших предметів довгострокового користування</t>
  </si>
  <si>
    <t xml:space="preserve">очистка днища акваторії пляжів </t>
  </si>
  <si>
    <t>встановлення урн, лав</t>
  </si>
  <si>
    <t>встановлення павільйонів очікування</t>
  </si>
  <si>
    <t>утримання тротуарів у зимовий період</t>
  </si>
  <si>
    <t>промивка ливневої каналізацї</t>
  </si>
  <si>
    <t>встановлення звукових пристроїв супроводу на регулюваних пішохідних переходах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</si>
  <si>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</si>
  <si>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в т.ч. за рахунок коштів субвенції 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</si>
  <si>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громадського туалету</t>
  </si>
  <si>
    <t xml:space="preserve">Комунальне підприємство "Запорізька ритуальна служба"
</t>
  </si>
  <si>
    <t>заходи з ліквідації карантинних рослин</t>
  </si>
  <si>
    <t>проведення робіт з інженерно-геодезичних вишукувань по об'єктам благоустрою</t>
  </si>
  <si>
    <t>капітальний ремонт об'єкту благуострою</t>
  </si>
  <si>
    <t>капітальний ремонт об’єктів благоустрою</t>
  </si>
  <si>
    <t>КП "Комбінат комунальних підприємств Жовтневого району"</t>
  </si>
  <si>
    <t>капітальний ремонт (тротуарів, майдану)</t>
  </si>
  <si>
    <t>обрізка дерев</t>
  </si>
  <si>
    <t xml:space="preserve">догляд за зеленими насадженнями в т.ч. </t>
  </si>
  <si>
    <t>покіс трав</t>
  </si>
  <si>
    <t>поточний ремонт зупинок громадського транспорту</t>
  </si>
  <si>
    <t>ліквідація карантинних рослин</t>
  </si>
  <si>
    <t>збір та вивезення випадкового сміття</t>
  </si>
  <si>
    <t>поточний ремонт  зупинок громадського транспорту</t>
  </si>
  <si>
    <t>п.м</t>
  </si>
  <si>
    <t xml:space="preserve">в т.ч. за рахунок іншої субвенції </t>
  </si>
  <si>
    <t>нанесення та відновлення  дорожньої розмітки</t>
  </si>
  <si>
    <t xml:space="preserve">ЗАТВЕРДЖЕНО </t>
  </si>
  <si>
    <t xml:space="preserve">Рішення міської ради </t>
  </si>
  <si>
    <t>25.08.2016 № 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</si>
</sst>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0.000"/>
    <numFmt numFmtId="178" formatCode="0.0"/>
    <numFmt numFmtId="179" formatCode="#,##0.0"/>
    <numFmt numFmtId="180" formatCode="0.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  <numFmt numFmtId="187" formatCode="#,##0.0_ ;\-#,##0.0\ "/>
    <numFmt numFmtId="188" formatCode="#,##0.000_ ;\-#,##0.000\ "/>
    <numFmt numFmtId="189" formatCode="#,##0.0000_ ;\-#,##0.0000\ 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176" fontId="14" fillId="0" borderId="0" xfId="0" applyNumberFormat="1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top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176" fontId="3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176" fontId="2" fillId="0" borderId="18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vertical="top" wrapText="1"/>
    </xf>
    <xf numFmtId="177" fontId="1" fillId="0" borderId="0" xfId="0" applyNumberFormat="1" applyFont="1" applyFill="1" applyAlignment="1">
      <alignment horizontal="center" vertical="top" wrapText="1"/>
    </xf>
    <xf numFmtId="177" fontId="1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Alignment="1">
      <alignment horizontal="center" vertical="top" wrapText="1"/>
    </xf>
    <xf numFmtId="177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176" fontId="2" fillId="0" borderId="10" xfId="53" applyNumberFormat="1" applyFont="1" applyFill="1" applyBorder="1" applyAlignment="1" applyProtection="1">
      <alignment horizontal="center" vertical="center" wrapText="1"/>
      <protection/>
    </xf>
    <xf numFmtId="176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76" fontId="2" fillId="0" borderId="0" xfId="0" applyNumberFormat="1" applyFont="1" applyFill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55" applyNumberFormat="1" applyFont="1" applyFill="1" applyBorder="1" applyAlignment="1">
      <alignment horizontal="left" vertical="top" wrapText="1"/>
      <protection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1" fillId="0" borderId="10" xfId="53" applyFont="1" applyFill="1" applyBorder="1" applyAlignment="1">
      <alignment vertical="justify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>
      <alignment horizontal="left" vertical="top" wrapText="1"/>
      <protection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1" xfId="53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9" fillId="0" borderId="10" xfId="53" applyFont="1" applyFill="1" applyBorder="1" applyAlignment="1">
      <alignment vertical="top" wrapText="1"/>
      <protection/>
    </xf>
    <xf numFmtId="0" fontId="1" fillId="0" borderId="17" xfId="0" applyFont="1" applyFill="1" applyBorder="1" applyAlignment="1">
      <alignment vertical="top" wrapText="1"/>
    </xf>
    <xf numFmtId="0" fontId="9" fillId="0" borderId="10" xfId="53" applyFont="1" applyFill="1" applyBorder="1" applyAlignment="1">
      <alignment horizontal="left" vertical="top" wrapText="1"/>
      <protection/>
    </xf>
    <xf numFmtId="1" fontId="1" fillId="0" borderId="18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top" wrapText="1"/>
    </xf>
    <xf numFmtId="176" fontId="1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3" fillId="0" borderId="19" xfId="53" applyFont="1" applyFill="1" applyBorder="1" applyAlignment="1">
      <alignment vertical="top" wrapText="1"/>
      <protection/>
    </xf>
    <xf numFmtId="0" fontId="23" fillId="0" borderId="20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0" fillId="0" borderId="18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79" fontId="1" fillId="0" borderId="19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1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4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01"/>
  <sheetViews>
    <sheetView view="pageBreakPreview" zoomScaleSheetLayoutView="100" workbookViewId="0" topLeftCell="A379">
      <selection activeCell="F3" sqref="F3:H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6.28125" style="2" customWidth="1"/>
    <col min="6" max="6" width="13.57421875" style="2" customWidth="1"/>
    <col min="7" max="7" width="11.7109375" style="2" customWidth="1"/>
    <col min="8" max="8" width="17.140625" style="2" customWidth="1"/>
    <col min="9" max="9" width="13.8515625" style="2" customWidth="1"/>
    <col min="10" max="10" width="11.421875" style="1" bestFit="1" customWidth="1"/>
    <col min="11" max="11" width="10.28125" style="1" bestFit="1" customWidth="1"/>
    <col min="12" max="12" width="9.57421875" style="1" bestFit="1" customWidth="1"/>
    <col min="13" max="13" width="11.421875" style="1" bestFit="1" customWidth="1"/>
    <col min="14" max="16384" width="9.140625" style="1" customWidth="1"/>
  </cols>
  <sheetData>
    <row r="1" spans="6:8" ht="20.25">
      <c r="F1" s="213" t="s">
        <v>156</v>
      </c>
      <c r="G1" s="213"/>
      <c r="H1" s="213"/>
    </row>
    <row r="2" spans="6:8" ht="20.25">
      <c r="F2" s="213" t="s">
        <v>157</v>
      </c>
      <c r="G2" s="213"/>
      <c r="H2" s="213"/>
    </row>
    <row r="3" spans="6:8" ht="20.25">
      <c r="F3" s="247" t="s">
        <v>386</v>
      </c>
      <c r="G3" s="248"/>
      <c r="H3" s="248"/>
    </row>
    <row r="4" spans="6:8" ht="20.25">
      <c r="F4" s="41"/>
      <c r="G4" s="41"/>
      <c r="H4" s="41"/>
    </row>
    <row r="5" spans="3:9" s="13" customFormat="1" ht="20.25" customHeight="1">
      <c r="C5" s="50"/>
      <c r="D5" s="50"/>
      <c r="E5" s="50"/>
      <c r="F5" s="213" t="s">
        <v>7</v>
      </c>
      <c r="G5" s="213"/>
      <c r="H5" s="213"/>
      <c r="I5" s="50"/>
    </row>
    <row r="6" spans="3:9" s="13" customFormat="1" ht="102" customHeight="1">
      <c r="C6" s="50"/>
      <c r="D6" s="50"/>
      <c r="E6" s="50"/>
      <c r="F6" s="213" t="s">
        <v>307</v>
      </c>
      <c r="G6" s="213"/>
      <c r="H6" s="213"/>
      <c r="I6" s="50"/>
    </row>
    <row r="7" ht="12.75">
      <c r="M7" s="24" t="e">
        <f>+F19+#REF!+F22+F32+F34+F36+F40+F41+F43+F50+F53+F70+F76+F82+F96+F108+F110+F115+F117+F123+F127+F129+F131+F133+F136+F139+F144+F146+F151+F153+F156+F169+F174+F176+F184+F186+F189+F191+F193+F195+F197+F199+F201+F217+F223+F225+F229+F233+F236+F244+F246+F251+F256+F261+F264+F267+F272+F275+F277+F281+F283+F290+F294+F296+F300+F302+F308+F310+F313+F319+F323+F325+F328+F331+F334+F339+F346+F354+F359+F361+F365+F369+F371+F373+F375+F381+F384+F387+F390</f>
        <v>#REF!</v>
      </c>
    </row>
    <row r="8" spans="1:9" s="13" customFormat="1" ht="20.25">
      <c r="A8" s="240" t="s">
        <v>6</v>
      </c>
      <c r="B8" s="240"/>
      <c r="C8" s="240"/>
      <c r="D8" s="240"/>
      <c r="E8" s="240"/>
      <c r="F8" s="240"/>
      <c r="G8" s="240"/>
      <c r="H8" s="240"/>
      <c r="I8" s="50"/>
    </row>
    <row r="9" spans="1:8" s="13" customFormat="1" ht="20.25">
      <c r="A9" s="241" t="s">
        <v>308</v>
      </c>
      <c r="B9" s="241"/>
      <c r="C9" s="241"/>
      <c r="D9" s="241"/>
      <c r="E9" s="241"/>
      <c r="F9" s="241"/>
      <c r="G9" s="241"/>
      <c r="H9" s="241"/>
    </row>
    <row r="10" spans="1:8" s="13" customFormat="1" ht="9.75" customHeight="1">
      <c r="A10" s="51"/>
      <c r="B10" s="51"/>
      <c r="C10" s="51"/>
      <c r="D10" s="51"/>
      <c r="E10" s="51"/>
      <c r="F10" s="51"/>
      <c r="G10" s="51"/>
      <c r="H10" s="51"/>
    </row>
    <row r="12" spans="1:8" s="4" customFormat="1" ht="23.25" customHeight="1">
      <c r="A12" s="242" t="s">
        <v>0</v>
      </c>
      <c r="B12" s="242" t="s">
        <v>1</v>
      </c>
      <c r="C12" s="242" t="s">
        <v>2</v>
      </c>
      <c r="D12" s="242" t="s">
        <v>3</v>
      </c>
      <c r="E12" s="242" t="s">
        <v>90</v>
      </c>
      <c r="F12" s="242"/>
      <c r="G12" s="242"/>
      <c r="H12" s="242"/>
    </row>
    <row r="13" spans="1:8" s="4" customFormat="1" ht="23.25" customHeight="1">
      <c r="A13" s="242"/>
      <c r="B13" s="242"/>
      <c r="C13" s="242"/>
      <c r="D13" s="242"/>
      <c r="E13" s="242" t="s">
        <v>4</v>
      </c>
      <c r="F13" s="242" t="s">
        <v>5</v>
      </c>
      <c r="G13" s="242"/>
      <c r="H13" s="242"/>
    </row>
    <row r="14" spans="1:8" s="4" customFormat="1" ht="12.75">
      <c r="A14" s="242"/>
      <c r="B14" s="242"/>
      <c r="C14" s="242"/>
      <c r="D14" s="242"/>
      <c r="E14" s="242"/>
      <c r="F14" s="3">
        <v>2016</v>
      </c>
      <c r="G14" s="3">
        <v>2017</v>
      </c>
      <c r="H14" s="3">
        <v>2018</v>
      </c>
    </row>
    <row r="15" spans="1:8" s="4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4" customFormat="1" ht="12.75">
      <c r="A16" s="272" t="s">
        <v>318</v>
      </c>
      <c r="B16" s="273"/>
      <c r="C16" s="273"/>
      <c r="D16" s="273"/>
      <c r="E16" s="273"/>
      <c r="F16" s="273"/>
      <c r="G16" s="273"/>
      <c r="H16" s="274"/>
    </row>
    <row r="17" spans="1:8" s="4" customFormat="1" ht="12.75">
      <c r="A17" s="69"/>
      <c r="B17" s="70"/>
      <c r="C17" s="71"/>
      <c r="D17" s="71"/>
      <c r="E17" s="70"/>
      <c r="F17" s="70"/>
      <c r="G17" s="70"/>
      <c r="H17" s="72"/>
    </row>
    <row r="18" spans="1:8" s="4" customFormat="1" ht="12.75">
      <c r="A18" s="249" t="s">
        <v>319</v>
      </c>
      <c r="B18" s="80"/>
      <c r="C18" s="242" t="s">
        <v>298</v>
      </c>
      <c r="D18" s="242" t="s">
        <v>19</v>
      </c>
      <c r="E18" s="6">
        <f>E19+E20</f>
        <v>2354.523</v>
      </c>
      <c r="F18" s="81">
        <f>F19+F20</f>
        <v>2354.523</v>
      </c>
      <c r="G18" s="81">
        <f>G19+G20</f>
        <v>0</v>
      </c>
      <c r="H18" s="81">
        <f>H19+H20</f>
        <v>0</v>
      </c>
    </row>
    <row r="19" spans="1:8" s="4" customFormat="1" ht="42.75" customHeight="1">
      <c r="A19" s="249"/>
      <c r="B19" s="7" t="s">
        <v>357</v>
      </c>
      <c r="C19" s="242"/>
      <c r="D19" s="242"/>
      <c r="E19" s="82">
        <f>F19</f>
        <v>477.896</v>
      </c>
      <c r="F19" s="83">
        <v>477.896</v>
      </c>
      <c r="G19" s="83">
        <v>0</v>
      </c>
      <c r="H19" s="83">
        <v>0</v>
      </c>
    </row>
    <row r="20" spans="1:8" s="4" customFormat="1" ht="31.5" customHeight="1">
      <c r="A20" s="84"/>
      <c r="B20" s="19" t="s">
        <v>317</v>
      </c>
      <c r="C20" s="242"/>
      <c r="D20" s="242"/>
      <c r="E20" s="82">
        <f>F20+G20+H20</f>
        <v>1876.6270000000002</v>
      </c>
      <c r="F20" s="83">
        <f>1866.449+10.178</f>
        <v>1876.6270000000002</v>
      </c>
      <c r="G20" s="83">
        <v>0</v>
      </c>
      <c r="H20" s="83">
        <v>0</v>
      </c>
    </row>
    <row r="21" spans="1:8" s="4" customFormat="1" ht="12.75">
      <c r="A21" s="253" t="s">
        <v>91</v>
      </c>
      <c r="B21" s="254"/>
      <c r="C21" s="254"/>
      <c r="D21" s="254"/>
      <c r="E21" s="254"/>
      <c r="F21" s="254"/>
      <c r="G21" s="254"/>
      <c r="H21" s="255"/>
    </row>
    <row r="22" spans="1:8" s="4" customFormat="1" ht="12.75" customHeight="1">
      <c r="A22" s="234" t="s">
        <v>92</v>
      </c>
      <c r="B22" s="5"/>
      <c r="C22" s="229" t="s">
        <v>298</v>
      </c>
      <c r="D22" s="229" t="s">
        <v>19</v>
      </c>
      <c r="E22" s="6">
        <f aca="true" t="shared" si="0" ref="E22:E31">F22+G22+H22</f>
        <v>168636.447</v>
      </c>
      <c r="F22" s="6">
        <f>SUM(F23:F23)+F26</f>
        <v>168636.447</v>
      </c>
      <c r="G22" s="6">
        <f>SUM(G23:G23)+G26</f>
        <v>0</v>
      </c>
      <c r="H22" s="6">
        <f>SUM(H23:H23)+H26</f>
        <v>0</v>
      </c>
    </row>
    <row r="23" spans="1:12" s="4" customFormat="1" ht="38.25">
      <c r="A23" s="235"/>
      <c r="B23" s="7" t="s">
        <v>106</v>
      </c>
      <c r="C23" s="238"/>
      <c r="D23" s="238"/>
      <c r="E23" s="8">
        <f t="shared" si="0"/>
        <v>89035.56999999999</v>
      </c>
      <c r="F23" s="8">
        <f>72010.454+188+7.931+15000+529.051-272.603+252.572-3447.667+4655.935+111.897</f>
        <v>89035.56999999999</v>
      </c>
      <c r="G23" s="8"/>
      <c r="H23" s="8"/>
      <c r="I23" s="4">
        <v>120649.941</v>
      </c>
      <c r="J23" s="89">
        <f>F23-I23</f>
        <v>-31614.371000000014</v>
      </c>
      <c r="L23" s="4">
        <v>66450.351</v>
      </c>
    </row>
    <row r="24" spans="1:10" s="4" customFormat="1" ht="76.5">
      <c r="A24" s="235"/>
      <c r="B24" s="43" t="s">
        <v>364</v>
      </c>
      <c r="C24" s="238"/>
      <c r="D24" s="238"/>
      <c r="E24" s="90">
        <f t="shared" si="0"/>
        <v>7029.051</v>
      </c>
      <c r="F24" s="90">
        <f>6500+529.051</f>
        <v>7029.051</v>
      </c>
      <c r="G24" s="8"/>
      <c r="H24" s="8"/>
      <c r="J24" s="89"/>
    </row>
    <row r="25" spans="1:10" s="4" customFormat="1" ht="12.75">
      <c r="A25" s="235"/>
      <c r="B25" s="43" t="s">
        <v>382</v>
      </c>
      <c r="C25" s="238"/>
      <c r="D25" s="238"/>
      <c r="E25" s="90">
        <f t="shared" si="0"/>
        <v>5000</v>
      </c>
      <c r="F25" s="90">
        <v>5000</v>
      </c>
      <c r="G25" s="8"/>
      <c r="H25" s="8"/>
      <c r="J25" s="89"/>
    </row>
    <row r="26" spans="1:8" s="4" customFormat="1" ht="51">
      <c r="A26" s="235"/>
      <c r="B26" s="7" t="s">
        <v>199</v>
      </c>
      <c r="C26" s="238"/>
      <c r="D26" s="238"/>
      <c r="E26" s="8">
        <f t="shared" si="0"/>
        <v>79600.877</v>
      </c>
      <c r="F26" s="8">
        <f>F27+F28+F29+F30+F31</f>
        <v>79600.877</v>
      </c>
      <c r="G26" s="8"/>
      <c r="H26" s="8"/>
    </row>
    <row r="27" spans="1:9" s="4" customFormat="1" ht="57.75" customHeight="1">
      <c r="A27" s="235"/>
      <c r="B27" s="43" t="s">
        <v>200</v>
      </c>
      <c r="C27" s="238"/>
      <c r="D27" s="238"/>
      <c r="E27" s="90">
        <f t="shared" si="0"/>
        <v>60843</v>
      </c>
      <c r="F27" s="90">
        <v>60843</v>
      </c>
      <c r="G27" s="8"/>
      <c r="H27" s="8"/>
      <c r="I27" s="4" t="s">
        <v>202</v>
      </c>
    </row>
    <row r="28" spans="1:8" s="4" customFormat="1" ht="54" customHeight="1">
      <c r="A28" s="235"/>
      <c r="B28" s="43" t="s">
        <v>321</v>
      </c>
      <c r="C28" s="238"/>
      <c r="D28" s="238"/>
      <c r="E28" s="90">
        <f t="shared" si="0"/>
        <v>5350</v>
      </c>
      <c r="F28" s="90">
        <v>5350</v>
      </c>
      <c r="G28" s="8"/>
      <c r="H28" s="8"/>
    </row>
    <row r="29" spans="1:8" s="4" customFormat="1" ht="27.75" customHeight="1">
      <c r="A29" s="235"/>
      <c r="B29" s="43" t="s">
        <v>262</v>
      </c>
      <c r="C29" s="238"/>
      <c r="D29" s="238"/>
      <c r="E29" s="90">
        <f t="shared" si="0"/>
        <v>8321.741</v>
      </c>
      <c r="F29" s="90">
        <v>8321.741</v>
      </c>
      <c r="G29" s="8"/>
      <c r="H29" s="8"/>
    </row>
    <row r="30" spans="1:8" s="4" customFormat="1" ht="30.75" customHeight="1">
      <c r="A30" s="235"/>
      <c r="B30" s="43" t="s">
        <v>261</v>
      </c>
      <c r="C30" s="230"/>
      <c r="D30" s="230"/>
      <c r="E30" s="90">
        <f t="shared" si="0"/>
        <v>2798.606</v>
      </c>
      <c r="F30" s="90">
        <v>2798.606</v>
      </c>
      <c r="G30" s="8"/>
      <c r="H30" s="8"/>
    </row>
    <row r="31" spans="1:8" s="4" customFormat="1" ht="30.75" customHeight="1">
      <c r="A31" s="236"/>
      <c r="B31" s="43" t="s">
        <v>367</v>
      </c>
      <c r="C31" s="91"/>
      <c r="D31" s="91"/>
      <c r="E31" s="90">
        <f t="shared" si="0"/>
        <v>2287.53</v>
      </c>
      <c r="F31" s="90">
        <v>2287.53</v>
      </c>
      <c r="G31" s="8"/>
      <c r="H31" s="8"/>
    </row>
    <row r="32" spans="1:8" s="4" customFormat="1" ht="12.75" customHeight="1">
      <c r="A32" s="237" t="s">
        <v>92</v>
      </c>
      <c r="B32" s="3"/>
      <c r="C32" s="194" t="s">
        <v>35</v>
      </c>
      <c r="D32" s="194" t="s">
        <v>19</v>
      </c>
      <c r="E32" s="6">
        <f>E33</f>
        <v>5288.530000000001</v>
      </c>
      <c r="F32" s="6">
        <f>F33</f>
        <v>5288.530000000001</v>
      </c>
      <c r="G32" s="6">
        <f>G33</f>
        <v>0</v>
      </c>
      <c r="H32" s="6">
        <f>H33</f>
        <v>0</v>
      </c>
    </row>
    <row r="33" spans="1:10" s="4" customFormat="1" ht="38.25" customHeight="1">
      <c r="A33" s="237"/>
      <c r="B33" s="7" t="s">
        <v>356</v>
      </c>
      <c r="C33" s="194"/>
      <c r="D33" s="194"/>
      <c r="E33" s="8">
        <f>F33+G33+H33</f>
        <v>5288.530000000001</v>
      </c>
      <c r="F33" s="76">
        <f>4577.657+217.1+2812.742-2273.108-45.861</f>
        <v>5288.530000000001</v>
      </c>
      <c r="G33" s="76"/>
      <c r="H33" s="76"/>
      <c r="J33" s="4">
        <v>-100203</v>
      </c>
    </row>
    <row r="34" spans="1:8" s="4" customFormat="1" ht="12.75">
      <c r="A34" s="237" t="s">
        <v>92</v>
      </c>
      <c r="B34" s="7"/>
      <c r="C34" s="194" t="s">
        <v>36</v>
      </c>
      <c r="D34" s="194" t="s">
        <v>19</v>
      </c>
      <c r="E34" s="6">
        <f>E35</f>
        <v>8355.965</v>
      </c>
      <c r="F34" s="6">
        <f>F35</f>
        <v>8355.965</v>
      </c>
      <c r="G34" s="6">
        <f>G35</f>
        <v>0</v>
      </c>
      <c r="H34" s="6">
        <f>H35</f>
        <v>0</v>
      </c>
    </row>
    <row r="35" spans="1:9" s="4" customFormat="1" ht="38.25" customHeight="1">
      <c r="A35" s="237"/>
      <c r="B35" s="93" t="s">
        <v>356</v>
      </c>
      <c r="C35" s="194"/>
      <c r="D35" s="194"/>
      <c r="E35" s="8">
        <f>F35+G35+H35</f>
        <v>8355.965</v>
      </c>
      <c r="F35" s="76">
        <f>8175.965+180</f>
        <v>8355.965</v>
      </c>
      <c r="G35" s="76"/>
      <c r="H35" s="76"/>
      <c r="I35" s="4" t="s">
        <v>203</v>
      </c>
    </row>
    <row r="36" spans="1:8" s="4" customFormat="1" ht="12.75">
      <c r="A36" s="234" t="s">
        <v>92</v>
      </c>
      <c r="B36" s="94"/>
      <c r="C36" s="229" t="s">
        <v>38</v>
      </c>
      <c r="D36" s="229" t="s">
        <v>19</v>
      </c>
      <c r="E36" s="6">
        <f>E37</f>
        <v>6802.001000000002</v>
      </c>
      <c r="F36" s="6">
        <f>F37</f>
        <v>6802.001000000002</v>
      </c>
      <c r="G36" s="6">
        <f>G37</f>
        <v>0</v>
      </c>
      <c r="H36" s="6">
        <f>H37</f>
        <v>0</v>
      </c>
    </row>
    <row r="37" spans="1:9" s="4" customFormat="1" ht="38.25" customHeight="1">
      <c r="A37" s="236"/>
      <c r="B37" s="95" t="s">
        <v>106</v>
      </c>
      <c r="C37" s="230"/>
      <c r="D37" s="230"/>
      <c r="E37" s="76">
        <f>F37+G37+H37</f>
        <v>6802.001000000002</v>
      </c>
      <c r="F37" s="76">
        <f>15150.522-2358.114+9.593-6000</f>
        <v>6802.001000000002</v>
      </c>
      <c r="G37" s="76"/>
      <c r="H37" s="76"/>
      <c r="I37" s="4">
        <v>35862</v>
      </c>
    </row>
    <row r="38" spans="1:8" s="4" customFormat="1" ht="79.5" customHeight="1">
      <c r="A38" s="87"/>
      <c r="B38" s="43" t="s">
        <v>365</v>
      </c>
      <c r="C38" s="88"/>
      <c r="D38" s="88"/>
      <c r="E38" s="76">
        <f>F38+G38+H38</f>
        <v>5500</v>
      </c>
      <c r="F38" s="96">
        <v>5500</v>
      </c>
      <c r="G38" s="76"/>
      <c r="H38" s="76"/>
    </row>
    <row r="39" spans="1:8" s="4" customFormat="1" ht="13.5" customHeight="1">
      <c r="A39" s="245" t="s">
        <v>92</v>
      </c>
      <c r="B39" s="95"/>
      <c r="C39" s="229" t="s">
        <v>292</v>
      </c>
      <c r="D39" s="229" t="s">
        <v>19</v>
      </c>
      <c r="E39" s="6">
        <f>F39+G39+H39</f>
        <v>317.672</v>
      </c>
      <c r="F39" s="6">
        <f>F40</f>
        <v>317.672</v>
      </c>
      <c r="G39" s="6">
        <f>G40</f>
        <v>0</v>
      </c>
      <c r="H39" s="6">
        <f>H40</f>
        <v>0</v>
      </c>
    </row>
    <row r="40" spans="1:8" s="4" customFormat="1" ht="43.5" customHeight="1">
      <c r="A40" s="246"/>
      <c r="B40" s="95" t="s">
        <v>106</v>
      </c>
      <c r="C40" s="230"/>
      <c r="D40" s="230"/>
      <c r="E40" s="8">
        <f>SUM(F40:H40)</f>
        <v>317.672</v>
      </c>
      <c r="F40" s="8">
        <v>317.672</v>
      </c>
      <c r="G40" s="8">
        <v>0</v>
      </c>
      <c r="H40" s="8">
        <v>0</v>
      </c>
    </row>
    <row r="41" spans="1:8" s="4" customFormat="1" ht="12.75">
      <c r="A41" s="234" t="s">
        <v>92</v>
      </c>
      <c r="B41" s="94"/>
      <c r="C41" s="229" t="s">
        <v>286</v>
      </c>
      <c r="D41" s="229" t="s">
        <v>19</v>
      </c>
      <c r="E41" s="6">
        <f>E42</f>
        <v>12210</v>
      </c>
      <c r="F41" s="6">
        <f>F42</f>
        <v>12210</v>
      </c>
      <c r="G41" s="6">
        <f>G42</f>
        <v>0</v>
      </c>
      <c r="H41" s="6">
        <f>H42</f>
        <v>0</v>
      </c>
    </row>
    <row r="42" spans="1:8" s="4" customFormat="1" ht="55.5" customHeight="1">
      <c r="A42" s="236"/>
      <c r="B42" s="95" t="s">
        <v>106</v>
      </c>
      <c r="C42" s="230"/>
      <c r="D42" s="230"/>
      <c r="E42" s="76">
        <f>F42+G42+H42</f>
        <v>12210</v>
      </c>
      <c r="F42" s="76">
        <f>6544.063+900+4765.937</f>
        <v>12210</v>
      </c>
      <c r="G42" s="76"/>
      <c r="H42" s="76"/>
    </row>
    <row r="43" spans="1:8" s="4" customFormat="1" ht="12.75" customHeight="1">
      <c r="A43" s="234" t="s">
        <v>92</v>
      </c>
      <c r="B43" s="94"/>
      <c r="C43" s="229" t="s">
        <v>289</v>
      </c>
      <c r="D43" s="229" t="s">
        <v>19</v>
      </c>
      <c r="E43" s="6">
        <f>E44+E48</f>
        <v>561.859</v>
      </c>
      <c r="F43" s="6">
        <f>F44+F48</f>
        <v>561.859</v>
      </c>
      <c r="G43" s="6">
        <f>G44</f>
        <v>0</v>
      </c>
      <c r="H43" s="6">
        <f>H44</f>
        <v>0</v>
      </c>
    </row>
    <row r="44" spans="1:8" s="4" customFormat="1" ht="38.25" customHeight="1">
      <c r="A44" s="236"/>
      <c r="B44" s="95" t="s">
        <v>106</v>
      </c>
      <c r="C44" s="238"/>
      <c r="D44" s="238"/>
      <c r="E44" s="76">
        <f>F44+G44+H44</f>
        <v>549.96</v>
      </c>
      <c r="F44" s="76">
        <f>3361.599+549.96-3361.599</f>
        <v>549.96</v>
      </c>
      <c r="G44" s="76"/>
      <c r="H44" s="76"/>
    </row>
    <row r="45" spans="1:8" s="4" customFormat="1" ht="12.75" customHeight="1" hidden="1">
      <c r="A45" s="85"/>
      <c r="B45" s="94"/>
      <c r="C45" s="238"/>
      <c r="D45" s="238"/>
      <c r="E45" s="6">
        <f>E46</f>
        <v>0</v>
      </c>
      <c r="F45" s="6">
        <f>F46</f>
        <v>0</v>
      </c>
      <c r="G45" s="6">
        <f>G46</f>
        <v>0</v>
      </c>
      <c r="H45" s="6">
        <f>H46</f>
        <v>0</v>
      </c>
    </row>
    <row r="46" spans="1:8" s="4" customFormat="1" ht="38.25" customHeight="1" hidden="1">
      <c r="A46" s="97" t="s">
        <v>92</v>
      </c>
      <c r="B46" s="275" t="s">
        <v>106</v>
      </c>
      <c r="C46" s="238"/>
      <c r="D46" s="238"/>
      <c r="E46" s="243">
        <f>F46+G46+H46</f>
        <v>0</v>
      </c>
      <c r="F46" s="243">
        <f>2823.834-2823.834</f>
        <v>0</v>
      </c>
      <c r="G46" s="243"/>
      <c r="H46" s="243"/>
    </row>
    <row r="47" spans="1:8" s="4" customFormat="1" ht="12.75" customHeight="1" hidden="1">
      <c r="A47" s="98"/>
      <c r="B47" s="226"/>
      <c r="C47" s="238"/>
      <c r="D47" s="238"/>
      <c r="E47" s="244"/>
      <c r="F47" s="244"/>
      <c r="G47" s="244"/>
      <c r="H47" s="244"/>
    </row>
    <row r="48" spans="1:8" s="4" customFormat="1" ht="51">
      <c r="A48" s="100"/>
      <c r="B48" s="7" t="s">
        <v>199</v>
      </c>
      <c r="C48" s="238"/>
      <c r="D48" s="238"/>
      <c r="E48" s="77">
        <f>F48+G48+H48</f>
        <v>11.899</v>
      </c>
      <c r="F48" s="77">
        <f>F49</f>
        <v>11.899</v>
      </c>
      <c r="G48" s="77"/>
      <c r="H48" s="77"/>
    </row>
    <row r="49" spans="1:8" s="4" customFormat="1" ht="38.25">
      <c r="A49" s="100"/>
      <c r="B49" s="101" t="s">
        <v>372</v>
      </c>
      <c r="C49" s="230"/>
      <c r="D49" s="230"/>
      <c r="E49" s="77">
        <f>F49+G49+H49</f>
        <v>11.899</v>
      </c>
      <c r="F49" s="77">
        <v>11.899</v>
      </c>
      <c r="G49" s="77"/>
      <c r="H49" s="77"/>
    </row>
    <row r="50" spans="1:8" s="4" customFormat="1" ht="12.75" customHeight="1">
      <c r="A50" s="234" t="s">
        <v>92</v>
      </c>
      <c r="B50" s="99"/>
      <c r="C50" s="229" t="s">
        <v>40</v>
      </c>
      <c r="D50" s="229" t="s">
        <v>19</v>
      </c>
      <c r="E50" s="6">
        <f>F50+G50+H50</f>
        <v>965.669</v>
      </c>
      <c r="F50" s="102">
        <f>F51</f>
        <v>965.669</v>
      </c>
      <c r="G50" s="102">
        <f>G51</f>
        <v>0</v>
      </c>
      <c r="H50" s="102">
        <f>H51</f>
        <v>0</v>
      </c>
    </row>
    <row r="51" spans="1:11" s="4" customFormat="1" ht="71.25" customHeight="1">
      <c r="A51" s="235"/>
      <c r="B51" s="95" t="s">
        <v>106</v>
      </c>
      <c r="C51" s="250"/>
      <c r="D51" s="250"/>
      <c r="E51" s="76">
        <f>SUM(F51:H51)</f>
        <v>965.669</v>
      </c>
      <c r="F51" s="76">
        <v>965.669</v>
      </c>
      <c r="G51" s="76"/>
      <c r="H51" s="103"/>
      <c r="J51" s="4" t="s">
        <v>334</v>
      </c>
      <c r="K51" s="89">
        <f>F22</f>
        <v>168636.447</v>
      </c>
    </row>
    <row r="52" spans="1:8" s="2" customFormat="1" ht="12.75">
      <c r="A52" s="249" t="s">
        <v>333</v>
      </c>
      <c r="B52" s="249"/>
      <c r="C52" s="249"/>
      <c r="D52" s="249"/>
      <c r="E52" s="249"/>
      <c r="F52" s="249"/>
      <c r="G52" s="249"/>
      <c r="H52" s="249"/>
    </row>
    <row r="53" spans="1:8" s="2" customFormat="1" ht="12.75" customHeight="1">
      <c r="A53" s="234" t="s">
        <v>63</v>
      </c>
      <c r="B53" s="5"/>
      <c r="C53" s="229" t="s">
        <v>298</v>
      </c>
      <c r="D53" s="229" t="s">
        <v>19</v>
      </c>
      <c r="E53" s="6">
        <f>F53+G53+H53</f>
        <v>263595.63713945</v>
      </c>
      <c r="F53" s="6">
        <f>SUM(F54:F69)-F55</f>
        <v>81838.877</v>
      </c>
      <c r="G53" s="6">
        <f>SUM(G54:G69)-G55</f>
        <v>88446.11199000002</v>
      </c>
      <c r="H53" s="6">
        <f>SUM(H54:H69)-H55</f>
        <v>93310.64814945</v>
      </c>
    </row>
    <row r="54" spans="1:10" ht="12.75" customHeight="1">
      <c r="A54" s="235"/>
      <c r="B54" s="7" t="s">
        <v>58</v>
      </c>
      <c r="C54" s="238"/>
      <c r="D54" s="238"/>
      <c r="E54" s="8">
        <f aca="true" t="shared" si="1" ref="E54:E80">F54+G54+H54</f>
        <v>159234.004693645</v>
      </c>
      <c r="F54" s="8">
        <v>49429.219</v>
      </c>
      <c r="G54" s="8">
        <f>F54*1.081</f>
        <v>53432.985738999996</v>
      </c>
      <c r="H54" s="8">
        <f>G54*1.055</f>
        <v>56371.799954644994</v>
      </c>
      <c r="I54" s="104"/>
      <c r="J54" s="105"/>
    </row>
    <row r="55" spans="1:10" s="21" customFormat="1" ht="42.75" customHeight="1">
      <c r="A55" s="235"/>
      <c r="B55" s="43" t="s">
        <v>285</v>
      </c>
      <c r="C55" s="238"/>
      <c r="D55" s="238"/>
      <c r="E55" s="90">
        <f t="shared" si="1"/>
        <v>389.888</v>
      </c>
      <c r="F55" s="90">
        <v>389.888</v>
      </c>
      <c r="G55" s="90"/>
      <c r="H55" s="90"/>
      <c r="I55" s="106"/>
      <c r="J55" s="107"/>
    </row>
    <row r="56" spans="1:9" s="21" customFormat="1" ht="12.75">
      <c r="A56" s="235"/>
      <c r="B56" s="7" t="s">
        <v>165</v>
      </c>
      <c r="C56" s="238"/>
      <c r="D56" s="238"/>
      <c r="E56" s="8">
        <f t="shared" si="1"/>
        <v>6442.848792354999</v>
      </c>
      <c r="F56" s="8">
        <v>1999.981</v>
      </c>
      <c r="G56" s="8">
        <f>F56*1.081</f>
        <v>2161.979461</v>
      </c>
      <c r="H56" s="8">
        <f>G56*1.055</f>
        <v>2280.8883313549995</v>
      </c>
      <c r="I56" s="108"/>
    </row>
    <row r="57" spans="1:10" ht="25.5">
      <c r="A57" s="235"/>
      <c r="B57" s="78" t="s">
        <v>119</v>
      </c>
      <c r="C57" s="238"/>
      <c r="D57" s="238"/>
      <c r="E57" s="8">
        <f t="shared" si="1"/>
        <v>25666.620566999994</v>
      </c>
      <c r="F57" s="8">
        <v>7967.4</v>
      </c>
      <c r="G57" s="8">
        <f>F57*1.081</f>
        <v>8612.759399999999</v>
      </c>
      <c r="H57" s="8">
        <f>G57*1.055</f>
        <v>9086.461166999998</v>
      </c>
      <c r="I57" s="104"/>
      <c r="J57" s="105"/>
    </row>
    <row r="58" spans="1:11" ht="25.5">
      <c r="A58" s="235"/>
      <c r="B58" s="78" t="s">
        <v>59</v>
      </c>
      <c r="C58" s="238"/>
      <c r="D58" s="238"/>
      <c r="E58" s="8">
        <f t="shared" si="1"/>
        <v>48804.031713129996</v>
      </c>
      <c r="F58" s="8">
        <v>15149.686</v>
      </c>
      <c r="G58" s="8">
        <f aca="true" t="shared" si="2" ref="G58:G68">F58*1.081</f>
        <v>16376.810565999998</v>
      </c>
      <c r="H58" s="8">
        <f aca="true" t="shared" si="3" ref="H58:H68">G58*1.055</f>
        <v>17277.53514713</v>
      </c>
      <c r="I58" s="104"/>
      <c r="J58" s="105" t="s">
        <v>335</v>
      </c>
      <c r="K58" s="24">
        <f>F53+F70+F76+F82+F96</f>
        <v>349482.116</v>
      </c>
    </row>
    <row r="59" spans="1:10" ht="12.75">
      <c r="A59" s="235"/>
      <c r="B59" s="78" t="s">
        <v>60</v>
      </c>
      <c r="C59" s="238"/>
      <c r="D59" s="238"/>
      <c r="E59" s="8">
        <f t="shared" si="1"/>
        <v>7512.0078279399995</v>
      </c>
      <c r="F59" s="8">
        <v>2331.868</v>
      </c>
      <c r="G59" s="8">
        <f t="shared" si="2"/>
        <v>2520.749308</v>
      </c>
      <c r="H59" s="8">
        <f t="shared" si="3"/>
        <v>2659.3905199399996</v>
      </c>
      <c r="I59" s="104"/>
      <c r="J59" s="105"/>
    </row>
    <row r="60" spans="1:10" ht="12.75">
      <c r="A60" s="235"/>
      <c r="B60" s="78" t="s">
        <v>61</v>
      </c>
      <c r="C60" s="238"/>
      <c r="D60" s="238"/>
      <c r="E60" s="8">
        <f t="shared" si="1"/>
        <v>1819.75482913</v>
      </c>
      <c r="F60" s="8">
        <f>564.886</f>
        <v>564.886</v>
      </c>
      <c r="G60" s="8">
        <f t="shared" si="2"/>
        <v>610.641766</v>
      </c>
      <c r="H60" s="8">
        <f t="shared" si="3"/>
        <v>644.2270631299999</v>
      </c>
      <c r="I60" s="104"/>
      <c r="J60" s="105"/>
    </row>
    <row r="61" spans="1:10" ht="25.5">
      <c r="A61" s="235"/>
      <c r="B61" s="78" t="s">
        <v>194</v>
      </c>
      <c r="C61" s="238"/>
      <c r="D61" s="238"/>
      <c r="E61" s="8">
        <f t="shared" si="1"/>
        <v>248.40639505000001</v>
      </c>
      <c r="F61" s="8">
        <v>77.11</v>
      </c>
      <c r="G61" s="8">
        <f t="shared" si="2"/>
        <v>83.35591</v>
      </c>
      <c r="H61" s="8">
        <f t="shared" si="3"/>
        <v>87.94048504999999</v>
      </c>
      <c r="I61" s="104"/>
      <c r="J61" s="105"/>
    </row>
    <row r="62" spans="1:10" ht="12.75">
      <c r="A62" s="235"/>
      <c r="B62" s="78" t="s">
        <v>27</v>
      </c>
      <c r="C62" s="238"/>
      <c r="D62" s="238"/>
      <c r="E62" s="8">
        <f t="shared" si="1"/>
        <v>1356.85751727</v>
      </c>
      <c r="F62" s="8">
        <v>421.194</v>
      </c>
      <c r="G62" s="8">
        <f t="shared" si="2"/>
        <v>455.310714</v>
      </c>
      <c r="H62" s="8">
        <f t="shared" si="3"/>
        <v>480.35280327</v>
      </c>
      <c r="I62" s="104"/>
      <c r="J62" s="105"/>
    </row>
    <row r="63" spans="1:10" ht="38.25">
      <c r="A63" s="235"/>
      <c r="B63" s="78" t="s">
        <v>111</v>
      </c>
      <c r="C63" s="238"/>
      <c r="D63" s="238"/>
      <c r="E63" s="8">
        <f t="shared" si="1"/>
        <v>509.19606311999996</v>
      </c>
      <c r="F63" s="8">
        <v>158.064</v>
      </c>
      <c r="G63" s="8">
        <f t="shared" si="2"/>
        <v>170.86718399999998</v>
      </c>
      <c r="H63" s="8">
        <f t="shared" si="3"/>
        <v>180.26487911999996</v>
      </c>
      <c r="I63" s="104"/>
      <c r="J63" s="105"/>
    </row>
    <row r="64" spans="1:10" ht="25.5">
      <c r="A64" s="235"/>
      <c r="B64" s="78" t="s">
        <v>193</v>
      </c>
      <c r="C64" s="238"/>
      <c r="D64" s="238"/>
      <c r="E64" s="8">
        <f t="shared" si="1"/>
        <v>1085.80429357</v>
      </c>
      <c r="F64" s="8">
        <v>337.054</v>
      </c>
      <c r="G64" s="8">
        <f t="shared" si="2"/>
        <v>364.355374</v>
      </c>
      <c r="H64" s="8">
        <f t="shared" si="3"/>
        <v>384.39491956999996</v>
      </c>
      <c r="I64" s="104"/>
      <c r="J64" s="105"/>
    </row>
    <row r="65" spans="1:10" ht="25.5">
      <c r="A65" s="235"/>
      <c r="B65" s="78" t="s">
        <v>77</v>
      </c>
      <c r="C65" s="238"/>
      <c r="D65" s="238"/>
      <c r="E65" s="8">
        <f>F65+G65+H65</f>
        <v>8818.17252933</v>
      </c>
      <c r="F65" s="8">
        <v>2737.326</v>
      </c>
      <c r="G65" s="8">
        <f t="shared" si="2"/>
        <v>2959.049406</v>
      </c>
      <c r="H65" s="8">
        <f t="shared" si="3"/>
        <v>3121.79712333</v>
      </c>
      <c r="I65" s="104"/>
      <c r="J65" s="105"/>
    </row>
    <row r="66" spans="1:10" ht="51">
      <c r="A66" s="235"/>
      <c r="B66" s="78" t="s">
        <v>280</v>
      </c>
      <c r="C66" s="238"/>
      <c r="D66" s="238"/>
      <c r="E66" s="8">
        <f>F66+G66+H66</f>
        <v>305.83849479</v>
      </c>
      <c r="F66" s="8">
        <v>94.938</v>
      </c>
      <c r="G66" s="8">
        <f t="shared" si="2"/>
        <v>102.627978</v>
      </c>
      <c r="H66" s="8">
        <f t="shared" si="3"/>
        <v>108.27251679</v>
      </c>
      <c r="I66" s="104"/>
      <c r="J66" s="105"/>
    </row>
    <row r="67" spans="1:10" ht="51">
      <c r="A67" s="235"/>
      <c r="B67" s="78" t="s">
        <v>297</v>
      </c>
      <c r="C67" s="238"/>
      <c r="D67" s="238"/>
      <c r="E67" s="8">
        <f>F67+G67+H67</f>
        <v>12.405823204999999</v>
      </c>
      <c r="F67" s="8">
        <v>3.851</v>
      </c>
      <c r="G67" s="8">
        <f t="shared" si="2"/>
        <v>4.1629309999999995</v>
      </c>
      <c r="H67" s="8">
        <f t="shared" si="3"/>
        <v>4.3918922049999995</v>
      </c>
      <c r="I67" s="104"/>
      <c r="J67" s="105"/>
    </row>
    <row r="68" spans="1:10" ht="25.5">
      <c r="A68" s="235"/>
      <c r="B68" s="78" t="s">
        <v>296</v>
      </c>
      <c r="C68" s="238"/>
      <c r="D68" s="238"/>
      <c r="E68" s="8">
        <f>F68+G68+H68</f>
        <v>1759.600599915</v>
      </c>
      <c r="F68" s="8">
        <f>192.104+354.109</f>
        <v>546.213</v>
      </c>
      <c r="G68" s="8">
        <f t="shared" si="2"/>
        <v>590.456253</v>
      </c>
      <c r="H68" s="8">
        <f t="shared" si="3"/>
        <v>622.931346915</v>
      </c>
      <c r="I68" s="104"/>
      <c r="J68" s="105"/>
    </row>
    <row r="69" spans="1:10" ht="12.75">
      <c r="A69" s="235"/>
      <c r="B69" s="78" t="s">
        <v>358</v>
      </c>
      <c r="C69" s="238"/>
      <c r="D69" s="238"/>
      <c r="E69" s="8">
        <f>F69+G69+H69</f>
        <v>20.087</v>
      </c>
      <c r="F69" s="8">
        <v>20.087</v>
      </c>
      <c r="G69" s="8"/>
      <c r="H69" s="8"/>
      <c r="I69" s="104"/>
      <c r="J69" s="105"/>
    </row>
    <row r="70" spans="1:8" ht="12.75" customHeight="1">
      <c r="A70" s="234" t="s">
        <v>64</v>
      </c>
      <c r="B70" s="78"/>
      <c r="C70" s="229" t="s">
        <v>298</v>
      </c>
      <c r="D70" s="229" t="s">
        <v>19</v>
      </c>
      <c r="E70" s="6">
        <f t="shared" si="1"/>
        <v>65828.42595853498</v>
      </c>
      <c r="F70" s="6">
        <f>SUM(F71:F75)</f>
        <v>20434.376999999997</v>
      </c>
      <c r="G70" s="6">
        <f>SUM(G71:G75)</f>
        <v>22089.561536999994</v>
      </c>
      <c r="H70" s="6">
        <f>SUM(H71:H75)</f>
        <v>23304.48742153499</v>
      </c>
    </row>
    <row r="71" spans="1:8" ht="12.75">
      <c r="A71" s="235"/>
      <c r="B71" s="78" t="s">
        <v>112</v>
      </c>
      <c r="C71" s="238"/>
      <c r="D71" s="238"/>
      <c r="E71" s="8">
        <f t="shared" si="1"/>
        <v>56836.10479335999</v>
      </c>
      <c r="F71" s="8">
        <f>9979.578+7663.414</f>
        <v>17642.992</v>
      </c>
      <c r="G71" s="8">
        <f>F71*1.081</f>
        <v>19072.074351999996</v>
      </c>
      <c r="H71" s="8">
        <f>G71*1.055</f>
        <v>20121.038441359993</v>
      </c>
    </row>
    <row r="72" spans="1:8" ht="25.5">
      <c r="A72" s="235"/>
      <c r="B72" s="7" t="s">
        <v>26</v>
      </c>
      <c r="C72" s="238"/>
      <c r="D72" s="238"/>
      <c r="E72" s="8">
        <f t="shared" si="1"/>
        <v>4501.33262859</v>
      </c>
      <c r="F72" s="8">
        <v>1397.298</v>
      </c>
      <c r="G72" s="8">
        <f>F72*1.081</f>
        <v>1510.479138</v>
      </c>
      <c r="H72" s="8">
        <f>G72*1.055</f>
        <v>1593.5554905899999</v>
      </c>
    </row>
    <row r="73" spans="1:8" ht="12.75">
      <c r="A73" s="235"/>
      <c r="B73" s="78" t="s">
        <v>65</v>
      </c>
      <c r="C73" s="238"/>
      <c r="D73" s="238"/>
      <c r="E73" s="8">
        <f t="shared" si="1"/>
        <v>683.7860383</v>
      </c>
      <c r="F73" s="8">
        <v>212.26</v>
      </c>
      <c r="G73" s="8">
        <f>F73*1.081</f>
        <v>229.45306</v>
      </c>
      <c r="H73" s="8">
        <f>G73*1.055</f>
        <v>242.0729783</v>
      </c>
    </row>
    <row r="74" spans="1:8" ht="12.75">
      <c r="A74" s="235"/>
      <c r="B74" s="78" t="s">
        <v>66</v>
      </c>
      <c r="C74" s="238"/>
      <c r="D74" s="238"/>
      <c r="E74" s="8">
        <f t="shared" si="1"/>
        <v>352.62690721</v>
      </c>
      <c r="F74" s="8">
        <v>109.462</v>
      </c>
      <c r="G74" s="8">
        <f>F74*1.081</f>
        <v>118.328422</v>
      </c>
      <c r="H74" s="8">
        <f>G74*1.055</f>
        <v>124.83648520999999</v>
      </c>
    </row>
    <row r="75" spans="1:8" ht="12.75">
      <c r="A75" s="235"/>
      <c r="B75" s="78" t="s">
        <v>67</v>
      </c>
      <c r="C75" s="238"/>
      <c r="D75" s="238"/>
      <c r="E75" s="8">
        <f t="shared" si="1"/>
        <v>3454.5755910749995</v>
      </c>
      <c r="F75" s="8">
        <v>1072.365</v>
      </c>
      <c r="G75" s="8">
        <f>F75*1.081</f>
        <v>1159.226565</v>
      </c>
      <c r="H75" s="8">
        <f>G75*1.055</f>
        <v>1222.984026075</v>
      </c>
    </row>
    <row r="76" spans="1:8" ht="12.75" customHeight="1">
      <c r="A76" s="234" t="s">
        <v>68</v>
      </c>
      <c r="B76" s="78"/>
      <c r="C76" s="229" t="s">
        <v>298</v>
      </c>
      <c r="D76" s="229" t="s">
        <v>19</v>
      </c>
      <c r="E76" s="6">
        <f t="shared" si="1"/>
        <v>576.8530610299999</v>
      </c>
      <c r="F76" s="6">
        <f>SUM(F77:F81)</f>
        <v>179.06599999999997</v>
      </c>
      <c r="G76" s="6">
        <f>SUM(G77:G81)</f>
        <v>193.570346</v>
      </c>
      <c r="H76" s="6">
        <f>SUM(H77:H81)</f>
        <v>204.21671503</v>
      </c>
    </row>
    <row r="77" spans="1:8" ht="25.5">
      <c r="A77" s="235"/>
      <c r="B77" s="78" t="s">
        <v>69</v>
      </c>
      <c r="C77" s="238"/>
      <c r="D77" s="238"/>
      <c r="E77" s="8">
        <f t="shared" si="1"/>
        <v>62.228846235000006</v>
      </c>
      <c r="F77" s="8">
        <v>19.317</v>
      </c>
      <c r="G77" s="8">
        <f>F77*1.081</f>
        <v>20.881677</v>
      </c>
      <c r="H77" s="8">
        <f aca="true" t="shared" si="4" ref="H77:H93">G77*1.055</f>
        <v>22.030169235</v>
      </c>
    </row>
    <row r="78" spans="1:8" ht="25.5">
      <c r="A78" s="235"/>
      <c r="B78" s="78" t="s">
        <v>70</v>
      </c>
      <c r="C78" s="238"/>
      <c r="D78" s="238"/>
      <c r="E78" s="8">
        <f t="shared" si="1"/>
        <v>85.288021125</v>
      </c>
      <c r="F78" s="8">
        <v>26.475</v>
      </c>
      <c r="G78" s="8">
        <f>F78*1.081</f>
        <v>28.619475</v>
      </c>
      <c r="H78" s="8">
        <f t="shared" si="4"/>
        <v>30.193546125</v>
      </c>
    </row>
    <row r="79" spans="1:8" ht="25.5">
      <c r="A79" s="235"/>
      <c r="B79" s="78" t="s">
        <v>71</v>
      </c>
      <c r="C79" s="238"/>
      <c r="D79" s="238"/>
      <c r="E79" s="8">
        <f t="shared" si="1"/>
        <v>286.05553963499995</v>
      </c>
      <c r="F79" s="8">
        <v>88.797</v>
      </c>
      <c r="G79" s="8">
        <f>F79*1.081</f>
        <v>95.98955699999999</v>
      </c>
      <c r="H79" s="8">
        <f t="shared" si="4"/>
        <v>101.26898263499999</v>
      </c>
    </row>
    <row r="80" spans="1:8" ht="38.25">
      <c r="A80" s="235"/>
      <c r="B80" s="78" t="s">
        <v>72</v>
      </c>
      <c r="C80" s="238"/>
      <c r="D80" s="238"/>
      <c r="E80" s="8">
        <f t="shared" si="1"/>
        <v>39.111685154999996</v>
      </c>
      <c r="F80" s="8">
        <v>12.141</v>
      </c>
      <c r="G80" s="8">
        <f>F80*1.081</f>
        <v>13.124421</v>
      </c>
      <c r="H80" s="8">
        <f t="shared" si="4"/>
        <v>13.846264154999998</v>
      </c>
    </row>
    <row r="81" spans="1:10" ht="25.5">
      <c r="A81" s="236"/>
      <c r="B81" s="78" t="s">
        <v>295</v>
      </c>
      <c r="C81" s="230"/>
      <c r="D81" s="230"/>
      <c r="E81" s="8">
        <f>F81+G81+H81</f>
        <v>104.16896888</v>
      </c>
      <c r="F81" s="8">
        <v>32.336</v>
      </c>
      <c r="G81" s="8">
        <f>F81*1.081</f>
        <v>34.955216</v>
      </c>
      <c r="H81" s="8">
        <f t="shared" si="4"/>
        <v>36.877752879999996</v>
      </c>
      <c r="I81" s="104"/>
      <c r="J81" s="105"/>
    </row>
    <row r="82" spans="1:8" ht="12.75" customHeight="1">
      <c r="A82" s="234" t="s">
        <v>73</v>
      </c>
      <c r="B82" s="78"/>
      <c r="C82" s="229" t="s">
        <v>298</v>
      </c>
      <c r="D82" s="229" t="s">
        <v>19</v>
      </c>
      <c r="E82" s="6">
        <f aca="true" t="shared" si="5" ref="E82:E93">F82+G82+H82</f>
        <v>450489.92712639493</v>
      </c>
      <c r="F82" s="6">
        <f>SUM(F83:F95)</f>
        <v>139883.26999999996</v>
      </c>
      <c r="G82" s="6">
        <f>SUM(G83:G95)</f>
        <v>151146.791789</v>
      </c>
      <c r="H82" s="6">
        <f>SUM(H83:H95)</f>
        <v>159459.865337395</v>
      </c>
    </row>
    <row r="83" spans="1:8" ht="12.75">
      <c r="A83" s="235"/>
      <c r="B83" s="78" t="s">
        <v>114</v>
      </c>
      <c r="C83" s="238"/>
      <c r="D83" s="238"/>
      <c r="E83" s="8">
        <f t="shared" si="5"/>
        <v>276297.12103482</v>
      </c>
      <c r="F83" s="8">
        <f>56256.541-5488.737+35000</f>
        <v>85767.804</v>
      </c>
      <c r="G83" s="8">
        <f>F83*1.081</f>
        <v>92714.996124</v>
      </c>
      <c r="H83" s="8">
        <f t="shared" si="4"/>
        <v>97814.32091082</v>
      </c>
    </row>
    <row r="84" spans="1:8" ht="12.75">
      <c r="A84" s="235"/>
      <c r="B84" s="78" t="s">
        <v>294</v>
      </c>
      <c r="C84" s="238"/>
      <c r="D84" s="238"/>
      <c r="E84" s="8">
        <f t="shared" si="5"/>
        <v>22814.379746005</v>
      </c>
      <c r="F84" s="8">
        <v>7082.011</v>
      </c>
      <c r="G84" s="8">
        <f>F84*1.081</f>
        <v>7655.653891</v>
      </c>
      <c r="H84" s="8">
        <f t="shared" si="4"/>
        <v>8076.714855005</v>
      </c>
    </row>
    <row r="85" spans="1:8" ht="25.5">
      <c r="A85" s="235"/>
      <c r="B85" s="78" t="s">
        <v>164</v>
      </c>
      <c r="C85" s="238"/>
      <c r="D85" s="238"/>
      <c r="E85" s="8">
        <f t="shared" si="5"/>
        <v>20638.97950633</v>
      </c>
      <c r="F85" s="8">
        <f>8000-1593.274</f>
        <v>6406.726000000001</v>
      </c>
      <c r="G85" s="8">
        <f aca="true" t="shared" si="6" ref="G85:G93">F85*1.081</f>
        <v>6925.670806</v>
      </c>
      <c r="H85" s="8">
        <f t="shared" si="4"/>
        <v>7306.58270033</v>
      </c>
    </row>
    <row r="86" spans="1:8" ht="25.5">
      <c r="A86" s="235"/>
      <c r="B86" s="78" t="s">
        <v>117</v>
      </c>
      <c r="C86" s="238"/>
      <c r="D86" s="238"/>
      <c r="E86" s="8">
        <f t="shared" si="5"/>
        <v>2040.4148322650003</v>
      </c>
      <c r="F86" s="8">
        <v>633.383</v>
      </c>
      <c r="G86" s="8">
        <f t="shared" si="6"/>
        <v>684.6870230000001</v>
      </c>
      <c r="H86" s="8">
        <f t="shared" si="4"/>
        <v>722.344809265</v>
      </c>
    </row>
    <row r="87" spans="1:9" ht="26.25" customHeight="1">
      <c r="A87" s="235"/>
      <c r="B87" s="78" t="s">
        <v>22</v>
      </c>
      <c r="C87" s="238"/>
      <c r="D87" s="238"/>
      <c r="E87" s="8">
        <f t="shared" si="5"/>
        <v>18922.488417225002</v>
      </c>
      <c r="F87" s="8">
        <f>1670+4203.895</f>
        <v>5873.895</v>
      </c>
      <c r="G87" s="8">
        <f t="shared" si="6"/>
        <v>6349.6804950000005</v>
      </c>
      <c r="H87" s="8">
        <f t="shared" si="4"/>
        <v>6698.912922225</v>
      </c>
      <c r="I87" s="2" t="s">
        <v>167</v>
      </c>
    </row>
    <row r="88" spans="1:8" ht="25.5">
      <c r="A88" s="235"/>
      <c r="B88" s="78" t="s">
        <v>74</v>
      </c>
      <c r="C88" s="238"/>
      <c r="D88" s="238"/>
      <c r="E88" s="8">
        <f t="shared" si="5"/>
        <v>14700.339964755001</v>
      </c>
      <c r="F88" s="8">
        <v>4563.261</v>
      </c>
      <c r="G88" s="8">
        <f t="shared" si="6"/>
        <v>4932.885141000001</v>
      </c>
      <c r="H88" s="8">
        <f t="shared" si="4"/>
        <v>5204.193823755</v>
      </c>
    </row>
    <row r="89" spans="1:8" ht="51">
      <c r="A89" s="235"/>
      <c r="B89" s="78" t="s">
        <v>168</v>
      </c>
      <c r="C89" s="238"/>
      <c r="D89" s="238"/>
      <c r="E89" s="8">
        <f>F89+G89+H89</f>
        <v>505.25944511</v>
      </c>
      <c r="F89" s="8">
        <v>156.842</v>
      </c>
      <c r="G89" s="8">
        <f t="shared" si="6"/>
        <v>169.546202</v>
      </c>
      <c r="H89" s="8">
        <f t="shared" si="4"/>
        <v>178.87124311</v>
      </c>
    </row>
    <row r="90" spans="1:8" ht="25.5">
      <c r="A90" s="235"/>
      <c r="B90" s="78" t="s">
        <v>42</v>
      </c>
      <c r="C90" s="238"/>
      <c r="D90" s="238"/>
      <c r="E90" s="8">
        <f>F90+G90+H90</f>
        <v>80418.83377141501</v>
      </c>
      <c r="F90" s="8">
        <f>23310.594+1652.919</f>
        <v>24963.513000000003</v>
      </c>
      <c r="G90" s="8">
        <f t="shared" si="6"/>
        <v>26985.557553000002</v>
      </c>
      <c r="H90" s="8">
        <f t="shared" si="4"/>
        <v>28469.763218415002</v>
      </c>
    </row>
    <row r="91" spans="1:8" ht="25.5">
      <c r="A91" s="235"/>
      <c r="B91" s="78" t="s">
        <v>75</v>
      </c>
      <c r="C91" s="238"/>
      <c r="D91" s="238"/>
      <c r="E91" s="8">
        <f t="shared" si="5"/>
        <v>6354.674347549999</v>
      </c>
      <c r="F91" s="8">
        <v>1972.61</v>
      </c>
      <c r="G91" s="8">
        <f t="shared" si="6"/>
        <v>2132.3914099999997</v>
      </c>
      <c r="H91" s="8">
        <f t="shared" si="4"/>
        <v>2249.6729375499995</v>
      </c>
    </row>
    <row r="92" spans="1:8" ht="25.5">
      <c r="A92" s="235"/>
      <c r="B92" s="78" t="s">
        <v>76</v>
      </c>
      <c r="C92" s="238"/>
      <c r="D92" s="238"/>
      <c r="E92" s="8">
        <f t="shared" si="5"/>
        <v>289.93095</v>
      </c>
      <c r="F92" s="8">
        <v>90</v>
      </c>
      <c r="G92" s="8">
        <f t="shared" si="6"/>
        <v>97.28999999999999</v>
      </c>
      <c r="H92" s="8">
        <f t="shared" si="4"/>
        <v>102.64094999999999</v>
      </c>
    </row>
    <row r="93" spans="1:8" ht="25.5">
      <c r="A93" s="235"/>
      <c r="B93" s="7" t="s">
        <v>55</v>
      </c>
      <c r="C93" s="238"/>
      <c r="D93" s="238"/>
      <c r="E93" s="8">
        <f t="shared" si="5"/>
        <v>6801.97981721</v>
      </c>
      <c r="F93" s="8">
        <v>2111.462</v>
      </c>
      <c r="G93" s="8">
        <f t="shared" si="6"/>
        <v>2282.490422</v>
      </c>
      <c r="H93" s="8">
        <f t="shared" si="4"/>
        <v>2408.0273952099997</v>
      </c>
    </row>
    <row r="94" spans="1:8" ht="89.25">
      <c r="A94" s="235"/>
      <c r="B94" s="7" t="s">
        <v>245</v>
      </c>
      <c r="C94" s="238"/>
      <c r="D94" s="238"/>
      <c r="E94" s="8">
        <f>F94+G94+H94</f>
        <v>643.5242937099999</v>
      </c>
      <c r="F94" s="8">
        <f>221.864-22.102</f>
        <v>199.762</v>
      </c>
      <c r="G94" s="8">
        <f>F94*1.081</f>
        <v>215.942722</v>
      </c>
      <c r="H94" s="8">
        <f>G94*1.055</f>
        <v>227.81957171</v>
      </c>
    </row>
    <row r="95" spans="1:8" ht="63.75">
      <c r="A95" s="236"/>
      <c r="B95" s="7" t="s">
        <v>300</v>
      </c>
      <c r="C95" s="230"/>
      <c r="D95" s="230"/>
      <c r="E95" s="8">
        <f>F95+G95+H95</f>
        <v>62.001</v>
      </c>
      <c r="F95" s="8">
        <v>62.001</v>
      </c>
      <c r="G95" s="8"/>
      <c r="H95" s="8"/>
    </row>
    <row r="96" spans="1:8" ht="12.75" customHeight="1">
      <c r="A96" s="234" t="s">
        <v>78</v>
      </c>
      <c r="B96" s="7"/>
      <c r="C96" s="229" t="s">
        <v>298</v>
      </c>
      <c r="D96" s="229" t="s">
        <v>19</v>
      </c>
      <c r="E96" s="6">
        <f aca="true" t="shared" si="7" ref="E96:E107">F96+G96+H96</f>
        <v>245822.57227757497</v>
      </c>
      <c r="F96" s="6">
        <f>SUM(F97:F107)-F99</f>
        <v>107146.526</v>
      </c>
      <c r="G96" s="6">
        <f>SUM(G97:G107)</f>
        <v>77749.900865</v>
      </c>
      <c r="H96" s="6">
        <f>SUM(H97:H107)</f>
        <v>60926.14541257499</v>
      </c>
    </row>
    <row r="97" spans="1:11" ht="51">
      <c r="A97" s="235"/>
      <c r="B97" s="78" t="s">
        <v>153</v>
      </c>
      <c r="C97" s="238"/>
      <c r="D97" s="238"/>
      <c r="E97" s="8">
        <f>F97+G97+H97</f>
        <v>72332.124</v>
      </c>
      <c r="F97" s="8">
        <f>62923.271+3.9-5510.587-11083.687-7764.257+20000+2400.244-6000-4482.317+1664.344+0.248-199.595+380.56</f>
        <v>52332.123999999996</v>
      </c>
      <c r="G97" s="8">
        <v>20000</v>
      </c>
      <c r="H97" s="8"/>
      <c r="I97" s="2" t="s">
        <v>202</v>
      </c>
      <c r="J97" s="1">
        <v>46332.897</v>
      </c>
      <c r="K97" s="24">
        <f>J97-F97</f>
        <v>-5999.226999999999</v>
      </c>
    </row>
    <row r="98" spans="1:11" ht="25.5">
      <c r="A98" s="235"/>
      <c r="B98" s="78" t="s">
        <v>56</v>
      </c>
      <c r="C98" s="238"/>
      <c r="D98" s="238"/>
      <c r="E98" s="8">
        <f t="shared" si="7"/>
        <v>159882.103453455</v>
      </c>
      <c r="F98" s="8">
        <f>24370.303+2996.81+7251.4-676+10230.25+4501.307+19.176+770.988-300+466.167</f>
        <v>49630.401</v>
      </c>
      <c r="G98" s="8">
        <f aca="true" t="shared" si="8" ref="G98:G106">F98*1.081</f>
        <v>53650.463481</v>
      </c>
      <c r="H98" s="8">
        <f aca="true" t="shared" si="9" ref="H98:H106">G98*1.055</f>
        <v>56601.238972454994</v>
      </c>
      <c r="I98" s="2" t="s">
        <v>202</v>
      </c>
      <c r="J98" s="1">
        <v>33942.513</v>
      </c>
      <c r="K98" s="24">
        <f>J98-F98</f>
        <v>-15687.887999999999</v>
      </c>
    </row>
    <row r="99" spans="1:11" ht="76.5">
      <c r="A99" s="235"/>
      <c r="B99" s="43" t="s">
        <v>365</v>
      </c>
      <c r="C99" s="238"/>
      <c r="D99" s="238"/>
      <c r="E99" s="8">
        <f t="shared" si="7"/>
        <v>8921.064</v>
      </c>
      <c r="F99" s="8">
        <v>8921.064</v>
      </c>
      <c r="G99" s="8">
        <v>0</v>
      </c>
      <c r="H99" s="8">
        <v>0</v>
      </c>
      <c r="K99" s="24"/>
    </row>
    <row r="100" spans="1:8" ht="12.75">
      <c r="A100" s="235"/>
      <c r="B100" s="78" t="s">
        <v>120</v>
      </c>
      <c r="C100" s="238"/>
      <c r="D100" s="238"/>
      <c r="E100" s="8">
        <f t="shared" si="7"/>
        <v>5222.764590019999</v>
      </c>
      <c r="F100" s="8">
        <f>95+30+1496.244</f>
        <v>1621.244</v>
      </c>
      <c r="G100" s="8">
        <f t="shared" si="8"/>
        <v>1752.5647639999997</v>
      </c>
      <c r="H100" s="8">
        <f t="shared" si="9"/>
        <v>1848.9558260199997</v>
      </c>
    </row>
    <row r="101" spans="1:8" ht="38.25">
      <c r="A101" s="235"/>
      <c r="B101" s="78" t="s">
        <v>363</v>
      </c>
      <c r="C101" s="238"/>
      <c r="D101" s="238"/>
      <c r="E101" s="8">
        <f t="shared" si="7"/>
        <v>161.342</v>
      </c>
      <c r="F101" s="8">
        <v>161.342</v>
      </c>
      <c r="G101" s="8">
        <v>0</v>
      </c>
      <c r="H101" s="8">
        <v>0</v>
      </c>
    </row>
    <row r="102" spans="1:8" ht="25.5">
      <c r="A102" s="235"/>
      <c r="B102" s="78" t="s">
        <v>366</v>
      </c>
      <c r="C102" s="238"/>
      <c r="D102" s="238"/>
      <c r="E102" s="8">
        <f t="shared" si="7"/>
        <v>952.037</v>
      </c>
      <c r="F102" s="8">
        <v>952.037</v>
      </c>
      <c r="G102" s="8"/>
      <c r="H102" s="8"/>
    </row>
    <row r="103" spans="1:8" ht="12.75">
      <c r="A103" s="235"/>
      <c r="B103" s="78" t="s">
        <v>132</v>
      </c>
      <c r="C103" s="238"/>
      <c r="D103" s="238"/>
      <c r="E103" s="8">
        <f t="shared" si="7"/>
        <v>4231.310270489999</v>
      </c>
      <c r="F103" s="8">
        <v>1313.478</v>
      </c>
      <c r="G103" s="8">
        <f t="shared" si="8"/>
        <v>1419.869718</v>
      </c>
      <c r="H103" s="8">
        <f t="shared" si="9"/>
        <v>1497.9625524899998</v>
      </c>
    </row>
    <row r="104" spans="1:8" ht="12.75">
      <c r="A104" s="235"/>
      <c r="B104" s="78" t="s">
        <v>131</v>
      </c>
      <c r="C104" s="238"/>
      <c r="D104" s="238"/>
      <c r="E104" s="8">
        <f t="shared" si="7"/>
        <v>1180.6858076849999</v>
      </c>
      <c r="F104" s="8">
        <v>366.507</v>
      </c>
      <c r="G104" s="8">
        <f t="shared" si="8"/>
        <v>396.194067</v>
      </c>
      <c r="H104" s="8">
        <f t="shared" si="9"/>
        <v>417.984740685</v>
      </c>
    </row>
    <row r="105" spans="1:8" ht="30.75" customHeight="1">
      <c r="A105" s="235"/>
      <c r="B105" s="78" t="s">
        <v>154</v>
      </c>
      <c r="C105" s="238"/>
      <c r="D105" s="238"/>
      <c r="E105" s="8">
        <f t="shared" si="7"/>
        <v>780.2686155499999</v>
      </c>
      <c r="F105" s="8">
        <v>242.21</v>
      </c>
      <c r="G105" s="8">
        <f t="shared" si="8"/>
        <v>261.82901</v>
      </c>
      <c r="H105" s="8">
        <f t="shared" si="9"/>
        <v>276.22960555</v>
      </c>
    </row>
    <row r="106" spans="1:9" ht="63.75">
      <c r="A106" s="235"/>
      <c r="B106" s="78" t="s">
        <v>242</v>
      </c>
      <c r="C106" s="238"/>
      <c r="D106" s="238"/>
      <c r="E106" s="8">
        <f t="shared" si="7"/>
        <v>801.5785403749999</v>
      </c>
      <c r="F106" s="8">
        <f>202.025+46.8</f>
        <v>248.825</v>
      </c>
      <c r="G106" s="8">
        <f t="shared" si="8"/>
        <v>268.979825</v>
      </c>
      <c r="H106" s="8">
        <f t="shared" si="9"/>
        <v>283.773715375</v>
      </c>
      <c r="I106" s="2" t="s">
        <v>203</v>
      </c>
    </row>
    <row r="107" spans="1:8" ht="114.75">
      <c r="A107" s="235"/>
      <c r="B107" s="78" t="s">
        <v>322</v>
      </c>
      <c r="C107" s="238"/>
      <c r="D107" s="238"/>
      <c r="E107" s="8">
        <f t="shared" si="7"/>
        <v>278.358</v>
      </c>
      <c r="F107" s="8">
        <v>278.358</v>
      </c>
      <c r="G107" s="8"/>
      <c r="H107" s="8"/>
    </row>
    <row r="108" spans="1:9" ht="12.75">
      <c r="A108" s="237" t="s">
        <v>301</v>
      </c>
      <c r="B108" s="7"/>
      <c r="C108" s="194" t="s">
        <v>302</v>
      </c>
      <c r="D108" s="194" t="s">
        <v>19</v>
      </c>
      <c r="E108" s="6">
        <f>F108+G108+H108</f>
        <v>6230.491</v>
      </c>
      <c r="F108" s="6">
        <f>SUM(F109:F109)</f>
        <v>6230.491</v>
      </c>
      <c r="G108" s="6">
        <f>SUM(G109:G109)</f>
        <v>0</v>
      </c>
      <c r="H108" s="6">
        <f>SUM(H109:H109)</f>
        <v>0</v>
      </c>
      <c r="I108" s="109"/>
    </row>
    <row r="109" spans="1:9" ht="165.75">
      <c r="A109" s="237"/>
      <c r="B109" s="7" t="s">
        <v>303</v>
      </c>
      <c r="C109" s="194"/>
      <c r="D109" s="194"/>
      <c r="E109" s="8">
        <f>F109+G109+H109</f>
        <v>6230.491</v>
      </c>
      <c r="F109" s="8">
        <v>6230.491</v>
      </c>
      <c r="G109" s="8"/>
      <c r="H109" s="8"/>
      <c r="I109" s="109"/>
    </row>
    <row r="110" spans="1:9" ht="12.75" customHeight="1">
      <c r="A110" s="234" t="s">
        <v>63</v>
      </c>
      <c r="B110" s="7"/>
      <c r="C110" s="229" t="s">
        <v>292</v>
      </c>
      <c r="D110" s="229" t="s">
        <v>19</v>
      </c>
      <c r="E110" s="6">
        <f aca="true" t="shared" si="10" ref="E110:E117">F110+G110+H110</f>
        <v>3634.069181205</v>
      </c>
      <c r="F110" s="6">
        <f>F111+F114</f>
        <v>670.711</v>
      </c>
      <c r="G110" s="6">
        <f>SUM(G111:G114)</f>
        <v>1442.022651</v>
      </c>
      <c r="H110" s="6">
        <f>SUM(H111:H114)</f>
        <v>1521.335530205</v>
      </c>
      <c r="I110" s="52">
        <f>F110+F115+F117+F123+F127+F129+F131+F133+F136+F139+F144+F146+F151</f>
        <v>16378.088000000002</v>
      </c>
    </row>
    <row r="111" spans="1:9" ht="25.5">
      <c r="A111" s="235"/>
      <c r="B111" s="78" t="s">
        <v>375</v>
      </c>
      <c r="C111" s="238"/>
      <c r="D111" s="238"/>
      <c r="E111" s="8">
        <f t="shared" si="10"/>
        <v>2136.66306</v>
      </c>
      <c r="F111" s="8">
        <f>F112+F113</f>
        <v>663.26</v>
      </c>
      <c r="G111" s="8">
        <f>F111*1.081</f>
        <v>716.98406</v>
      </c>
      <c r="H111" s="8">
        <v>756.419</v>
      </c>
      <c r="I111" s="52"/>
    </row>
    <row r="112" spans="1:9" ht="12.75">
      <c r="A112" s="235"/>
      <c r="B112" s="110" t="s">
        <v>376</v>
      </c>
      <c r="C112" s="238"/>
      <c r="D112" s="238"/>
      <c r="E112" s="90">
        <f t="shared" si="10"/>
        <v>483.565748</v>
      </c>
      <c r="F112" s="90">
        <v>150.108</v>
      </c>
      <c r="G112" s="90">
        <f>F112*1.081</f>
        <v>162.266748</v>
      </c>
      <c r="H112" s="90">
        <v>171.191</v>
      </c>
      <c r="I112" s="52"/>
    </row>
    <row r="113" spans="1:9" ht="12.75">
      <c r="A113" s="235"/>
      <c r="B113" s="110" t="s">
        <v>374</v>
      </c>
      <c r="C113" s="238"/>
      <c r="D113" s="238"/>
      <c r="E113" s="90">
        <f t="shared" si="10"/>
        <v>1653.0973119999999</v>
      </c>
      <c r="F113" s="111">
        <v>513.152</v>
      </c>
      <c r="G113" s="90">
        <f>F113*1.081</f>
        <v>554.717312</v>
      </c>
      <c r="H113" s="90">
        <v>585.228</v>
      </c>
      <c r="I113" s="52"/>
    </row>
    <row r="114" spans="1:8" ht="25.5">
      <c r="A114" s="236"/>
      <c r="B114" s="78" t="s">
        <v>108</v>
      </c>
      <c r="C114" s="230"/>
      <c r="D114" s="230"/>
      <c r="E114" s="8">
        <v>24.004</v>
      </c>
      <c r="F114" s="8">
        <v>7.451</v>
      </c>
      <c r="G114" s="8">
        <f>F114*1.081</f>
        <v>8.054530999999999</v>
      </c>
      <c r="H114" s="8">
        <f>G114*1.055</f>
        <v>8.497530204999999</v>
      </c>
    </row>
    <row r="115" spans="1:8" ht="25.5" customHeight="1">
      <c r="A115" s="234" t="s">
        <v>107</v>
      </c>
      <c r="B115" s="78"/>
      <c r="C115" s="194" t="s">
        <v>292</v>
      </c>
      <c r="D115" s="194" t="s">
        <v>19</v>
      </c>
      <c r="E115" s="6">
        <f t="shared" si="10"/>
        <v>536.607423715</v>
      </c>
      <c r="F115" s="6">
        <f>SUM(F116:F116)</f>
        <v>166.573</v>
      </c>
      <c r="G115" s="6">
        <f>SUM(G116:G116)</f>
        <v>180.065413</v>
      </c>
      <c r="H115" s="6">
        <f>SUM(H116:H116)</f>
        <v>189.969010715</v>
      </c>
    </row>
    <row r="116" spans="1:8" ht="25.5">
      <c r="A116" s="236"/>
      <c r="B116" s="78" t="s">
        <v>110</v>
      </c>
      <c r="C116" s="194"/>
      <c r="D116" s="194"/>
      <c r="E116" s="8">
        <f t="shared" si="10"/>
        <v>536.607423715</v>
      </c>
      <c r="F116" s="8">
        <v>166.573</v>
      </c>
      <c r="G116" s="8">
        <f>F116*1.081</f>
        <v>180.065413</v>
      </c>
      <c r="H116" s="8">
        <f>G116*1.055</f>
        <v>189.969010715</v>
      </c>
    </row>
    <row r="117" spans="1:8" ht="12.75" customHeight="1">
      <c r="A117" s="239" t="s">
        <v>73</v>
      </c>
      <c r="B117" s="7"/>
      <c r="C117" s="229" t="s">
        <v>292</v>
      </c>
      <c r="D117" s="229" t="s">
        <v>19</v>
      </c>
      <c r="E117" s="6">
        <f t="shared" si="10"/>
        <v>6731.078814114999</v>
      </c>
      <c r="F117" s="6">
        <f>SUM(F118:F122)</f>
        <v>2089.453</v>
      </c>
      <c r="G117" s="6">
        <f>SUM(G118:G122)</f>
        <v>2258.698693</v>
      </c>
      <c r="H117" s="6">
        <f>SUM(H118:H122)</f>
        <v>2382.9271211149994</v>
      </c>
    </row>
    <row r="118" spans="1:8" ht="25.5">
      <c r="A118" s="223"/>
      <c r="B118" s="78" t="s">
        <v>25</v>
      </c>
      <c r="C118" s="238"/>
      <c r="D118" s="238"/>
      <c r="E118" s="8">
        <f>SUM(F118:H118)</f>
        <v>4582.568059325</v>
      </c>
      <c r="F118" s="8">
        <f>320.733+39.093+1062.689</f>
        <v>1422.515</v>
      </c>
      <c r="G118" s="8">
        <f>F118*1.081</f>
        <v>1537.738715</v>
      </c>
      <c r="H118" s="8">
        <f>G118*1.055</f>
        <v>1622.3143443249999</v>
      </c>
    </row>
    <row r="119" spans="1:8" ht="25.5">
      <c r="A119" s="223"/>
      <c r="B119" s="78" t="s">
        <v>29</v>
      </c>
      <c r="C119" s="238"/>
      <c r="D119" s="238"/>
      <c r="E119" s="8">
        <f>SUM(F119:H119)</f>
        <v>153.74716132999998</v>
      </c>
      <c r="F119" s="8">
        <v>47.726</v>
      </c>
      <c r="G119" s="8">
        <f>F119*1.081</f>
        <v>51.591806</v>
      </c>
      <c r="H119" s="8">
        <f>G119*1.055</f>
        <v>54.42935532999999</v>
      </c>
    </row>
    <row r="120" spans="1:8" ht="25.5">
      <c r="A120" s="223"/>
      <c r="B120" s="78" t="s">
        <v>377</v>
      </c>
      <c r="C120" s="238"/>
      <c r="D120" s="238"/>
      <c r="E120" s="8">
        <f>SUM(F120:H120)</f>
        <v>1642.681112145</v>
      </c>
      <c r="F120" s="8">
        <f>37.863+472.056</f>
        <v>509.919</v>
      </c>
      <c r="G120" s="8">
        <f>F120*1.081</f>
        <v>551.222439</v>
      </c>
      <c r="H120" s="8">
        <f>G120*1.055</f>
        <v>581.5396731449999</v>
      </c>
    </row>
    <row r="121" spans="1:8" ht="12.75">
      <c r="A121" s="223"/>
      <c r="B121" s="78" t="s">
        <v>344</v>
      </c>
      <c r="C121" s="238"/>
      <c r="D121" s="238"/>
      <c r="E121" s="8">
        <f>SUM(F121:H121)</f>
        <v>261.40818743</v>
      </c>
      <c r="F121" s="8">
        <v>81.146</v>
      </c>
      <c r="G121" s="8">
        <f>F121*1.081</f>
        <v>87.71882599999999</v>
      </c>
      <c r="H121" s="8">
        <f>G121*1.055</f>
        <v>92.54336142999999</v>
      </c>
    </row>
    <row r="122" spans="1:8" ht="25.5">
      <c r="A122" s="206"/>
      <c r="B122" s="78" t="s">
        <v>117</v>
      </c>
      <c r="C122" s="230"/>
      <c r="D122" s="230"/>
      <c r="E122" s="8">
        <f>SUM(F122:H122)</f>
        <v>90.67429388499998</v>
      </c>
      <c r="F122" s="8">
        <v>28.147</v>
      </c>
      <c r="G122" s="8">
        <f>F122*1.081</f>
        <v>30.426906999999996</v>
      </c>
      <c r="H122" s="8">
        <f>G122*1.055</f>
        <v>32.10038688499999</v>
      </c>
    </row>
    <row r="123" spans="1:8" ht="12.75" customHeight="1">
      <c r="A123" s="239" t="s">
        <v>80</v>
      </c>
      <c r="B123" s="78"/>
      <c r="C123" s="194" t="s">
        <v>292</v>
      </c>
      <c r="D123" s="194" t="s">
        <v>19</v>
      </c>
      <c r="E123" s="6">
        <f aca="true" t="shared" si="11" ref="E123:E130">F123+G123+H123</f>
        <v>702.9017116350001</v>
      </c>
      <c r="F123" s="6">
        <f>F124+F125+F126</f>
        <v>287.052</v>
      </c>
      <c r="G123" s="6">
        <f>SUM(G124:G125)</f>
        <v>202.359957</v>
      </c>
      <c r="H123" s="6">
        <f>SUM(H124:H125)</f>
        <v>213.489754635</v>
      </c>
    </row>
    <row r="124" spans="1:8" ht="25.5">
      <c r="A124" s="223"/>
      <c r="B124" s="78" t="s">
        <v>30</v>
      </c>
      <c r="C124" s="194"/>
      <c r="D124" s="194"/>
      <c r="E124" s="8">
        <f t="shared" si="11"/>
        <v>51.50462254</v>
      </c>
      <c r="F124" s="8">
        <v>15.988</v>
      </c>
      <c r="G124" s="8">
        <f>F124*1.081</f>
        <v>17.283027999999998</v>
      </c>
      <c r="H124" s="8">
        <f>G124*1.055</f>
        <v>18.23359454</v>
      </c>
    </row>
    <row r="125" spans="1:8" ht="12.75">
      <c r="A125" s="223"/>
      <c r="B125" s="78" t="s">
        <v>31</v>
      </c>
      <c r="C125" s="194"/>
      <c r="D125" s="194"/>
      <c r="E125" s="8">
        <f t="shared" si="11"/>
        <v>551.5420890949999</v>
      </c>
      <c r="F125" s="8">
        <v>171.209</v>
      </c>
      <c r="G125" s="8">
        <f>F125*1.081</f>
        <v>185.076929</v>
      </c>
      <c r="H125" s="8">
        <f>G125*1.055</f>
        <v>195.25616009499998</v>
      </c>
    </row>
    <row r="126" spans="1:8" ht="25.5">
      <c r="A126" s="224"/>
      <c r="B126" s="78" t="s">
        <v>368</v>
      </c>
      <c r="C126" s="5"/>
      <c r="D126" s="5"/>
      <c r="E126" s="8">
        <f t="shared" si="11"/>
        <v>321.678389025</v>
      </c>
      <c r="F126" s="8">
        <v>99.855</v>
      </c>
      <c r="G126" s="8">
        <f>F126*1.081</f>
        <v>107.943255</v>
      </c>
      <c r="H126" s="8">
        <f>G126*1.055</f>
        <v>113.88013402499999</v>
      </c>
    </row>
    <row r="127" spans="1:8" ht="39.75" customHeight="1">
      <c r="A127" s="216" t="s">
        <v>79</v>
      </c>
      <c r="B127" s="78"/>
      <c r="C127" s="194" t="s">
        <v>292</v>
      </c>
      <c r="D127" s="194" t="s">
        <v>19</v>
      </c>
      <c r="E127" s="6">
        <f t="shared" si="11"/>
        <v>293.439114495</v>
      </c>
      <c r="F127" s="6">
        <f>SUM(F128)</f>
        <v>91.089</v>
      </c>
      <c r="G127" s="6">
        <f>SUM(G128)</f>
        <v>98.467209</v>
      </c>
      <c r="H127" s="6">
        <f>SUM(H128)</f>
        <v>103.88290549499999</v>
      </c>
    </row>
    <row r="128" spans="1:8" ht="12.75">
      <c r="A128" s="216"/>
      <c r="B128" s="78" t="s">
        <v>32</v>
      </c>
      <c r="C128" s="194"/>
      <c r="D128" s="194"/>
      <c r="E128" s="8">
        <f t="shared" si="11"/>
        <v>293.439114495</v>
      </c>
      <c r="F128" s="8">
        <v>91.089</v>
      </c>
      <c r="G128" s="8">
        <f>F128*1.081</f>
        <v>98.467209</v>
      </c>
      <c r="H128" s="8">
        <f>G128*1.055</f>
        <v>103.88290549499999</v>
      </c>
    </row>
    <row r="129" spans="1:8" ht="51" customHeight="1">
      <c r="A129" s="216" t="s">
        <v>190</v>
      </c>
      <c r="B129" s="78"/>
      <c r="C129" s="194" t="s">
        <v>292</v>
      </c>
      <c r="D129" s="194" t="s">
        <v>19</v>
      </c>
      <c r="E129" s="6">
        <f t="shared" si="11"/>
        <v>112.72193190499999</v>
      </c>
      <c r="F129" s="6">
        <f>SUM(F130)</f>
        <v>34.991</v>
      </c>
      <c r="G129" s="6">
        <f>SUM(G130)</f>
        <v>37.825271</v>
      </c>
      <c r="H129" s="6">
        <f>SUM(H130)</f>
        <v>39.905660905</v>
      </c>
    </row>
    <row r="130" spans="1:8" ht="38.25">
      <c r="A130" s="216"/>
      <c r="B130" s="78" t="s">
        <v>191</v>
      </c>
      <c r="C130" s="194"/>
      <c r="D130" s="194"/>
      <c r="E130" s="8">
        <f t="shared" si="11"/>
        <v>112.72193190499999</v>
      </c>
      <c r="F130" s="8">
        <v>34.991</v>
      </c>
      <c r="G130" s="8">
        <f>F130*1.081</f>
        <v>37.825271</v>
      </c>
      <c r="H130" s="8">
        <f>G130*1.055</f>
        <v>39.905660905</v>
      </c>
    </row>
    <row r="131" spans="1:8" ht="12.75">
      <c r="A131" s="239" t="s">
        <v>244</v>
      </c>
      <c r="B131" s="225" t="s">
        <v>243</v>
      </c>
      <c r="C131" s="229" t="s">
        <v>292</v>
      </c>
      <c r="D131" s="229" t="s">
        <v>19</v>
      </c>
      <c r="E131" s="6">
        <f>E132</f>
        <v>257.687</v>
      </c>
      <c r="F131" s="6">
        <f>F132</f>
        <v>79.991</v>
      </c>
      <c r="G131" s="6">
        <f>G132</f>
        <v>86.47</v>
      </c>
      <c r="H131" s="6">
        <f>H132</f>
        <v>91.226</v>
      </c>
    </row>
    <row r="132" spans="1:8" ht="27.75" customHeight="1">
      <c r="A132" s="221"/>
      <c r="B132" s="226"/>
      <c r="C132" s="230"/>
      <c r="D132" s="221"/>
      <c r="E132" s="8">
        <f>F132+G132+H132</f>
        <v>257.687</v>
      </c>
      <c r="F132" s="8">
        <v>79.991</v>
      </c>
      <c r="G132" s="8">
        <v>86.47</v>
      </c>
      <c r="H132" s="8">
        <v>91.226</v>
      </c>
    </row>
    <row r="133" spans="1:9" ht="15" customHeight="1">
      <c r="A133" s="231" t="s">
        <v>235</v>
      </c>
      <c r="B133" s="115"/>
      <c r="C133" s="198" t="s">
        <v>292</v>
      </c>
      <c r="D133" s="5"/>
      <c r="E133" s="6">
        <f aca="true" t="shared" si="12" ref="E133:E143">F133+G133+H133</f>
        <v>19044.402000000002</v>
      </c>
      <c r="F133" s="6">
        <f>F134+F135</f>
        <v>5911.739</v>
      </c>
      <c r="G133" s="6">
        <f>G134+G135</f>
        <v>6390.59</v>
      </c>
      <c r="H133" s="6">
        <f>H134+H135</f>
        <v>6742.073</v>
      </c>
      <c r="I133" s="1"/>
    </row>
    <row r="134" spans="1:9" ht="18" customHeight="1">
      <c r="A134" s="232"/>
      <c r="B134" s="19" t="s">
        <v>236</v>
      </c>
      <c r="C134" s="199"/>
      <c r="D134" s="201" t="s">
        <v>19</v>
      </c>
      <c r="E134" s="8">
        <f t="shared" si="12"/>
        <v>9187.798999999999</v>
      </c>
      <c r="F134" s="8">
        <f>2355.766+496.299</f>
        <v>2852.065</v>
      </c>
      <c r="G134" s="8">
        <f aca="true" t="shared" si="13" ref="G134:G142">ROUND((F134*1.081),3)</f>
        <v>3083.082</v>
      </c>
      <c r="H134" s="8">
        <f aca="true" t="shared" si="14" ref="H134:H143">ROUND((G134*1.055),3)</f>
        <v>3252.652</v>
      </c>
      <c r="I134" s="1"/>
    </row>
    <row r="135" spans="1:9" ht="42.75" customHeight="1">
      <c r="A135" s="233"/>
      <c r="B135" s="19" t="s">
        <v>258</v>
      </c>
      <c r="C135" s="200"/>
      <c r="D135" s="203"/>
      <c r="E135" s="8">
        <f t="shared" si="12"/>
        <v>9856.603</v>
      </c>
      <c r="F135" s="8">
        <f>917.902+2141.772</f>
        <v>3059.674</v>
      </c>
      <c r="G135" s="8">
        <f t="shared" si="13"/>
        <v>3307.508</v>
      </c>
      <c r="H135" s="8">
        <f t="shared" si="14"/>
        <v>3489.421</v>
      </c>
      <c r="I135" s="1"/>
    </row>
    <row r="136" spans="1:9" ht="13.5" customHeight="1">
      <c r="A136" s="231" t="s">
        <v>255</v>
      </c>
      <c r="B136" s="116"/>
      <c r="C136" s="214" t="s">
        <v>292</v>
      </c>
      <c r="D136" s="117"/>
      <c r="E136" s="6">
        <f>F136+G136+H136</f>
        <v>5480.74</v>
      </c>
      <c r="F136" s="81">
        <f>F137+F138</f>
        <v>1701.324</v>
      </c>
      <c r="G136" s="81">
        <f>G137+G138</f>
        <v>1839.132</v>
      </c>
      <c r="H136" s="81">
        <f>H137+H138</f>
        <v>1940.284</v>
      </c>
      <c r="I136" s="1"/>
    </row>
    <row r="137" spans="1:9" ht="27.75" customHeight="1">
      <c r="A137" s="222"/>
      <c r="B137" s="78" t="s">
        <v>42</v>
      </c>
      <c r="C137" s="215"/>
      <c r="D137" s="201" t="s">
        <v>19</v>
      </c>
      <c r="E137" s="8">
        <f t="shared" si="12"/>
        <v>1970.603</v>
      </c>
      <c r="F137" s="8">
        <f>4061.524-3449.812</f>
        <v>611.712</v>
      </c>
      <c r="G137" s="8">
        <f t="shared" si="13"/>
        <v>661.261</v>
      </c>
      <c r="H137" s="8">
        <f t="shared" si="14"/>
        <v>697.63</v>
      </c>
      <c r="I137" s="24"/>
    </row>
    <row r="138" spans="1:9" ht="39" customHeight="1">
      <c r="A138" s="222"/>
      <c r="B138" s="78" t="s">
        <v>379</v>
      </c>
      <c r="C138" s="215"/>
      <c r="D138" s="202"/>
      <c r="E138" s="8">
        <f t="shared" si="12"/>
        <v>3510.137</v>
      </c>
      <c r="F138" s="8">
        <v>1089.612</v>
      </c>
      <c r="G138" s="8">
        <f t="shared" si="13"/>
        <v>1177.871</v>
      </c>
      <c r="H138" s="8">
        <f t="shared" si="14"/>
        <v>1242.654</v>
      </c>
      <c r="I138" s="1"/>
    </row>
    <row r="139" spans="1:9" ht="12.75" customHeight="1">
      <c r="A139" s="231" t="s">
        <v>254</v>
      </c>
      <c r="B139" s="78"/>
      <c r="C139" s="195" t="s">
        <v>292</v>
      </c>
      <c r="D139" s="118"/>
      <c r="E139" s="119">
        <f>F139+G139+H139</f>
        <v>5143.285</v>
      </c>
      <c r="F139" s="119">
        <f>F140+F142+F143</f>
        <v>1596.572</v>
      </c>
      <c r="G139" s="119">
        <f>G140+G142+G143</f>
        <v>1725.894</v>
      </c>
      <c r="H139" s="119">
        <f>H140+H142+H143</f>
        <v>1820.819</v>
      </c>
      <c r="I139" s="1"/>
    </row>
    <row r="140" spans="1:9" ht="18" customHeight="1">
      <c r="A140" s="222"/>
      <c r="B140" s="78" t="s">
        <v>42</v>
      </c>
      <c r="C140" s="196"/>
      <c r="D140" s="201" t="s">
        <v>19</v>
      </c>
      <c r="E140" s="8">
        <f t="shared" si="12"/>
        <v>344.30899999999997</v>
      </c>
      <c r="F140" s="120">
        <v>106.88</v>
      </c>
      <c r="G140" s="8">
        <f t="shared" si="13"/>
        <v>115.537</v>
      </c>
      <c r="H140" s="8">
        <f t="shared" si="14"/>
        <v>121.892</v>
      </c>
      <c r="I140" s="1"/>
    </row>
    <row r="141" spans="1:9" ht="18" customHeight="1" hidden="1">
      <c r="A141" s="222"/>
      <c r="B141" s="78" t="s">
        <v>374</v>
      </c>
      <c r="C141" s="196"/>
      <c r="D141" s="202"/>
      <c r="E141" s="8">
        <f t="shared" si="12"/>
        <v>0</v>
      </c>
      <c r="F141" s="120"/>
      <c r="G141" s="8"/>
      <c r="H141" s="8"/>
      <c r="I141" s="1"/>
    </row>
    <row r="142" spans="1:9" ht="29.25" customHeight="1">
      <c r="A142" s="222"/>
      <c r="B142" s="78" t="s">
        <v>379</v>
      </c>
      <c r="C142" s="196"/>
      <c r="D142" s="202"/>
      <c r="E142" s="8">
        <f t="shared" si="12"/>
        <v>613.3009999999999</v>
      </c>
      <c r="F142" s="120">
        <v>190.38</v>
      </c>
      <c r="G142" s="8">
        <f t="shared" si="13"/>
        <v>205.801</v>
      </c>
      <c r="H142" s="8">
        <f t="shared" si="14"/>
        <v>217.12</v>
      </c>
      <c r="I142" s="1"/>
    </row>
    <row r="143" spans="1:9" ht="27.75" customHeight="1">
      <c r="A143" s="233"/>
      <c r="B143" s="78" t="s">
        <v>239</v>
      </c>
      <c r="C143" s="197"/>
      <c r="D143" s="203"/>
      <c r="E143" s="8">
        <f t="shared" si="12"/>
        <v>4185.675</v>
      </c>
      <c r="F143" s="120">
        <v>1299.312</v>
      </c>
      <c r="G143" s="8">
        <v>1404.556</v>
      </c>
      <c r="H143" s="8">
        <f t="shared" si="14"/>
        <v>1481.807</v>
      </c>
      <c r="I143" s="1"/>
    </row>
    <row r="144" spans="1:9" ht="18" customHeight="1">
      <c r="A144" s="217" t="s">
        <v>240</v>
      </c>
      <c r="B144" s="114"/>
      <c r="C144" s="229" t="s">
        <v>292</v>
      </c>
      <c r="D144" s="5"/>
      <c r="E144" s="6">
        <f>E145</f>
        <v>199.976</v>
      </c>
      <c r="F144" s="6">
        <f>F145</f>
        <v>199.976</v>
      </c>
      <c r="G144" s="6">
        <f>G145</f>
        <v>0</v>
      </c>
      <c r="H144" s="6">
        <f>H145</f>
        <v>0</v>
      </c>
      <c r="I144" s="1"/>
    </row>
    <row r="145" spans="1:9" ht="41.25" customHeight="1">
      <c r="A145" s="218"/>
      <c r="B145" s="7" t="s">
        <v>263</v>
      </c>
      <c r="C145" s="230"/>
      <c r="D145" s="5" t="s">
        <v>19</v>
      </c>
      <c r="E145" s="8">
        <f aca="true" t="shared" si="15" ref="E145:E150">F145+G145+H145</f>
        <v>199.976</v>
      </c>
      <c r="F145" s="8">
        <v>199.976</v>
      </c>
      <c r="G145" s="8">
        <v>0</v>
      </c>
      <c r="H145" s="8">
        <v>0</v>
      </c>
      <c r="I145" s="1"/>
    </row>
    <row r="146" spans="1:8" ht="28.5" customHeight="1">
      <c r="A146" s="234" t="s">
        <v>78</v>
      </c>
      <c r="B146" s="78"/>
      <c r="C146" s="229" t="s">
        <v>292</v>
      </c>
      <c r="D146" s="229" t="s">
        <v>19</v>
      </c>
      <c r="E146" s="6">
        <f>F146+G146+H146</f>
        <v>4175.056160505</v>
      </c>
      <c r="F146" s="6">
        <f>F147</f>
        <v>3477.717</v>
      </c>
      <c r="G146" s="6">
        <f>G147</f>
        <v>339.337791</v>
      </c>
      <c r="H146" s="6">
        <f>H147</f>
        <v>358.00136950499996</v>
      </c>
    </row>
    <row r="147" spans="1:9" s="21" customFormat="1" ht="38.25">
      <c r="A147" s="235"/>
      <c r="B147" s="7" t="s">
        <v>264</v>
      </c>
      <c r="C147" s="238"/>
      <c r="D147" s="238"/>
      <c r="E147" s="8">
        <f>F147+G147+H147</f>
        <v>4175.056160505</v>
      </c>
      <c r="F147" s="8">
        <f>F148+F149+F150</f>
        <v>3477.717</v>
      </c>
      <c r="G147" s="8">
        <f>G148+G149+G150</f>
        <v>339.337791</v>
      </c>
      <c r="H147" s="8">
        <f>H148+H149+H150</f>
        <v>358.00136950499996</v>
      </c>
      <c r="I147" s="108"/>
    </row>
    <row r="148" spans="1:9" s="21" customFormat="1" ht="12.75">
      <c r="A148" s="235"/>
      <c r="B148" s="110" t="s">
        <v>265</v>
      </c>
      <c r="C148" s="238"/>
      <c r="D148" s="238"/>
      <c r="E148" s="90">
        <f t="shared" si="15"/>
        <v>620.67773485</v>
      </c>
      <c r="F148" s="90">
        <f>98.8+93.87</f>
        <v>192.67000000000002</v>
      </c>
      <c r="G148" s="90">
        <f>F148*1.081</f>
        <v>208.27627</v>
      </c>
      <c r="H148" s="90">
        <f>G148*1.055</f>
        <v>219.73146485</v>
      </c>
      <c r="I148" s="108"/>
    </row>
    <row r="149" spans="1:10" ht="12.75">
      <c r="A149" s="235"/>
      <c r="B149" s="110" t="s">
        <v>266</v>
      </c>
      <c r="C149" s="238"/>
      <c r="D149" s="238"/>
      <c r="E149" s="90">
        <f t="shared" si="15"/>
        <v>390.5724256549999</v>
      </c>
      <c r="F149" s="90">
        <f>101.091+20.15</f>
        <v>121.24099999999999</v>
      </c>
      <c r="G149" s="90">
        <f>F149*1.081</f>
        <v>131.06152099999997</v>
      </c>
      <c r="H149" s="90">
        <f>G149*1.055</f>
        <v>138.26990465499995</v>
      </c>
      <c r="J149" s="1">
        <v>100203</v>
      </c>
    </row>
    <row r="150" spans="1:8" ht="38.25">
      <c r="A150" s="236"/>
      <c r="B150" s="110" t="s">
        <v>312</v>
      </c>
      <c r="C150" s="230"/>
      <c r="D150" s="230"/>
      <c r="E150" s="8">
        <f t="shared" si="15"/>
        <v>3163.806</v>
      </c>
      <c r="F150" s="8">
        <f>1584.491+1579.315</f>
        <v>3163.806</v>
      </c>
      <c r="G150" s="8"/>
      <c r="H150" s="8"/>
    </row>
    <row r="151" spans="1:8" ht="27.75" customHeight="1">
      <c r="A151" s="219" t="s">
        <v>341</v>
      </c>
      <c r="B151" s="7"/>
      <c r="C151" s="7"/>
      <c r="D151" s="91"/>
      <c r="E151" s="81">
        <f>SUM(F151:H151)</f>
        <v>228.401</v>
      </c>
      <c r="F151" s="81">
        <f>F152</f>
        <v>70.9</v>
      </c>
      <c r="G151" s="81">
        <f>G152</f>
        <v>76.643</v>
      </c>
      <c r="H151" s="81">
        <f>H152</f>
        <v>80.858</v>
      </c>
    </row>
    <row r="152" spans="1:8" ht="40.5" customHeight="1">
      <c r="A152" s="220"/>
      <c r="B152" s="78" t="s">
        <v>342</v>
      </c>
      <c r="C152" s="5" t="s">
        <v>343</v>
      </c>
      <c r="D152" s="91" t="s">
        <v>19</v>
      </c>
      <c r="E152" s="8">
        <v>228.401</v>
      </c>
      <c r="F152" s="8">
        <v>70.9</v>
      </c>
      <c r="G152" s="8">
        <v>76.643</v>
      </c>
      <c r="H152" s="8">
        <v>80.858</v>
      </c>
    </row>
    <row r="153" spans="1:8" ht="12.75">
      <c r="A153" s="216" t="s">
        <v>63</v>
      </c>
      <c r="B153" s="78"/>
      <c r="C153" s="194" t="s">
        <v>286</v>
      </c>
      <c r="D153" s="194" t="s">
        <v>19</v>
      </c>
      <c r="E153" s="6">
        <f aca="true" t="shared" si="16" ref="E153:E172">F153+G153+H153</f>
        <v>1478.5544228049998</v>
      </c>
      <c r="F153" s="6">
        <f>SUM(F154:F155)</f>
        <v>458.971</v>
      </c>
      <c r="G153" s="6">
        <f>SUM(G154:G155)</f>
        <v>496.147651</v>
      </c>
      <c r="H153" s="6">
        <f>SUM(H154:H155)</f>
        <v>523.435771805</v>
      </c>
    </row>
    <row r="154" spans="1:11" ht="12.75" customHeight="1">
      <c r="A154" s="216"/>
      <c r="B154" s="78" t="s">
        <v>33</v>
      </c>
      <c r="C154" s="194"/>
      <c r="D154" s="194"/>
      <c r="E154" s="8">
        <f>F154+G154+H154</f>
        <v>267.39365082</v>
      </c>
      <c r="F154" s="8">
        <v>83.004</v>
      </c>
      <c r="G154" s="8">
        <f>F154*1.081</f>
        <v>89.727324</v>
      </c>
      <c r="H154" s="8">
        <f>G154*1.055</f>
        <v>94.66232681999999</v>
      </c>
      <c r="I154" s="52">
        <f>F153+F156+F169+F174+F176+F184+F186+F189+F191+F193</f>
        <v>13461.835000000001</v>
      </c>
      <c r="J154" s="24">
        <v>197.127</v>
      </c>
      <c r="K154" s="1" t="s">
        <v>281</v>
      </c>
    </row>
    <row r="155" spans="1:8" ht="28.5" customHeight="1">
      <c r="A155" s="216"/>
      <c r="B155" s="78" t="s">
        <v>142</v>
      </c>
      <c r="C155" s="194"/>
      <c r="D155" s="194"/>
      <c r="E155" s="8">
        <f t="shared" si="16"/>
        <v>1211.1607719849999</v>
      </c>
      <c r="F155" s="8">
        <f>134.267+241.7</f>
        <v>375.967</v>
      </c>
      <c r="G155" s="8">
        <f>F155*1.081</f>
        <v>406.420327</v>
      </c>
      <c r="H155" s="8">
        <f>G155*1.055</f>
        <v>428.77344498499997</v>
      </c>
    </row>
    <row r="156" spans="1:9" s="21" customFormat="1" ht="12.75">
      <c r="A156" s="234" t="s">
        <v>73</v>
      </c>
      <c r="B156" s="78"/>
      <c r="C156" s="229" t="s">
        <v>286</v>
      </c>
      <c r="D156" s="229" t="s">
        <v>19</v>
      </c>
      <c r="E156" s="6">
        <f t="shared" si="16"/>
        <v>2490.8903066</v>
      </c>
      <c r="F156" s="6">
        <f>SUM(F157:F168)</f>
        <v>776.371</v>
      </c>
      <c r="G156" s="6">
        <f>SUM(G157:G168)</f>
        <v>835.54312</v>
      </c>
      <c r="H156" s="6">
        <f>SUM(H157:H168)</f>
        <v>878.9761865999999</v>
      </c>
      <c r="I156" s="122"/>
    </row>
    <row r="157" spans="1:9" s="21" customFormat="1" ht="31.5" customHeight="1">
      <c r="A157" s="235"/>
      <c r="B157" s="78" t="s">
        <v>25</v>
      </c>
      <c r="C157" s="238"/>
      <c r="D157" s="238"/>
      <c r="E157" s="8">
        <f>F157+G157+H157</f>
        <v>638.0671489399999</v>
      </c>
      <c r="F157" s="8">
        <f>85.419+112.649</f>
        <v>198.06799999999998</v>
      </c>
      <c r="G157" s="8">
        <f>F157*1.081</f>
        <v>214.111508</v>
      </c>
      <c r="H157" s="8">
        <f>G157*1.055</f>
        <v>225.88764093999998</v>
      </c>
      <c r="I157" s="108"/>
    </row>
    <row r="158" spans="1:9" s="21" customFormat="1" ht="16.5" customHeight="1">
      <c r="A158" s="235"/>
      <c r="B158" s="78" t="s">
        <v>143</v>
      </c>
      <c r="C158" s="238"/>
      <c r="D158" s="238"/>
      <c r="E158" s="8">
        <f t="shared" si="16"/>
        <v>232.64381573499998</v>
      </c>
      <c r="F158" s="8">
        <v>72.217</v>
      </c>
      <c r="G158" s="8">
        <f aca="true" t="shared" si="17" ref="G158:G168">F158*1.081</f>
        <v>78.066577</v>
      </c>
      <c r="H158" s="8">
        <f aca="true" t="shared" si="18" ref="H158:H175">G158*1.055</f>
        <v>82.360238735</v>
      </c>
      <c r="I158" s="108"/>
    </row>
    <row r="159" spans="1:9" s="21" customFormat="1" ht="38.25">
      <c r="A159" s="235"/>
      <c r="B159" s="78" t="s">
        <v>41</v>
      </c>
      <c r="C159" s="238"/>
      <c r="D159" s="238"/>
      <c r="E159" s="8">
        <f t="shared" si="16"/>
        <v>139.5534306</v>
      </c>
      <c r="F159" s="8">
        <v>43.32</v>
      </c>
      <c r="G159" s="8">
        <f t="shared" si="17"/>
        <v>46.82892</v>
      </c>
      <c r="H159" s="8">
        <f t="shared" si="18"/>
        <v>49.404510599999995</v>
      </c>
      <c r="I159" s="108"/>
    </row>
    <row r="160" spans="1:9" s="21" customFormat="1" ht="38.25">
      <c r="A160" s="235"/>
      <c r="B160" s="78" t="s">
        <v>313</v>
      </c>
      <c r="C160" s="238"/>
      <c r="D160" s="238"/>
      <c r="E160" s="8">
        <f t="shared" si="16"/>
        <v>137.553</v>
      </c>
      <c r="F160" s="8">
        <v>45.851</v>
      </c>
      <c r="G160" s="8">
        <v>45.851</v>
      </c>
      <c r="H160" s="8">
        <v>45.851</v>
      </c>
      <c r="I160" s="108"/>
    </row>
    <row r="161" spans="1:9" s="21" customFormat="1" ht="12.75">
      <c r="A161" s="235"/>
      <c r="B161" s="78" t="s">
        <v>127</v>
      </c>
      <c r="C161" s="238"/>
      <c r="D161" s="238"/>
      <c r="E161" s="8">
        <f>F161+G161+H161</f>
        <v>211.39509855499998</v>
      </c>
      <c r="F161" s="8">
        <f>65.621</f>
        <v>65.621</v>
      </c>
      <c r="G161" s="8">
        <f t="shared" si="17"/>
        <v>70.93630099999999</v>
      </c>
      <c r="H161" s="8">
        <f t="shared" si="18"/>
        <v>74.83779755499998</v>
      </c>
      <c r="I161" s="108"/>
    </row>
    <row r="162" spans="1:9" s="21" customFormat="1" ht="25.5">
      <c r="A162" s="235"/>
      <c r="B162" s="78" t="s">
        <v>144</v>
      </c>
      <c r="C162" s="238"/>
      <c r="D162" s="238"/>
      <c r="E162" s="8">
        <f t="shared" si="16"/>
        <v>201.20563639</v>
      </c>
      <c r="F162" s="8">
        <f>10.912+51.546</f>
        <v>62.458</v>
      </c>
      <c r="G162" s="8">
        <f t="shared" si="17"/>
        <v>67.51709799999999</v>
      </c>
      <c r="H162" s="8">
        <f t="shared" si="18"/>
        <v>71.23053838999998</v>
      </c>
      <c r="I162" s="108"/>
    </row>
    <row r="163" spans="1:9" s="21" customFormat="1" ht="25.5">
      <c r="A163" s="235"/>
      <c r="B163" s="78" t="s">
        <v>183</v>
      </c>
      <c r="C163" s="238"/>
      <c r="D163" s="238"/>
      <c r="E163" s="8">
        <f t="shared" si="16"/>
        <v>190.86476583999996</v>
      </c>
      <c r="F163" s="8">
        <v>59.248</v>
      </c>
      <c r="G163" s="8">
        <f t="shared" si="17"/>
        <v>64.04708799999999</v>
      </c>
      <c r="H163" s="8">
        <f t="shared" si="18"/>
        <v>67.56967783999998</v>
      </c>
      <c r="I163" s="108"/>
    </row>
    <row r="164" spans="1:9" s="21" customFormat="1" ht="25.5">
      <c r="A164" s="235"/>
      <c r="B164" s="78" t="s">
        <v>139</v>
      </c>
      <c r="C164" s="238"/>
      <c r="D164" s="238"/>
      <c r="E164" s="8">
        <f t="shared" si="16"/>
        <v>170.65980008</v>
      </c>
      <c r="F164" s="8">
        <v>52.976</v>
      </c>
      <c r="G164" s="8">
        <f t="shared" si="17"/>
        <v>57.267056</v>
      </c>
      <c r="H164" s="8">
        <f t="shared" si="18"/>
        <v>60.416744079999994</v>
      </c>
      <c r="I164" s="108"/>
    </row>
    <row r="165" spans="1:9" s="21" customFormat="1" ht="12.75">
      <c r="A165" s="235"/>
      <c r="B165" s="78" t="s">
        <v>184</v>
      </c>
      <c r="C165" s="238"/>
      <c r="D165" s="238"/>
      <c r="E165" s="8">
        <f t="shared" si="16"/>
        <v>89.55644899999999</v>
      </c>
      <c r="F165" s="8">
        <f>6.4+21.4</f>
        <v>27.799999999999997</v>
      </c>
      <c r="G165" s="8">
        <f t="shared" si="17"/>
        <v>30.051799999999997</v>
      </c>
      <c r="H165" s="8">
        <f t="shared" si="18"/>
        <v>31.704648999999993</v>
      </c>
      <c r="I165" s="108"/>
    </row>
    <row r="166" spans="1:9" s="21" customFormat="1" ht="25.5">
      <c r="A166" s="235"/>
      <c r="B166" s="78" t="s">
        <v>187</v>
      </c>
      <c r="C166" s="238"/>
      <c r="D166" s="238"/>
      <c r="E166" s="8">
        <f t="shared" si="16"/>
        <v>125.775267565</v>
      </c>
      <c r="F166" s="8">
        <v>39.043</v>
      </c>
      <c r="G166" s="8">
        <f t="shared" si="17"/>
        <v>42.205483</v>
      </c>
      <c r="H166" s="8">
        <f t="shared" si="18"/>
        <v>44.526784565</v>
      </c>
      <c r="I166" s="108"/>
    </row>
    <row r="167" spans="1:9" s="21" customFormat="1" ht="38.25">
      <c r="A167" s="235"/>
      <c r="B167" s="78" t="s">
        <v>369</v>
      </c>
      <c r="C167" s="238"/>
      <c r="D167" s="238"/>
      <c r="E167" s="8">
        <f t="shared" si="16"/>
        <v>290.60101264</v>
      </c>
      <c r="F167" s="8">
        <v>90.208</v>
      </c>
      <c r="G167" s="8">
        <f t="shared" si="17"/>
        <v>97.514848</v>
      </c>
      <c r="H167" s="8">
        <f t="shared" si="18"/>
        <v>102.87816464</v>
      </c>
      <c r="I167" s="108"/>
    </row>
    <row r="168" spans="1:9" s="21" customFormat="1" ht="25.5">
      <c r="A168" s="235"/>
      <c r="B168" s="78" t="s">
        <v>146</v>
      </c>
      <c r="C168" s="238"/>
      <c r="D168" s="238"/>
      <c r="E168" s="8">
        <f t="shared" si="16"/>
        <v>63.01488125499999</v>
      </c>
      <c r="F168" s="8">
        <v>19.561</v>
      </c>
      <c r="G168" s="8">
        <f t="shared" si="17"/>
        <v>21.145440999999998</v>
      </c>
      <c r="H168" s="8">
        <f t="shared" si="18"/>
        <v>22.308440254999997</v>
      </c>
      <c r="I168" s="108"/>
    </row>
    <row r="169" spans="1:9" s="21" customFormat="1" ht="12.75">
      <c r="A169" s="239" t="s">
        <v>80</v>
      </c>
      <c r="B169" s="7"/>
      <c r="C169" s="194" t="s">
        <v>286</v>
      </c>
      <c r="D169" s="194" t="s">
        <v>19</v>
      </c>
      <c r="E169" s="6">
        <f t="shared" si="16"/>
        <v>636.970160645</v>
      </c>
      <c r="F169" s="6">
        <f>SUM(F170:F173)</f>
        <v>244.61899999999997</v>
      </c>
      <c r="G169" s="6">
        <f>SUM(G170:G172)</f>
        <v>190.925139</v>
      </c>
      <c r="H169" s="6">
        <f>SUM(H170:H172)</f>
        <v>201.42602164499996</v>
      </c>
      <c r="I169" s="108"/>
    </row>
    <row r="170" spans="1:8" ht="25.5">
      <c r="A170" s="223"/>
      <c r="B170" s="78" t="s">
        <v>30</v>
      </c>
      <c r="C170" s="194"/>
      <c r="D170" s="194"/>
      <c r="E170" s="8">
        <f t="shared" si="16"/>
        <v>41.20240944999999</v>
      </c>
      <c r="F170" s="8">
        <v>12.79</v>
      </c>
      <c r="G170" s="8">
        <f>F170*1.081</f>
        <v>13.82599</v>
      </c>
      <c r="H170" s="8">
        <f t="shared" si="18"/>
        <v>14.586419449999998</v>
      </c>
    </row>
    <row r="171" spans="1:8" ht="12.75">
      <c r="A171" s="223"/>
      <c r="B171" s="78" t="s">
        <v>104</v>
      </c>
      <c r="C171" s="194"/>
      <c r="D171" s="194"/>
      <c r="E171" s="8">
        <f t="shared" si="16"/>
        <v>227.20599969499997</v>
      </c>
      <c r="F171" s="8">
        <v>70.529</v>
      </c>
      <c r="G171" s="8">
        <f>F171*1.081</f>
        <v>76.24184899999999</v>
      </c>
      <c r="H171" s="8">
        <f t="shared" si="18"/>
        <v>80.43515069499998</v>
      </c>
    </row>
    <row r="172" spans="1:8" ht="25.5">
      <c r="A172" s="223"/>
      <c r="B172" s="78" t="s">
        <v>105</v>
      </c>
      <c r="C172" s="194"/>
      <c r="D172" s="194"/>
      <c r="E172" s="8">
        <f t="shared" si="16"/>
        <v>300.5617515</v>
      </c>
      <c r="F172" s="8">
        <v>93.3</v>
      </c>
      <c r="G172" s="8">
        <f>F172*1.081</f>
        <v>100.8573</v>
      </c>
      <c r="H172" s="8">
        <f t="shared" si="18"/>
        <v>106.4044515</v>
      </c>
    </row>
    <row r="173" spans="1:8" ht="25.5">
      <c r="A173" s="224"/>
      <c r="B173" s="78" t="s">
        <v>368</v>
      </c>
      <c r="C173" s="86"/>
      <c r="D173" s="86"/>
      <c r="E173" s="8">
        <f>F173+G173+H173</f>
        <v>204</v>
      </c>
      <c r="F173" s="8">
        <v>68</v>
      </c>
      <c r="G173" s="8">
        <v>68</v>
      </c>
      <c r="H173" s="8">
        <v>68</v>
      </c>
    </row>
    <row r="174" spans="1:8" ht="12.75">
      <c r="A174" s="239" t="s">
        <v>147</v>
      </c>
      <c r="B174" s="78"/>
      <c r="C174" s="229" t="s">
        <v>286</v>
      </c>
      <c r="D174" s="229" t="s">
        <v>19</v>
      </c>
      <c r="E174" s="81">
        <f>F174+G174+H174</f>
        <v>105.09674792000001</v>
      </c>
      <c r="F174" s="81">
        <f>SUM(F175:F175)</f>
        <v>32.624</v>
      </c>
      <c r="G174" s="81">
        <f>SUM(G175:G175)</f>
        <v>35.266544</v>
      </c>
      <c r="H174" s="81">
        <f>SUM(H175:H175)</f>
        <v>37.20620392</v>
      </c>
    </row>
    <row r="175" spans="1:9" s="21" customFormat="1" ht="25.5">
      <c r="A175" s="206"/>
      <c r="B175" s="123" t="s">
        <v>148</v>
      </c>
      <c r="C175" s="230"/>
      <c r="D175" s="230"/>
      <c r="E175" s="8">
        <f>F175</f>
        <v>32.624</v>
      </c>
      <c r="F175" s="8">
        <f>99.875-45.851-21.4</f>
        <v>32.624</v>
      </c>
      <c r="G175" s="8">
        <f>F175*1.081</f>
        <v>35.266544</v>
      </c>
      <c r="H175" s="8">
        <f t="shared" si="18"/>
        <v>37.20620392</v>
      </c>
      <c r="I175" s="108"/>
    </row>
    <row r="176" spans="1:9" s="21" customFormat="1" ht="12.75" customHeight="1">
      <c r="A176" s="234" t="s">
        <v>78</v>
      </c>
      <c r="B176" s="78"/>
      <c r="C176" s="5"/>
      <c r="D176" s="5"/>
      <c r="E176" s="6">
        <f>F176+G176+H176</f>
        <v>6259.387292455</v>
      </c>
      <c r="F176" s="6">
        <f>F177+F180+F179</f>
        <v>4224.088</v>
      </c>
      <c r="G176" s="6">
        <f>G177+G180</f>
        <v>990.4132809999999</v>
      </c>
      <c r="H176" s="6">
        <f>H177+H180</f>
        <v>1044.8860114549998</v>
      </c>
      <c r="I176" s="108"/>
    </row>
    <row r="177" spans="1:8" ht="26.25" customHeight="1">
      <c r="A177" s="235"/>
      <c r="B177" s="78" t="s">
        <v>185</v>
      </c>
      <c r="C177" s="229" t="s">
        <v>286</v>
      </c>
      <c r="D177" s="229" t="s">
        <v>19</v>
      </c>
      <c r="E177" s="8">
        <f aca="true" t="shared" si="19" ref="E177:E183">F177+G177+H177</f>
        <v>165.582787</v>
      </c>
      <c r="F177" s="8">
        <v>51.4</v>
      </c>
      <c r="G177" s="8">
        <f>F177*1.081</f>
        <v>55.563399999999994</v>
      </c>
      <c r="H177" s="8">
        <f>G177*1.055</f>
        <v>58.61938699999999</v>
      </c>
    </row>
    <row r="178" spans="1:8" ht="30" customHeight="1">
      <c r="A178" s="235"/>
      <c r="B178" s="110" t="s">
        <v>186</v>
      </c>
      <c r="C178" s="238"/>
      <c r="D178" s="238"/>
      <c r="E178" s="90">
        <f t="shared" si="19"/>
        <v>165.582787</v>
      </c>
      <c r="F178" s="90">
        <v>51.4</v>
      </c>
      <c r="G178" s="90">
        <f>F178*1.081</f>
        <v>55.563399999999994</v>
      </c>
      <c r="H178" s="90">
        <f>G178*1.055</f>
        <v>58.61938699999999</v>
      </c>
    </row>
    <row r="179" spans="1:8" ht="30" customHeight="1" hidden="1">
      <c r="A179" s="235"/>
      <c r="B179" s="78" t="s">
        <v>370</v>
      </c>
      <c r="C179" s="238"/>
      <c r="D179" s="238"/>
      <c r="E179" s="8">
        <f t="shared" si="19"/>
        <v>0</v>
      </c>
      <c r="F179" s="8"/>
      <c r="G179" s="90"/>
      <c r="H179" s="90"/>
    </row>
    <row r="180" spans="1:9" s="21" customFormat="1" ht="30.75" customHeight="1">
      <c r="A180" s="235"/>
      <c r="B180" s="7" t="s">
        <v>264</v>
      </c>
      <c r="C180" s="238"/>
      <c r="D180" s="238"/>
      <c r="E180" s="8">
        <f>F180+G180+H180</f>
        <v>6093.804505455</v>
      </c>
      <c r="F180" s="8">
        <f>F181+F183</f>
        <v>4172.688</v>
      </c>
      <c r="G180" s="8">
        <f>G181+G183</f>
        <v>934.8498809999999</v>
      </c>
      <c r="H180" s="8">
        <f>H181+H183</f>
        <v>986.2666244549998</v>
      </c>
      <c r="I180" s="108"/>
    </row>
    <row r="181" spans="1:9" s="21" customFormat="1" ht="13.5" customHeight="1">
      <c r="A181" s="235"/>
      <c r="B181" s="110" t="s">
        <v>359</v>
      </c>
      <c r="C181" s="238"/>
      <c r="D181" s="238"/>
      <c r="E181" s="8">
        <f>F181+G181+H181</f>
        <v>2785.9175054549996</v>
      </c>
      <c r="F181" s="8">
        <f>145.727+719.074</f>
        <v>864.8009999999999</v>
      </c>
      <c r="G181" s="8">
        <f>F181*1.081</f>
        <v>934.8498809999999</v>
      </c>
      <c r="H181" s="8">
        <f>G181*1.055</f>
        <v>986.2666244549998</v>
      </c>
      <c r="I181" s="108"/>
    </row>
    <row r="182" spans="1:8" ht="25.5">
      <c r="A182" s="235"/>
      <c r="B182" s="78" t="s">
        <v>159</v>
      </c>
      <c r="C182" s="238"/>
      <c r="D182" s="238"/>
      <c r="E182" s="90">
        <f t="shared" si="19"/>
        <v>469.452972785</v>
      </c>
      <c r="F182" s="90">
        <v>145.727</v>
      </c>
      <c r="G182" s="90">
        <f>F182*1.081</f>
        <v>157.530887</v>
      </c>
      <c r="H182" s="90">
        <f>G182*1.055</f>
        <v>166.195085785</v>
      </c>
    </row>
    <row r="183" spans="1:8" ht="38.25">
      <c r="A183" s="236"/>
      <c r="B183" s="110" t="s">
        <v>312</v>
      </c>
      <c r="C183" s="230"/>
      <c r="D183" s="230"/>
      <c r="E183" s="90">
        <f t="shared" si="19"/>
        <v>3307.8869999999997</v>
      </c>
      <c r="F183" s="8">
        <f>1628.23+1679.657</f>
        <v>3307.8869999999997</v>
      </c>
      <c r="G183" s="90"/>
      <c r="H183" s="90"/>
    </row>
    <row r="184" spans="1:8" ht="12.75">
      <c r="A184" s="239" t="s">
        <v>204</v>
      </c>
      <c r="B184" s="78"/>
      <c r="C184" s="229" t="s">
        <v>286</v>
      </c>
      <c r="D184" s="229" t="s">
        <v>19</v>
      </c>
      <c r="E184" s="81">
        <f>F184</f>
        <v>8.039</v>
      </c>
      <c r="F184" s="81">
        <f>SUM(F185:F185)</f>
        <v>8.039</v>
      </c>
      <c r="G184" s="81">
        <f>SUM(G185:G185)</f>
        <v>0</v>
      </c>
      <c r="H184" s="81">
        <f>SUM(H185:H185)</f>
        <v>0</v>
      </c>
    </row>
    <row r="185" spans="1:9" s="21" customFormat="1" ht="25.5">
      <c r="A185" s="206"/>
      <c r="B185" s="123" t="s">
        <v>205</v>
      </c>
      <c r="C185" s="230"/>
      <c r="D185" s="230"/>
      <c r="E185" s="8">
        <f>F185</f>
        <v>8.039</v>
      </c>
      <c r="F185" s="8">
        <v>8.039</v>
      </c>
      <c r="G185" s="8"/>
      <c r="H185" s="8">
        <f aca="true" t="shared" si="20" ref="H185:H192">G185*1.055</f>
        <v>0</v>
      </c>
      <c r="I185" s="108"/>
    </row>
    <row r="186" spans="1:9" s="21" customFormat="1" ht="15">
      <c r="A186" s="237" t="s">
        <v>206</v>
      </c>
      <c r="B186" s="124"/>
      <c r="C186" s="194" t="s">
        <v>287</v>
      </c>
      <c r="D186" s="194" t="s">
        <v>19</v>
      </c>
      <c r="E186" s="6">
        <f>F186+G186+H186</f>
        <v>10026.327683799998</v>
      </c>
      <c r="F186" s="6">
        <f>F187+F188</f>
        <v>3112.3599999999997</v>
      </c>
      <c r="G186" s="6">
        <f>G187+G188</f>
        <v>3364.46116</v>
      </c>
      <c r="H186" s="6">
        <f>H187+H188</f>
        <v>3549.5065237999997</v>
      </c>
      <c r="I186" s="108"/>
    </row>
    <row r="187" spans="1:8" s="13" customFormat="1" ht="38.25">
      <c r="A187" s="237"/>
      <c r="B187" s="78" t="s">
        <v>126</v>
      </c>
      <c r="C187" s="194"/>
      <c r="D187" s="194"/>
      <c r="E187" s="8">
        <f aca="true" t="shared" si="21" ref="E187:E192">F187</f>
        <v>1507.24</v>
      </c>
      <c r="F187" s="8">
        <v>1507.24</v>
      </c>
      <c r="G187" s="8">
        <f aca="true" t="shared" si="22" ref="G187:G192">F187*1.081</f>
        <v>1629.32644</v>
      </c>
      <c r="H187" s="8">
        <f t="shared" si="20"/>
        <v>1718.9393942</v>
      </c>
    </row>
    <row r="188" spans="1:9" s="13" customFormat="1" ht="18.75">
      <c r="A188" s="237"/>
      <c r="B188" s="125" t="s">
        <v>31</v>
      </c>
      <c r="C188" s="194"/>
      <c r="D188" s="194"/>
      <c r="E188" s="8">
        <f t="shared" si="21"/>
        <v>1605.12</v>
      </c>
      <c r="F188" s="8">
        <v>1605.12</v>
      </c>
      <c r="G188" s="8">
        <f t="shared" si="22"/>
        <v>1735.1347199999998</v>
      </c>
      <c r="H188" s="8">
        <f t="shared" si="20"/>
        <v>1830.5671295999996</v>
      </c>
      <c r="I188" s="126"/>
    </row>
    <row r="189" spans="1:8" s="13" customFormat="1" ht="18.75">
      <c r="A189" s="237" t="s">
        <v>207</v>
      </c>
      <c r="B189" s="125"/>
      <c r="C189" s="194" t="s">
        <v>286</v>
      </c>
      <c r="D189" s="194" t="s">
        <v>19</v>
      </c>
      <c r="E189" s="6">
        <f>G189+H189</f>
        <v>1970.89709055</v>
      </c>
      <c r="F189" s="6">
        <f>F190</f>
        <v>887.21</v>
      </c>
      <c r="G189" s="6">
        <f>G190</f>
        <v>959.07401</v>
      </c>
      <c r="H189" s="6">
        <f>H190</f>
        <v>1011.82308055</v>
      </c>
    </row>
    <row r="190" spans="1:8" s="13" customFormat="1" ht="18.75" customHeight="1">
      <c r="A190" s="237"/>
      <c r="B190" s="125" t="s">
        <v>208</v>
      </c>
      <c r="C190" s="194"/>
      <c r="D190" s="194"/>
      <c r="E190" s="8">
        <f t="shared" si="21"/>
        <v>887.21</v>
      </c>
      <c r="F190" s="8">
        <f>175.904+711.306</f>
        <v>887.21</v>
      </c>
      <c r="G190" s="8">
        <f t="shared" si="22"/>
        <v>959.07401</v>
      </c>
      <c r="H190" s="8">
        <f t="shared" si="20"/>
        <v>1011.82308055</v>
      </c>
    </row>
    <row r="191" spans="1:8" s="13" customFormat="1" ht="50.25" customHeight="1">
      <c r="A191" s="237" t="s">
        <v>213</v>
      </c>
      <c r="B191" s="125"/>
      <c r="C191" s="194" t="s">
        <v>286</v>
      </c>
      <c r="D191" s="194" t="s">
        <v>19</v>
      </c>
      <c r="E191" s="6">
        <f>F191+G191+H191</f>
        <v>11174.8408204</v>
      </c>
      <c r="F191" s="6">
        <f>F192</f>
        <v>3468.88</v>
      </c>
      <c r="G191" s="6">
        <f>G192</f>
        <v>3749.85928</v>
      </c>
      <c r="H191" s="6">
        <f>H192</f>
        <v>3956.1015404</v>
      </c>
    </row>
    <row r="192" spans="1:8" s="13" customFormat="1" ht="31.5" customHeight="1">
      <c r="A192" s="237"/>
      <c r="B192" s="125" t="s">
        <v>212</v>
      </c>
      <c r="C192" s="194"/>
      <c r="D192" s="194"/>
      <c r="E192" s="8">
        <f t="shared" si="21"/>
        <v>3468.88</v>
      </c>
      <c r="F192" s="8">
        <f>691.627+1662.601+920.687+193.965</f>
        <v>3468.88</v>
      </c>
      <c r="G192" s="8">
        <f t="shared" si="22"/>
        <v>3749.85928</v>
      </c>
      <c r="H192" s="8">
        <f t="shared" si="20"/>
        <v>3956.1015404</v>
      </c>
    </row>
    <row r="193" spans="1:8" s="13" customFormat="1" ht="48" customHeight="1">
      <c r="A193" s="234" t="s">
        <v>354</v>
      </c>
      <c r="B193" s="125"/>
      <c r="C193" s="195" t="s">
        <v>286</v>
      </c>
      <c r="D193" s="195" t="s">
        <v>19</v>
      </c>
      <c r="E193" s="6">
        <f>SUM(F193:H193)</f>
        <v>248.673</v>
      </c>
      <c r="F193" s="6">
        <f>F194</f>
        <v>248.673</v>
      </c>
      <c r="G193" s="6"/>
      <c r="H193" s="6"/>
    </row>
    <row r="194" spans="1:8" s="13" customFormat="1" ht="16.5" customHeight="1">
      <c r="A194" s="236"/>
      <c r="B194" s="127" t="s">
        <v>346</v>
      </c>
      <c r="C194" s="197"/>
      <c r="D194" s="197"/>
      <c r="E194" s="8">
        <v>100.2</v>
      </c>
      <c r="F194" s="8">
        <f>100.2+148.473</f>
        <v>248.673</v>
      </c>
      <c r="G194" s="8"/>
      <c r="H194" s="8"/>
    </row>
    <row r="195" spans="1:8" s="13" customFormat="1" ht="52.5" customHeight="1">
      <c r="A195" s="234" t="s">
        <v>180</v>
      </c>
      <c r="B195" s="78"/>
      <c r="C195" s="229" t="s">
        <v>289</v>
      </c>
      <c r="D195" s="229" t="s">
        <v>19</v>
      </c>
      <c r="E195" s="6">
        <f>F195+G195+H195</f>
        <v>642.61709</v>
      </c>
      <c r="F195" s="6">
        <f>SUM(F196:F196)</f>
        <v>199.481</v>
      </c>
      <c r="G195" s="6">
        <f>SUM(G196:G196)</f>
        <v>215.638</v>
      </c>
      <c r="H195" s="6">
        <f>SUM(H196:H196)</f>
        <v>227.49809</v>
      </c>
    </row>
    <row r="196" spans="1:10" ht="12.75" customHeight="1">
      <c r="A196" s="235"/>
      <c r="B196" s="78" t="s">
        <v>196</v>
      </c>
      <c r="C196" s="238"/>
      <c r="D196" s="238"/>
      <c r="E196" s="8">
        <f>F196+G196+H196</f>
        <v>642.61709</v>
      </c>
      <c r="F196" s="8">
        <v>199.481</v>
      </c>
      <c r="G196" s="8">
        <v>215.638</v>
      </c>
      <c r="H196" s="8">
        <f>G196*1.055</f>
        <v>227.49809</v>
      </c>
      <c r="I196" s="52">
        <f>F195+F197+F199+F201+F217+F223+F225+F229+F233+F236+F244+F241</f>
        <v>13010.255000000001</v>
      </c>
      <c r="J196" s="24"/>
    </row>
    <row r="197" spans="1:9" ht="38.25" customHeight="1">
      <c r="A197" s="239" t="s">
        <v>64</v>
      </c>
      <c r="B197" s="78"/>
      <c r="C197" s="229" t="s">
        <v>289</v>
      </c>
      <c r="D197" s="229" t="s">
        <v>19</v>
      </c>
      <c r="E197" s="6">
        <f>F197+G197+H197</f>
        <v>24.26399906</v>
      </c>
      <c r="F197" s="6">
        <f>SUM(F198)</f>
        <v>7.532</v>
      </c>
      <c r="G197" s="6">
        <f>SUM(G198)</f>
        <v>8.142092</v>
      </c>
      <c r="H197" s="6">
        <f>SUM(H198)</f>
        <v>8.58990706</v>
      </c>
      <c r="I197" s="52"/>
    </row>
    <row r="198" spans="1:8" ht="12.75" customHeight="1">
      <c r="A198" s="206"/>
      <c r="B198" s="78" t="s">
        <v>99</v>
      </c>
      <c r="C198" s="230"/>
      <c r="D198" s="230"/>
      <c r="E198" s="8">
        <f>F198+G198+H198</f>
        <v>24.26399906</v>
      </c>
      <c r="F198" s="8">
        <v>7.532</v>
      </c>
      <c r="G198" s="8">
        <f>F198*1.081</f>
        <v>8.142092</v>
      </c>
      <c r="H198" s="8">
        <f aca="true" t="shared" si="23" ref="H198:H224">G198*1.055</f>
        <v>8.58990706</v>
      </c>
    </row>
    <row r="199" spans="1:8" ht="25.5" customHeight="1">
      <c r="A199" s="234" t="s">
        <v>107</v>
      </c>
      <c r="B199" s="78"/>
      <c r="C199" s="194" t="s">
        <v>289</v>
      </c>
      <c r="D199" s="194" t="s">
        <v>19</v>
      </c>
      <c r="E199" s="6">
        <v>553.64</v>
      </c>
      <c r="F199" s="6">
        <f>SUM(F200)</f>
        <v>171.86</v>
      </c>
      <c r="G199" s="6">
        <f>SUM(G200)</f>
        <v>185.78066</v>
      </c>
      <c r="H199" s="6">
        <f>SUM(H200)</f>
        <v>195.9985963</v>
      </c>
    </row>
    <row r="200" spans="1:8" ht="12.75" customHeight="1">
      <c r="A200" s="236"/>
      <c r="B200" s="78" t="s">
        <v>109</v>
      </c>
      <c r="C200" s="194"/>
      <c r="D200" s="194"/>
      <c r="E200" s="8">
        <v>553.64</v>
      </c>
      <c r="F200" s="8">
        <v>171.86</v>
      </c>
      <c r="G200" s="8">
        <f>F200*1.081</f>
        <v>185.78066</v>
      </c>
      <c r="H200" s="8">
        <f t="shared" si="23"/>
        <v>195.9985963</v>
      </c>
    </row>
    <row r="201" spans="1:8" ht="25.5" customHeight="1">
      <c r="A201" s="216" t="s">
        <v>73</v>
      </c>
      <c r="B201" s="78"/>
      <c r="C201" s="194" t="s">
        <v>289</v>
      </c>
      <c r="D201" s="194" t="s">
        <v>19</v>
      </c>
      <c r="E201" s="6">
        <f>F201+G201+H201</f>
        <v>2761.009215395</v>
      </c>
      <c r="F201" s="6">
        <f>SUM(F202:F216)</f>
        <v>857.0690000000001</v>
      </c>
      <c r="G201" s="6">
        <f>SUM(G202:G216)</f>
        <v>926.4915889999999</v>
      </c>
      <c r="H201" s="6">
        <f>SUM(H202:H216)</f>
        <v>977.4486263949999</v>
      </c>
    </row>
    <row r="202" spans="1:8" ht="25.5">
      <c r="A202" s="216"/>
      <c r="B202" s="78" t="s">
        <v>173</v>
      </c>
      <c r="C202" s="194"/>
      <c r="D202" s="194"/>
      <c r="E202" s="8">
        <f>F202+G202+H202</f>
        <v>149.22423851000002</v>
      </c>
      <c r="F202" s="8">
        <v>46.322</v>
      </c>
      <c r="G202" s="8">
        <f>F202*1.081</f>
        <v>50.074082000000004</v>
      </c>
      <c r="H202" s="8">
        <f t="shared" si="23"/>
        <v>52.82815651</v>
      </c>
    </row>
    <row r="203" spans="1:8" ht="25.5">
      <c r="A203" s="216"/>
      <c r="B203" s="78" t="s">
        <v>174</v>
      </c>
      <c r="C203" s="194"/>
      <c r="D203" s="194"/>
      <c r="E203" s="8">
        <f aca="true" t="shared" si="24" ref="E203:E224">F203+G203+H203</f>
        <v>186.89593327999998</v>
      </c>
      <c r="F203" s="8">
        <v>58.016</v>
      </c>
      <c r="G203" s="8">
        <f aca="true" t="shared" si="25" ref="G203:G216">F203*1.081</f>
        <v>62.715295999999995</v>
      </c>
      <c r="H203" s="8">
        <f t="shared" si="23"/>
        <v>66.16463728</v>
      </c>
    </row>
    <row r="204" spans="1:8" ht="38.25">
      <c r="A204" s="216"/>
      <c r="B204" s="78" t="s">
        <v>138</v>
      </c>
      <c r="C204" s="194"/>
      <c r="D204" s="194"/>
      <c r="E204" s="8">
        <f t="shared" si="24"/>
        <v>270.19309521499997</v>
      </c>
      <c r="F204" s="8">
        <f>48.358-4.482+39.997</f>
        <v>83.87299999999999</v>
      </c>
      <c r="G204" s="8">
        <f t="shared" si="25"/>
        <v>90.66671299999999</v>
      </c>
      <c r="H204" s="8">
        <f t="shared" si="23"/>
        <v>95.65338221499998</v>
      </c>
    </row>
    <row r="205" spans="1:8" ht="25.5">
      <c r="A205" s="216"/>
      <c r="B205" s="78" t="s">
        <v>166</v>
      </c>
      <c r="C205" s="194"/>
      <c r="D205" s="194"/>
      <c r="E205" s="8">
        <f t="shared" si="24"/>
        <v>63.99098212</v>
      </c>
      <c r="F205" s="8">
        <v>19.864</v>
      </c>
      <c r="G205" s="8">
        <f t="shared" si="25"/>
        <v>21.472984</v>
      </c>
      <c r="H205" s="8">
        <f t="shared" si="23"/>
        <v>22.65399812</v>
      </c>
    </row>
    <row r="206" spans="1:8" ht="25.5">
      <c r="A206" s="216"/>
      <c r="B206" s="78" t="s">
        <v>136</v>
      </c>
      <c r="C206" s="194"/>
      <c r="D206" s="194"/>
      <c r="E206" s="8">
        <f t="shared" si="24"/>
        <v>228.69109045000005</v>
      </c>
      <c r="F206" s="8">
        <f>50.99+20</f>
        <v>70.99000000000001</v>
      </c>
      <c r="G206" s="8">
        <f t="shared" si="25"/>
        <v>76.74019000000001</v>
      </c>
      <c r="H206" s="8">
        <f t="shared" si="23"/>
        <v>80.96090045000001</v>
      </c>
    </row>
    <row r="207" spans="1:8" ht="38.25">
      <c r="A207" s="216"/>
      <c r="B207" s="78" t="s">
        <v>175</v>
      </c>
      <c r="C207" s="194"/>
      <c r="D207" s="194"/>
      <c r="E207" s="8">
        <f t="shared" si="24"/>
        <v>341.522551825</v>
      </c>
      <c r="F207" s="8">
        <f>14.726+7+59.908+24.381</f>
        <v>106.015</v>
      </c>
      <c r="G207" s="8">
        <f t="shared" si="25"/>
        <v>114.602215</v>
      </c>
      <c r="H207" s="8">
        <f t="shared" si="23"/>
        <v>120.90533682499999</v>
      </c>
    </row>
    <row r="208" spans="1:8" ht="25.5">
      <c r="A208" s="216"/>
      <c r="B208" s="78" t="s">
        <v>98</v>
      </c>
      <c r="C208" s="194"/>
      <c r="D208" s="194"/>
      <c r="E208" s="8">
        <f t="shared" si="24"/>
        <v>15.153724319999998</v>
      </c>
      <c r="F208" s="8">
        <v>4.704</v>
      </c>
      <c r="G208" s="8">
        <f t="shared" si="25"/>
        <v>5.085024</v>
      </c>
      <c r="H208" s="8">
        <f t="shared" si="23"/>
        <v>5.36470032</v>
      </c>
    </row>
    <row r="209" spans="1:8" ht="25.5">
      <c r="A209" s="216"/>
      <c r="B209" s="78" t="s">
        <v>108</v>
      </c>
      <c r="C209" s="194"/>
      <c r="D209" s="194"/>
      <c r="E209" s="8">
        <f t="shared" si="24"/>
        <v>24.160912500000002</v>
      </c>
      <c r="F209" s="8">
        <v>7.5</v>
      </c>
      <c r="G209" s="8">
        <f t="shared" si="25"/>
        <v>8.1075</v>
      </c>
      <c r="H209" s="8">
        <f t="shared" si="23"/>
        <v>8.5534125</v>
      </c>
    </row>
    <row r="210" spans="1:8" ht="38.25">
      <c r="A210" s="216"/>
      <c r="B210" s="78" t="s">
        <v>176</v>
      </c>
      <c r="C210" s="194"/>
      <c r="D210" s="194"/>
      <c r="E210" s="8">
        <f t="shared" si="24"/>
        <v>147.06586366</v>
      </c>
      <c r="F210" s="8">
        <v>45.652</v>
      </c>
      <c r="G210" s="8">
        <f t="shared" si="25"/>
        <v>49.349812</v>
      </c>
      <c r="H210" s="8">
        <f t="shared" si="23"/>
        <v>52.06405166</v>
      </c>
    </row>
    <row r="211" spans="1:8" ht="25.5">
      <c r="A211" s="216"/>
      <c r="B211" s="78" t="s">
        <v>177</v>
      </c>
      <c r="C211" s="194"/>
      <c r="D211" s="194"/>
      <c r="E211" s="8">
        <f t="shared" si="24"/>
        <v>91.81146749999999</v>
      </c>
      <c r="F211" s="8">
        <v>28.5</v>
      </c>
      <c r="G211" s="8">
        <f t="shared" si="25"/>
        <v>30.8085</v>
      </c>
      <c r="H211" s="8">
        <f t="shared" si="23"/>
        <v>32.5029675</v>
      </c>
    </row>
    <row r="212" spans="1:8" ht="12.75">
      <c r="A212" s="216"/>
      <c r="B212" s="78" t="s">
        <v>133</v>
      </c>
      <c r="C212" s="194"/>
      <c r="D212" s="194"/>
      <c r="E212" s="8">
        <f t="shared" si="24"/>
        <v>305.010580855</v>
      </c>
      <c r="F212" s="8">
        <v>94.681</v>
      </c>
      <c r="G212" s="8">
        <f t="shared" si="25"/>
        <v>102.350161</v>
      </c>
      <c r="H212" s="8">
        <f t="shared" si="23"/>
        <v>107.97941985499999</v>
      </c>
    </row>
    <row r="213" spans="1:8" ht="25.5">
      <c r="A213" s="216"/>
      <c r="B213" s="78" t="s">
        <v>137</v>
      </c>
      <c r="C213" s="194"/>
      <c r="D213" s="194"/>
      <c r="E213" s="8">
        <f t="shared" si="24"/>
        <v>31.715224475</v>
      </c>
      <c r="F213" s="8">
        <v>9.845</v>
      </c>
      <c r="G213" s="8">
        <f t="shared" si="25"/>
        <v>10.642445</v>
      </c>
      <c r="H213" s="8">
        <f t="shared" si="23"/>
        <v>11.227779475</v>
      </c>
    </row>
    <row r="214" spans="1:8" ht="25.5">
      <c r="A214" s="216"/>
      <c r="B214" s="78" t="s">
        <v>178</v>
      </c>
      <c r="C214" s="194"/>
      <c r="D214" s="194"/>
      <c r="E214" s="8">
        <f t="shared" si="24"/>
        <v>19.1354427</v>
      </c>
      <c r="F214" s="8">
        <v>5.94</v>
      </c>
      <c r="G214" s="8">
        <f t="shared" si="25"/>
        <v>6.42114</v>
      </c>
      <c r="H214" s="8">
        <f t="shared" si="23"/>
        <v>6.7743027</v>
      </c>
    </row>
    <row r="215" spans="1:8" ht="12.75">
      <c r="A215" s="216"/>
      <c r="B215" s="78" t="s">
        <v>214</v>
      </c>
      <c r="C215" s="194"/>
      <c r="D215" s="194"/>
      <c r="E215" s="8">
        <f t="shared" si="24"/>
        <v>644.1492559799999</v>
      </c>
      <c r="F215" s="8">
        <v>199.956</v>
      </c>
      <c r="G215" s="8">
        <f t="shared" si="25"/>
        <v>216.15243599999997</v>
      </c>
      <c r="H215" s="8">
        <f t="shared" si="23"/>
        <v>228.04081997999995</v>
      </c>
    </row>
    <row r="216" spans="1:8" ht="25.5">
      <c r="A216" s="216"/>
      <c r="B216" s="78" t="s">
        <v>139</v>
      </c>
      <c r="C216" s="194"/>
      <c r="D216" s="194"/>
      <c r="E216" s="8">
        <f t="shared" si="24"/>
        <v>242.288852005</v>
      </c>
      <c r="F216" s="8">
        <f>24.908+50.303</f>
        <v>75.211</v>
      </c>
      <c r="G216" s="8">
        <f t="shared" si="25"/>
        <v>81.303091</v>
      </c>
      <c r="H216" s="8">
        <f t="shared" si="23"/>
        <v>85.77476100499999</v>
      </c>
    </row>
    <row r="217" spans="1:8" ht="12.75">
      <c r="A217" s="216" t="s">
        <v>80</v>
      </c>
      <c r="B217" s="78"/>
      <c r="C217" s="194" t="s">
        <v>289</v>
      </c>
      <c r="D217" s="194" t="s">
        <v>19</v>
      </c>
      <c r="E217" s="6">
        <f t="shared" si="24"/>
        <v>1110.1194298</v>
      </c>
      <c r="F217" s="6">
        <f>SUM(F218:F222)</f>
        <v>413.56</v>
      </c>
      <c r="G217" s="6">
        <f>SUM(G218:G222)</f>
        <v>338.95835999999997</v>
      </c>
      <c r="H217" s="6">
        <f>SUM(H218:H222)</f>
        <v>357.60106979999995</v>
      </c>
    </row>
    <row r="218" spans="1:8" ht="25.5">
      <c r="A218" s="216"/>
      <c r="B218" s="78" t="s">
        <v>30</v>
      </c>
      <c r="C218" s="194"/>
      <c r="D218" s="194"/>
      <c r="E218" s="8">
        <f t="shared" si="24"/>
        <v>21.458111754999997</v>
      </c>
      <c r="F218" s="8">
        <v>6.661</v>
      </c>
      <c r="G218" s="8">
        <f>F218*1.081</f>
        <v>7.200540999999999</v>
      </c>
      <c r="H218" s="8">
        <f t="shared" si="23"/>
        <v>7.596570754999999</v>
      </c>
    </row>
    <row r="219" spans="1:8" ht="29.25" customHeight="1">
      <c r="A219" s="216"/>
      <c r="B219" s="78" t="s">
        <v>179</v>
      </c>
      <c r="C219" s="194"/>
      <c r="D219" s="194"/>
      <c r="E219" s="8">
        <f t="shared" si="24"/>
        <v>268.18612874999997</v>
      </c>
      <c r="F219" s="8">
        <v>83.25</v>
      </c>
      <c r="G219" s="8">
        <f>F219*1.081</f>
        <v>89.99325</v>
      </c>
      <c r="H219" s="8">
        <f t="shared" si="23"/>
        <v>94.94287874999999</v>
      </c>
    </row>
    <row r="220" spans="1:8" ht="12.75">
      <c r="A220" s="216"/>
      <c r="B220" s="78" t="s">
        <v>104</v>
      </c>
      <c r="C220" s="194"/>
      <c r="D220" s="194"/>
      <c r="E220" s="8">
        <f t="shared" si="24"/>
        <v>402.2953004</v>
      </c>
      <c r="F220" s="8">
        <v>124.88</v>
      </c>
      <c r="G220" s="8">
        <f>F220*1.081</f>
        <v>134.99527999999998</v>
      </c>
      <c r="H220" s="8">
        <f t="shared" si="23"/>
        <v>142.42002039999997</v>
      </c>
    </row>
    <row r="221" spans="1:8" ht="25.5">
      <c r="A221" s="216"/>
      <c r="B221" s="78" t="s">
        <v>368</v>
      </c>
      <c r="C221" s="194"/>
      <c r="D221" s="194"/>
      <c r="E221" s="8">
        <f t="shared" si="24"/>
        <v>100</v>
      </c>
      <c r="F221" s="8">
        <v>100</v>
      </c>
      <c r="G221" s="8"/>
      <c r="H221" s="8"/>
    </row>
    <row r="222" spans="1:8" ht="12.75">
      <c r="A222" s="216"/>
      <c r="B222" s="78" t="s">
        <v>135</v>
      </c>
      <c r="C222" s="194"/>
      <c r="D222" s="194"/>
      <c r="E222" s="8">
        <f t="shared" si="24"/>
        <v>318.17988889500003</v>
      </c>
      <c r="F222" s="8">
        <f>98.76+0.009</f>
        <v>98.769</v>
      </c>
      <c r="G222" s="8">
        <f>F222*1.081</f>
        <v>106.769289</v>
      </c>
      <c r="H222" s="8">
        <f t="shared" si="23"/>
        <v>112.641599895</v>
      </c>
    </row>
    <row r="223" spans="1:8" ht="12.75">
      <c r="A223" s="239" t="s">
        <v>140</v>
      </c>
      <c r="B223" s="78"/>
      <c r="C223" s="229" t="s">
        <v>289</v>
      </c>
      <c r="D223" s="229" t="s">
        <v>19</v>
      </c>
      <c r="E223" s="6">
        <f t="shared" si="24"/>
        <v>6.4429099999999995</v>
      </c>
      <c r="F223" s="6">
        <f>SUM(F224)</f>
        <v>2</v>
      </c>
      <c r="G223" s="6">
        <f>SUM(G224)</f>
        <v>2.162</v>
      </c>
      <c r="H223" s="6">
        <f>SUM(H224)</f>
        <v>2.28091</v>
      </c>
    </row>
    <row r="224" spans="1:8" ht="25.5" customHeight="1">
      <c r="A224" s="206"/>
      <c r="B224" s="78" t="s">
        <v>141</v>
      </c>
      <c r="C224" s="230"/>
      <c r="D224" s="230"/>
      <c r="E224" s="8">
        <f t="shared" si="24"/>
        <v>6.4429099999999995</v>
      </c>
      <c r="F224" s="8">
        <v>2</v>
      </c>
      <c r="G224" s="8">
        <f>F224*1.081</f>
        <v>2.162</v>
      </c>
      <c r="H224" s="8">
        <f t="shared" si="23"/>
        <v>2.28091</v>
      </c>
    </row>
    <row r="225" spans="1:8" ht="27" customHeight="1">
      <c r="A225" s="216" t="s">
        <v>249</v>
      </c>
      <c r="B225" s="78"/>
      <c r="C225" s="194" t="s">
        <v>289</v>
      </c>
      <c r="D225" s="194" t="s">
        <v>19</v>
      </c>
      <c r="E225" s="6">
        <f>F225+G225+H225</f>
        <v>1903.1581028</v>
      </c>
      <c r="F225" s="6">
        <f>F226+F227+F228</f>
        <v>566.6959999999999</v>
      </c>
      <c r="G225" s="6">
        <f>G226+G227+G228</f>
        <v>650.3469600000001</v>
      </c>
      <c r="H225" s="6">
        <f>H226+H227+H228</f>
        <v>686.1151428</v>
      </c>
    </row>
    <row r="226" spans="1:8" ht="12.75">
      <c r="A226" s="216"/>
      <c r="B226" s="78" t="s">
        <v>135</v>
      </c>
      <c r="C226" s="194"/>
      <c r="D226" s="194"/>
      <c r="E226" s="8">
        <f>F226+G226+H226</f>
        <v>1470.098</v>
      </c>
      <c r="F226" s="8">
        <f>467.186-34.92</f>
        <v>432.26599999999996</v>
      </c>
      <c r="G226" s="8">
        <v>505.028</v>
      </c>
      <c r="H226" s="8">
        <v>532.804</v>
      </c>
    </row>
    <row r="227" spans="1:8" ht="12.75">
      <c r="A227" s="216"/>
      <c r="B227" s="78" t="s">
        <v>282</v>
      </c>
      <c r="C227" s="194"/>
      <c r="D227" s="194"/>
      <c r="E227" s="8">
        <f aca="true" t="shared" si="26" ref="E227:E245">F227+G227+H227</f>
        <v>194.15699999999998</v>
      </c>
      <c r="F227" s="8">
        <v>60.27</v>
      </c>
      <c r="G227" s="8">
        <v>65.152</v>
      </c>
      <c r="H227" s="8">
        <v>68.735</v>
      </c>
    </row>
    <row r="228" spans="1:8" ht="29.25" customHeight="1">
      <c r="A228" s="216"/>
      <c r="B228" s="78" t="s">
        <v>104</v>
      </c>
      <c r="C228" s="194"/>
      <c r="D228" s="194"/>
      <c r="E228" s="8">
        <f t="shared" si="26"/>
        <v>238.90310279999997</v>
      </c>
      <c r="F228" s="8">
        <v>74.16</v>
      </c>
      <c r="G228" s="8">
        <f>F228*1.081</f>
        <v>80.16695999999999</v>
      </c>
      <c r="H228" s="8">
        <f>G228*1.055</f>
        <v>84.57614279999999</v>
      </c>
    </row>
    <row r="229" spans="1:8" ht="54" customHeight="1">
      <c r="A229" s="216" t="s">
        <v>250</v>
      </c>
      <c r="B229" s="78"/>
      <c r="C229" s="194" t="s">
        <v>289</v>
      </c>
      <c r="D229" s="194" t="s">
        <v>19</v>
      </c>
      <c r="E229" s="6">
        <f t="shared" si="26"/>
        <v>885.3180770800001</v>
      </c>
      <c r="F229" s="6">
        <f>F230+F231+F232</f>
        <v>274.82000000000005</v>
      </c>
      <c r="G229" s="6">
        <f>G230+G231+G232</f>
        <v>297.079456</v>
      </c>
      <c r="H229" s="6">
        <f>H230+H231+H232</f>
        <v>313.41862108</v>
      </c>
    </row>
    <row r="230" spans="1:8" ht="12.75">
      <c r="A230" s="216"/>
      <c r="B230" s="78" t="s">
        <v>135</v>
      </c>
      <c r="C230" s="194"/>
      <c r="D230" s="194"/>
      <c r="E230" s="8">
        <f>F230+G230+H230</f>
        <v>297.802</v>
      </c>
      <c r="F230" s="8">
        <v>92.444</v>
      </c>
      <c r="G230" s="8">
        <v>99.931</v>
      </c>
      <c r="H230" s="8">
        <v>105.427</v>
      </c>
    </row>
    <row r="231" spans="1:8" ht="12.75">
      <c r="A231" s="216"/>
      <c r="B231" s="78" t="s">
        <v>282</v>
      </c>
      <c r="C231" s="194"/>
      <c r="D231" s="194"/>
      <c r="E231" s="8">
        <f t="shared" si="26"/>
        <v>38.41907233</v>
      </c>
      <c r="F231" s="8">
        <v>11.926</v>
      </c>
      <c r="G231" s="8">
        <f>F231*1.081</f>
        <v>12.892006</v>
      </c>
      <c r="H231" s="8">
        <f>G231*1.055</f>
        <v>13.60106633</v>
      </c>
    </row>
    <row r="232" spans="1:8" ht="29.25" customHeight="1">
      <c r="A232" s="216"/>
      <c r="B232" s="78" t="s">
        <v>215</v>
      </c>
      <c r="C232" s="194"/>
      <c r="D232" s="194"/>
      <c r="E232" s="8">
        <f t="shared" si="26"/>
        <v>549.09700475</v>
      </c>
      <c r="F232" s="8">
        <f>181.073-10.623</f>
        <v>170.45000000000002</v>
      </c>
      <c r="G232" s="8">
        <f>F232*1.081</f>
        <v>184.25645</v>
      </c>
      <c r="H232" s="8">
        <f>G232*1.055</f>
        <v>194.39055474999998</v>
      </c>
    </row>
    <row r="233" spans="1:8" ht="51" customHeight="1">
      <c r="A233" s="216" t="s">
        <v>216</v>
      </c>
      <c r="B233" s="78"/>
      <c r="C233" s="194" t="s">
        <v>289</v>
      </c>
      <c r="D233" s="194" t="s">
        <v>19</v>
      </c>
      <c r="E233" s="6">
        <f t="shared" si="26"/>
        <v>7290.007699524998</v>
      </c>
      <c r="F233" s="6">
        <f>SUM(F234:F235)</f>
        <v>2262.955</v>
      </c>
      <c r="G233" s="6">
        <f>SUM(G234:G235)</f>
        <v>2446.2543549999996</v>
      </c>
      <c r="H233" s="6">
        <f>SUM(H234:H235)</f>
        <v>2580.7983445249997</v>
      </c>
    </row>
    <row r="234" spans="1:8" ht="25.5">
      <c r="A234" s="216"/>
      <c r="B234" s="78" t="s">
        <v>217</v>
      </c>
      <c r="C234" s="194"/>
      <c r="D234" s="194"/>
      <c r="E234" s="8">
        <f t="shared" si="26"/>
        <v>7260.209240775</v>
      </c>
      <c r="F234" s="8">
        <f>2284.962-31.257</f>
        <v>2253.705</v>
      </c>
      <c r="G234" s="8">
        <f>F234*1.081</f>
        <v>2436.2551049999997</v>
      </c>
      <c r="H234" s="8">
        <f>G234*1.055</f>
        <v>2570.2491357749996</v>
      </c>
    </row>
    <row r="235" spans="1:8" ht="29.25" customHeight="1">
      <c r="A235" s="216"/>
      <c r="B235" s="78" t="s">
        <v>218</v>
      </c>
      <c r="C235" s="194"/>
      <c r="D235" s="194"/>
      <c r="E235" s="8">
        <f t="shared" si="26"/>
        <v>29.79845875</v>
      </c>
      <c r="F235" s="8">
        <v>9.25</v>
      </c>
      <c r="G235" s="8">
        <f>F235*1.081</f>
        <v>9.99925</v>
      </c>
      <c r="H235" s="8">
        <f>G235*1.055</f>
        <v>10.54920875</v>
      </c>
    </row>
    <row r="236" spans="1:8" ht="30.75" customHeight="1">
      <c r="A236" s="234" t="s">
        <v>78</v>
      </c>
      <c r="B236" s="78"/>
      <c r="C236" s="229" t="s">
        <v>289</v>
      </c>
      <c r="D236" s="229" t="s">
        <v>19</v>
      </c>
      <c r="E236" s="6">
        <f aca="true" t="shared" si="27" ref="E236:E242">F236+G236+H236</f>
        <v>15664.89646879</v>
      </c>
      <c r="F236" s="6">
        <f>F237+F240</f>
        <v>7939.258</v>
      </c>
      <c r="G236" s="6">
        <f>G237+G240</f>
        <v>3759.4347780000003</v>
      </c>
      <c r="H236" s="6">
        <f>H237+H240</f>
        <v>3966.20369079</v>
      </c>
    </row>
    <row r="237" spans="1:8" ht="33.75" customHeight="1">
      <c r="A237" s="235"/>
      <c r="B237" s="7" t="s">
        <v>264</v>
      </c>
      <c r="C237" s="238"/>
      <c r="D237" s="238"/>
      <c r="E237" s="8">
        <f t="shared" si="27"/>
        <v>11203.37646879</v>
      </c>
      <c r="F237" s="8">
        <f>F238+F239</f>
        <v>3477.7380000000003</v>
      </c>
      <c r="G237" s="8">
        <f>G238+G239</f>
        <v>3759.4347780000003</v>
      </c>
      <c r="H237" s="8">
        <f>H238+H239</f>
        <v>3966.20369079</v>
      </c>
    </row>
    <row r="238" spans="1:8" ht="18.75" customHeight="1">
      <c r="A238" s="235"/>
      <c r="B238" s="43" t="s">
        <v>359</v>
      </c>
      <c r="C238" s="238"/>
      <c r="D238" s="238"/>
      <c r="E238" s="8">
        <f t="shared" si="27"/>
        <v>7841.77746879</v>
      </c>
      <c r="F238" s="8">
        <v>116.139</v>
      </c>
      <c r="G238" s="8">
        <f>F237*1.081</f>
        <v>3759.4347780000003</v>
      </c>
      <c r="H238" s="8">
        <f>G238*1.055</f>
        <v>3966.20369079</v>
      </c>
    </row>
    <row r="239" spans="1:8" ht="42" customHeight="1">
      <c r="A239" s="235"/>
      <c r="B239" s="110" t="s">
        <v>312</v>
      </c>
      <c r="C239" s="238"/>
      <c r="D239" s="238"/>
      <c r="E239" s="8">
        <f t="shared" si="27"/>
        <v>3361.599</v>
      </c>
      <c r="F239" s="8">
        <f>1555.422+1806.177</f>
        <v>3361.599</v>
      </c>
      <c r="G239" s="8"/>
      <c r="H239" s="8"/>
    </row>
    <row r="240" spans="1:8" ht="25.5">
      <c r="A240" s="236"/>
      <c r="B240" s="78" t="s">
        <v>373</v>
      </c>
      <c r="C240" s="230"/>
      <c r="D240" s="230"/>
      <c r="E240" s="8">
        <f t="shared" si="27"/>
        <v>4461.5199999999995</v>
      </c>
      <c r="F240" s="8">
        <f>948.065+745.876+899.465+922.542+945.572</f>
        <v>4461.5199999999995</v>
      </c>
      <c r="G240" s="8"/>
      <c r="H240" s="8"/>
    </row>
    <row r="241" spans="1:8" ht="12.75">
      <c r="A241" s="234" t="s">
        <v>79</v>
      </c>
      <c r="B241" s="78"/>
      <c r="C241" s="229" t="s">
        <v>289</v>
      </c>
      <c r="D241" s="88" t="s">
        <v>19</v>
      </c>
      <c r="E241" s="6">
        <f t="shared" si="27"/>
        <v>144.433</v>
      </c>
      <c r="F241" s="6">
        <f>F242</f>
        <v>144.433</v>
      </c>
      <c r="G241" s="6">
        <f>G242</f>
        <v>0</v>
      </c>
      <c r="H241" s="6">
        <f>H242</f>
        <v>0</v>
      </c>
    </row>
    <row r="242" spans="1:8" ht="25.5">
      <c r="A242" s="236"/>
      <c r="B242" s="114" t="s">
        <v>37</v>
      </c>
      <c r="C242" s="238"/>
      <c r="D242" s="88"/>
      <c r="E242" s="8">
        <f t="shared" si="27"/>
        <v>144.433</v>
      </c>
      <c r="F242" s="8">
        <v>144.433</v>
      </c>
      <c r="G242" s="8"/>
      <c r="H242" s="8"/>
    </row>
    <row r="243" spans="1:8" ht="12.75" hidden="1">
      <c r="A243" s="87"/>
      <c r="B243" s="78"/>
      <c r="C243" s="238"/>
      <c r="D243" s="88"/>
      <c r="E243" s="8"/>
      <c r="F243" s="8"/>
      <c r="G243" s="8"/>
      <c r="H243" s="8"/>
    </row>
    <row r="244" spans="1:10" ht="12.75" customHeight="1">
      <c r="A244" s="239" t="s">
        <v>327</v>
      </c>
      <c r="B244" s="78"/>
      <c r="C244" s="238"/>
      <c r="D244" s="229" t="s">
        <v>19</v>
      </c>
      <c r="E244" s="6">
        <f t="shared" si="26"/>
        <v>549.551229905</v>
      </c>
      <c r="F244" s="6">
        <f>SUM(F245)</f>
        <v>170.591</v>
      </c>
      <c r="G244" s="6">
        <f>SUM(G245)</f>
        <v>184.408871</v>
      </c>
      <c r="H244" s="6">
        <f>SUM(H245)</f>
        <v>194.551358905</v>
      </c>
      <c r="J244" s="1">
        <v>100203</v>
      </c>
    </row>
    <row r="245" spans="1:8" ht="41.25" customHeight="1">
      <c r="A245" s="206"/>
      <c r="B245" s="78" t="s">
        <v>326</v>
      </c>
      <c r="C245" s="230"/>
      <c r="D245" s="230"/>
      <c r="E245" s="8">
        <f t="shared" si="26"/>
        <v>549.551229905</v>
      </c>
      <c r="F245" s="8">
        <f>93.791+76.8</f>
        <v>170.591</v>
      </c>
      <c r="G245" s="8">
        <f>F245*1.081</f>
        <v>184.408871</v>
      </c>
      <c r="H245" s="8">
        <f>G245*1.055</f>
        <v>194.551358905</v>
      </c>
    </row>
    <row r="246" spans="1:8" ht="25.5" customHeight="1">
      <c r="A246" s="277" t="s">
        <v>63</v>
      </c>
      <c r="B246" s="128"/>
      <c r="C246" s="207" t="s">
        <v>35</v>
      </c>
      <c r="D246" s="238" t="s">
        <v>19</v>
      </c>
      <c r="E246" s="6">
        <f>SUM(F246:H246)</f>
        <v>1116.7818048499998</v>
      </c>
      <c r="F246" s="6">
        <f>SUM(F247:F250)</f>
        <v>346.66999999999996</v>
      </c>
      <c r="G246" s="6">
        <f>SUM(G247:G250)</f>
        <v>374.75027</v>
      </c>
      <c r="H246" s="6">
        <f>SUM(H247:H250)</f>
        <v>395.36153485</v>
      </c>
    </row>
    <row r="247" spans="1:10" ht="13.5" customHeight="1">
      <c r="A247" s="277"/>
      <c r="B247" s="128" t="s">
        <v>33</v>
      </c>
      <c r="C247" s="207"/>
      <c r="D247" s="238"/>
      <c r="E247" s="8">
        <f>F247+G247+H247</f>
        <v>96.64365000000001</v>
      </c>
      <c r="F247" s="8">
        <v>30</v>
      </c>
      <c r="G247" s="8">
        <f>F247*1.081</f>
        <v>32.43</v>
      </c>
      <c r="H247" s="8">
        <f>G247*1.055</f>
        <v>34.21365</v>
      </c>
      <c r="I247" s="52">
        <f>F246+F251+F256+F261+F264+F267+F272+F275+F277</f>
        <v>12528.030999999999</v>
      </c>
      <c r="J247" s="24"/>
    </row>
    <row r="248" spans="1:8" ht="27" customHeight="1">
      <c r="A248" s="277"/>
      <c r="B248" s="129" t="s">
        <v>126</v>
      </c>
      <c r="C248" s="207"/>
      <c r="D248" s="238"/>
      <c r="E248" s="8">
        <f aca="true" t="shared" si="28" ref="E248:E282">F248+G248+H248</f>
        <v>483.06362016</v>
      </c>
      <c r="F248" s="8">
        <v>149.952</v>
      </c>
      <c r="G248" s="8">
        <f>F248*1.081</f>
        <v>162.098112</v>
      </c>
      <c r="H248" s="8">
        <f>G248*1.055</f>
        <v>171.01350816</v>
      </c>
    </row>
    <row r="249" spans="1:8" ht="30" customHeight="1">
      <c r="A249" s="277"/>
      <c r="B249" s="129" t="s">
        <v>267</v>
      </c>
      <c r="C249" s="207"/>
      <c r="D249" s="238"/>
      <c r="E249" s="8">
        <f t="shared" si="28"/>
        <v>158.495586</v>
      </c>
      <c r="F249" s="8">
        <v>49.2</v>
      </c>
      <c r="G249" s="8">
        <f>F249*1.081</f>
        <v>53.1852</v>
      </c>
      <c r="H249" s="8">
        <f>G249*1.055</f>
        <v>56.110386</v>
      </c>
    </row>
    <row r="250" spans="1:8" ht="12.75">
      <c r="A250" s="277"/>
      <c r="B250" s="130" t="s">
        <v>34</v>
      </c>
      <c r="C250" s="207"/>
      <c r="D250" s="238"/>
      <c r="E250" s="8">
        <f t="shared" si="28"/>
        <v>378.57894868999995</v>
      </c>
      <c r="F250" s="8">
        <f>119.916-2.398</f>
        <v>117.518</v>
      </c>
      <c r="G250" s="8">
        <f>F250*1.081</f>
        <v>127.036958</v>
      </c>
      <c r="H250" s="8">
        <f>G250*1.055</f>
        <v>134.02399068999998</v>
      </c>
    </row>
    <row r="251" spans="1:8" ht="15" customHeight="1">
      <c r="A251" s="239" t="s">
        <v>73</v>
      </c>
      <c r="B251" s="7"/>
      <c r="C251" s="229" t="s">
        <v>35</v>
      </c>
      <c r="D251" s="229" t="s">
        <v>19</v>
      </c>
      <c r="E251" s="6">
        <f t="shared" si="28"/>
        <v>845.1777123449999</v>
      </c>
      <c r="F251" s="6">
        <f>SUM(F252:F255)</f>
        <v>262.35900000000004</v>
      </c>
      <c r="G251" s="6">
        <f>SUM(G252:G255)</f>
        <v>283.610079</v>
      </c>
      <c r="H251" s="6">
        <f>SUM(H252:H255)</f>
        <v>299.20863334499995</v>
      </c>
    </row>
    <row r="252" spans="1:8" ht="38.25">
      <c r="A252" s="223"/>
      <c r="B252" s="78" t="s">
        <v>41</v>
      </c>
      <c r="C252" s="238"/>
      <c r="D252" s="238"/>
      <c r="E252" s="8">
        <f t="shared" si="28"/>
        <v>133.62595339999996</v>
      </c>
      <c r="F252" s="8">
        <v>41.48</v>
      </c>
      <c r="G252" s="8">
        <f>F252*1.081</f>
        <v>44.839879999999994</v>
      </c>
      <c r="H252" s="8">
        <f>G252*1.055</f>
        <v>47.30607339999999</v>
      </c>
    </row>
    <row r="253" spans="1:8" ht="25.5">
      <c r="A253" s="223"/>
      <c r="B253" s="78" t="s">
        <v>383</v>
      </c>
      <c r="C253" s="238"/>
      <c r="D253" s="238"/>
      <c r="E253" s="8">
        <f t="shared" si="28"/>
        <v>326.08856091999996</v>
      </c>
      <c r="F253" s="8">
        <v>101.224</v>
      </c>
      <c r="G253" s="8">
        <f>F253*1.081</f>
        <v>109.423144</v>
      </c>
      <c r="H253" s="8">
        <f>G253*1.055</f>
        <v>115.44141691999998</v>
      </c>
    </row>
    <row r="254" spans="1:8" ht="25.5">
      <c r="A254" s="223"/>
      <c r="B254" s="78" t="s">
        <v>183</v>
      </c>
      <c r="C254" s="238"/>
      <c r="D254" s="238"/>
      <c r="E254" s="8">
        <f t="shared" si="28"/>
        <v>256.604998025</v>
      </c>
      <c r="F254" s="8">
        <v>79.655</v>
      </c>
      <c r="G254" s="8">
        <f>F254*1.081</f>
        <v>86.107055</v>
      </c>
      <c r="H254" s="8">
        <f>G254*1.055</f>
        <v>90.842943025</v>
      </c>
    </row>
    <row r="255" spans="1:8" ht="25.5">
      <c r="A255" s="206"/>
      <c r="B255" s="78" t="s">
        <v>350</v>
      </c>
      <c r="C255" s="230"/>
      <c r="D255" s="230"/>
      <c r="E255" s="8">
        <f t="shared" si="28"/>
        <v>128.85819999999998</v>
      </c>
      <c r="F255" s="8">
        <v>40</v>
      </c>
      <c r="G255" s="8">
        <f>F255*1.081</f>
        <v>43.239999999999995</v>
      </c>
      <c r="H255" s="8">
        <f>G255*1.055</f>
        <v>45.618199999999995</v>
      </c>
    </row>
    <row r="256" spans="1:8" ht="12.75">
      <c r="A256" s="208" t="s">
        <v>80</v>
      </c>
      <c r="B256" s="7"/>
      <c r="C256" s="194" t="s">
        <v>35</v>
      </c>
      <c r="D256" s="194" t="s">
        <v>19</v>
      </c>
      <c r="E256" s="6">
        <f t="shared" si="28"/>
        <v>814.496168815</v>
      </c>
      <c r="F256" s="6">
        <f>SUM(F257:F260)</f>
        <v>321.793</v>
      </c>
      <c r="G256" s="6">
        <f>SUM(G257:G259)</f>
        <v>239.758233</v>
      </c>
      <c r="H256" s="6">
        <f>SUM(H257:H259)</f>
        <v>252.944935815</v>
      </c>
    </row>
    <row r="257" spans="1:8" ht="25.5">
      <c r="A257" s="209"/>
      <c r="B257" s="129" t="s">
        <v>306</v>
      </c>
      <c r="C257" s="194"/>
      <c r="D257" s="194"/>
      <c r="E257" s="8">
        <f t="shared" si="28"/>
        <v>73.82286278000001</v>
      </c>
      <c r="F257" s="8">
        <v>22.916</v>
      </c>
      <c r="G257" s="8">
        <f>F257*1.081</f>
        <v>24.772196</v>
      </c>
      <c r="H257" s="8">
        <f>G257*1.055</f>
        <v>26.13466678</v>
      </c>
    </row>
    <row r="258" spans="1:8" ht="38.25">
      <c r="A258" s="209"/>
      <c r="B258" s="129" t="s">
        <v>268</v>
      </c>
      <c r="C258" s="194"/>
      <c r="D258" s="194"/>
      <c r="E258" s="8">
        <f t="shared" si="28"/>
        <v>321.478658815</v>
      </c>
      <c r="F258" s="8">
        <v>99.793</v>
      </c>
      <c r="G258" s="8">
        <f>F258*1.081</f>
        <v>107.876233</v>
      </c>
      <c r="H258" s="8">
        <f>G258*1.055</f>
        <v>113.809425815</v>
      </c>
    </row>
    <row r="259" spans="1:8" ht="25.5">
      <c r="A259" s="209"/>
      <c r="B259" s="129" t="s">
        <v>269</v>
      </c>
      <c r="C259" s="194"/>
      <c r="D259" s="194"/>
      <c r="E259" s="8">
        <f t="shared" si="28"/>
        <v>319.19464722</v>
      </c>
      <c r="F259" s="8">
        <v>99.084</v>
      </c>
      <c r="G259" s="8">
        <f>F259*1.081</f>
        <v>107.109804</v>
      </c>
      <c r="H259" s="8">
        <f>G259*1.055</f>
        <v>113.00084322</v>
      </c>
    </row>
    <row r="260" spans="1:8" ht="25.5">
      <c r="A260" s="210"/>
      <c r="B260" s="130" t="s">
        <v>368</v>
      </c>
      <c r="C260" s="86"/>
      <c r="D260" s="86"/>
      <c r="E260" s="8">
        <f t="shared" si="28"/>
        <v>322.14549999999997</v>
      </c>
      <c r="F260" s="8">
        <v>100</v>
      </c>
      <c r="G260" s="8">
        <f>F260*1.081</f>
        <v>108.1</v>
      </c>
      <c r="H260" s="8">
        <f>G260*1.055</f>
        <v>114.04549999999999</v>
      </c>
    </row>
    <row r="261" spans="1:8" ht="12.75">
      <c r="A261" s="234" t="s">
        <v>270</v>
      </c>
      <c r="B261" s="78"/>
      <c r="C261" s="229" t="s">
        <v>35</v>
      </c>
      <c r="D261" s="229" t="s">
        <v>19</v>
      </c>
      <c r="E261" s="6">
        <f>F261+G261+H261</f>
        <v>714.000064745</v>
      </c>
      <c r="F261" s="6">
        <f>SUM(F262:F263)</f>
        <v>221.639</v>
      </c>
      <c r="G261" s="6">
        <f>SUM(G262:G263)</f>
        <v>239.591759</v>
      </c>
      <c r="H261" s="6">
        <f>SUM(H262:H263)</f>
        <v>252.76930574499997</v>
      </c>
    </row>
    <row r="262" spans="1:8" ht="25.5">
      <c r="A262" s="235"/>
      <c r="B262" s="78" t="s">
        <v>124</v>
      </c>
      <c r="C262" s="238"/>
      <c r="D262" s="238"/>
      <c r="E262" s="8">
        <f t="shared" si="28"/>
        <v>321.304700245</v>
      </c>
      <c r="F262" s="8">
        <v>99.739</v>
      </c>
      <c r="G262" s="8">
        <f>F262*1.081</f>
        <v>107.817859</v>
      </c>
      <c r="H262" s="8">
        <f>G262*1.055</f>
        <v>113.74784124499999</v>
      </c>
    </row>
    <row r="263" spans="1:8" ht="12.75" customHeight="1">
      <c r="A263" s="236"/>
      <c r="B263" s="78" t="s">
        <v>271</v>
      </c>
      <c r="C263" s="230"/>
      <c r="D263" s="230"/>
      <c r="E263" s="8">
        <f t="shared" si="28"/>
        <v>392.6953645</v>
      </c>
      <c r="F263" s="8">
        <v>121.9</v>
      </c>
      <c r="G263" s="8">
        <f>F263*1.081</f>
        <v>131.7739</v>
      </c>
      <c r="H263" s="8">
        <f>G263*1.055</f>
        <v>139.02146449999998</v>
      </c>
    </row>
    <row r="264" spans="1:8" ht="12.75">
      <c r="A264" s="239" t="s">
        <v>163</v>
      </c>
      <c r="B264" s="78"/>
      <c r="C264" s="211" t="s">
        <v>35</v>
      </c>
      <c r="D264" s="229" t="s">
        <v>19</v>
      </c>
      <c r="E264" s="6">
        <f t="shared" si="28"/>
        <v>522.93234724</v>
      </c>
      <c r="F264" s="6">
        <f>SUM(F265:F266)</f>
        <v>162.328</v>
      </c>
      <c r="G264" s="6">
        <f>SUM(G265:G266)</f>
        <v>175.476568</v>
      </c>
      <c r="H264" s="6">
        <f>SUM(H265:H266)</f>
        <v>185.12777924</v>
      </c>
    </row>
    <row r="265" spans="1:8" ht="25.5">
      <c r="A265" s="223"/>
      <c r="B265" s="7" t="s">
        <v>278</v>
      </c>
      <c r="C265" s="212"/>
      <c r="D265" s="238"/>
      <c r="E265" s="8">
        <f t="shared" si="28"/>
        <v>200.78684724</v>
      </c>
      <c r="F265" s="8">
        <v>62.328</v>
      </c>
      <c r="G265" s="8">
        <f>F265*1.081</f>
        <v>67.376568</v>
      </c>
      <c r="H265" s="8">
        <f>G265*1.055</f>
        <v>71.08227924</v>
      </c>
    </row>
    <row r="266" spans="1:8" ht="12.75">
      <c r="A266" s="206"/>
      <c r="B266" s="131" t="s">
        <v>347</v>
      </c>
      <c r="C266" s="221"/>
      <c r="D266" s="230"/>
      <c r="E266" s="8">
        <f t="shared" si="28"/>
        <v>322.14549999999997</v>
      </c>
      <c r="F266" s="8">
        <v>100</v>
      </c>
      <c r="G266" s="8">
        <f>F266*1.081</f>
        <v>108.1</v>
      </c>
      <c r="H266" s="8">
        <f>G266*1.055</f>
        <v>114.04549999999999</v>
      </c>
    </row>
    <row r="267" spans="1:8" ht="12.75">
      <c r="A267" s="234" t="s">
        <v>220</v>
      </c>
      <c r="B267" s="7"/>
      <c r="C267" s="229" t="s">
        <v>35</v>
      </c>
      <c r="D267" s="229" t="s">
        <v>19</v>
      </c>
      <c r="E267" s="6">
        <f>SUM(E268:E271)</f>
        <v>11815.083432647998</v>
      </c>
      <c r="F267" s="6">
        <f>SUM(F268:F271)</f>
        <v>3666.393</v>
      </c>
      <c r="G267" s="6">
        <f>SUM(G268:G271)</f>
        <v>3963.370833</v>
      </c>
      <c r="H267" s="6">
        <f>SUM(H268:H271)</f>
        <v>4185.319599648</v>
      </c>
    </row>
    <row r="268" spans="1:9" ht="31.5" customHeight="1">
      <c r="A268" s="235"/>
      <c r="B268" s="128" t="s">
        <v>126</v>
      </c>
      <c r="C268" s="238"/>
      <c r="D268" s="238"/>
      <c r="E268" s="8">
        <f>SUM(F268:H268)</f>
        <v>5268.37909228</v>
      </c>
      <c r="F268" s="8">
        <f>1676.575-41.72</f>
        <v>1634.855</v>
      </c>
      <c r="G268" s="8">
        <f>F268*108.1%</f>
        <v>1767.278255</v>
      </c>
      <c r="H268" s="8">
        <f>G268*105.6%</f>
        <v>1866.24583728</v>
      </c>
      <c r="I268" s="1"/>
    </row>
    <row r="269" spans="1:9" ht="38.25">
      <c r="A269" s="235"/>
      <c r="B269" s="129" t="s">
        <v>268</v>
      </c>
      <c r="C269" s="238"/>
      <c r="D269" s="238"/>
      <c r="E269" s="8">
        <f>SUM(F269:H269)</f>
        <v>3609.907384952</v>
      </c>
      <c r="F269" s="8">
        <f>1129.172-8.965</f>
        <v>1120.207</v>
      </c>
      <c r="G269" s="8">
        <f>F269*108.1%</f>
        <v>1210.943767</v>
      </c>
      <c r="H269" s="8">
        <f>G269*105.6%</f>
        <v>1278.756617952</v>
      </c>
      <c r="I269" s="1"/>
    </row>
    <row r="270" spans="1:9" ht="40.5" customHeight="1">
      <c r="A270" s="235"/>
      <c r="B270" s="129" t="s">
        <v>269</v>
      </c>
      <c r="C270" s="238"/>
      <c r="D270" s="238"/>
      <c r="E270" s="8">
        <f>SUM(F270:H270)</f>
        <v>2774.381141016</v>
      </c>
      <c r="F270" s="8">
        <f>936.984-76.053</f>
        <v>860.931</v>
      </c>
      <c r="G270" s="8">
        <f>F270*108.1%</f>
        <v>930.666411</v>
      </c>
      <c r="H270" s="8">
        <f>G270*105.6%</f>
        <v>982.783730016</v>
      </c>
      <c r="I270" s="1"/>
    </row>
    <row r="271" spans="1:9" ht="25.5">
      <c r="A271" s="235"/>
      <c r="B271" s="128" t="s">
        <v>267</v>
      </c>
      <c r="C271" s="238"/>
      <c r="D271" s="238"/>
      <c r="E271" s="8">
        <f>SUM(F271:H271)</f>
        <v>162.4158144</v>
      </c>
      <c r="F271" s="8">
        <f>50.4</f>
        <v>50.4</v>
      </c>
      <c r="G271" s="8">
        <f>F271*108.1%</f>
        <v>54.4824</v>
      </c>
      <c r="H271" s="8">
        <f>G271*105.6%</f>
        <v>57.5334144</v>
      </c>
      <c r="I271" s="1"/>
    </row>
    <row r="272" spans="1:9" ht="12.75">
      <c r="A272" s="234" t="s">
        <v>248</v>
      </c>
      <c r="B272" s="7"/>
      <c r="C272" s="5"/>
      <c r="D272" s="5"/>
      <c r="E272" s="6">
        <f>SUM(E273:E274)</f>
        <v>2532.587819864</v>
      </c>
      <c r="F272" s="6">
        <f>SUM(F273:F274)</f>
        <v>785.899</v>
      </c>
      <c r="G272" s="6">
        <f>SUM(G273:G274)</f>
        <v>849.5568189999999</v>
      </c>
      <c r="H272" s="6">
        <f>SUM(H273:H274)</f>
        <v>897.1320008639999</v>
      </c>
      <c r="I272" s="1"/>
    </row>
    <row r="273" spans="1:9" ht="27.75" customHeight="1">
      <c r="A273" s="235"/>
      <c r="B273" s="128" t="s">
        <v>126</v>
      </c>
      <c r="C273" s="229" t="s">
        <v>35</v>
      </c>
      <c r="D273" s="229" t="s">
        <v>19</v>
      </c>
      <c r="E273" s="8">
        <f>F273+G273+H273</f>
        <v>754.0573113199999</v>
      </c>
      <c r="F273" s="8">
        <v>233.995</v>
      </c>
      <c r="G273" s="8">
        <f>F273*108.1%</f>
        <v>252.94859499999998</v>
      </c>
      <c r="H273" s="8">
        <f>G273*105.6%</f>
        <v>267.11371632</v>
      </c>
      <c r="I273" s="1"/>
    </row>
    <row r="274" spans="1:9" ht="60.75" customHeight="1">
      <c r="A274" s="235"/>
      <c r="B274" s="128" t="s">
        <v>267</v>
      </c>
      <c r="C274" s="238"/>
      <c r="D274" s="238"/>
      <c r="E274" s="8">
        <f>F274+G274+H274</f>
        <v>1778.530508544</v>
      </c>
      <c r="F274" s="8">
        <f>565.2-13.296</f>
        <v>551.904</v>
      </c>
      <c r="G274" s="8">
        <f>F274*108.1%</f>
        <v>596.608224</v>
      </c>
      <c r="H274" s="8">
        <f>G274*105.6%</f>
        <v>630.0182845439999</v>
      </c>
      <c r="I274" s="1"/>
    </row>
    <row r="275" spans="1:9" ht="48.75" customHeight="1">
      <c r="A275" s="216" t="s">
        <v>272</v>
      </c>
      <c r="B275" s="78"/>
      <c r="C275" s="5"/>
      <c r="D275" s="5"/>
      <c r="E275" s="6">
        <f>E276</f>
        <v>11466.031223271999</v>
      </c>
      <c r="F275" s="6">
        <f>F276</f>
        <v>3558.0769999999998</v>
      </c>
      <c r="G275" s="6">
        <f>G276</f>
        <v>3846.2812369999997</v>
      </c>
      <c r="H275" s="6">
        <f>H276</f>
        <v>4061.672986272</v>
      </c>
      <c r="I275" s="1"/>
    </row>
    <row r="276" spans="1:9" ht="51">
      <c r="A276" s="266"/>
      <c r="B276" s="7" t="s">
        <v>221</v>
      </c>
      <c r="C276" s="5" t="s">
        <v>35</v>
      </c>
      <c r="D276" s="5" t="s">
        <v>19</v>
      </c>
      <c r="E276" s="8">
        <f>SUM(F276:H276)</f>
        <v>11466.031223271999</v>
      </c>
      <c r="F276" s="8">
        <f>3592.386-34.309</f>
        <v>3558.0769999999998</v>
      </c>
      <c r="G276" s="8">
        <f>F276*108.1%</f>
        <v>3846.2812369999997</v>
      </c>
      <c r="H276" s="8">
        <f>G276*105.6%</f>
        <v>4061.672986272</v>
      </c>
      <c r="I276" s="1"/>
    </row>
    <row r="277" spans="1:9" ht="51" customHeight="1">
      <c r="A277" s="234" t="s">
        <v>78</v>
      </c>
      <c r="B277" s="78"/>
      <c r="C277" s="229" t="s">
        <v>35</v>
      </c>
      <c r="D277" s="229" t="s">
        <v>19</v>
      </c>
      <c r="E277" s="6">
        <f>F277+G277+H277</f>
        <v>4863.803810035</v>
      </c>
      <c r="F277" s="6">
        <f>SUM(F279:F279)+F280</f>
        <v>3202.8730000000005</v>
      </c>
      <c r="G277" s="6">
        <f>SUM(G279:G279)+G280</f>
        <v>808.238837</v>
      </c>
      <c r="H277" s="6">
        <f>SUM(H279:H279)+H280</f>
        <v>852.6919730349999</v>
      </c>
      <c r="I277" s="1"/>
    </row>
    <row r="278" spans="1:9" ht="29.25" customHeight="1">
      <c r="A278" s="235"/>
      <c r="B278" s="7" t="s">
        <v>264</v>
      </c>
      <c r="C278" s="238"/>
      <c r="D278" s="238"/>
      <c r="E278" s="6">
        <f>F278+G278+H278</f>
        <v>4863.803810035</v>
      </c>
      <c r="F278" s="6">
        <f>F279+F280</f>
        <v>3202.8730000000005</v>
      </c>
      <c r="G278" s="6">
        <f>G279+G280</f>
        <v>808.238837</v>
      </c>
      <c r="H278" s="6">
        <f>H279+H280</f>
        <v>852.6919730349999</v>
      </c>
      <c r="I278" s="1"/>
    </row>
    <row r="279" spans="1:10" ht="12.75" customHeight="1">
      <c r="A279" s="235"/>
      <c r="B279" s="21" t="s">
        <v>359</v>
      </c>
      <c r="C279" s="238"/>
      <c r="D279" s="238"/>
      <c r="E279" s="8">
        <f>F279+G279+H279</f>
        <v>2408.607810035</v>
      </c>
      <c r="F279" s="8">
        <v>747.677</v>
      </c>
      <c r="G279" s="8">
        <f>F279*1.081</f>
        <v>808.238837</v>
      </c>
      <c r="H279" s="8">
        <f>G279*1.055</f>
        <v>852.6919730349999</v>
      </c>
      <c r="I279" s="52"/>
      <c r="J279" s="24"/>
    </row>
    <row r="280" spans="1:8" ht="38.25">
      <c r="A280" s="236"/>
      <c r="B280" s="110" t="s">
        <v>312</v>
      </c>
      <c r="C280" s="230"/>
      <c r="D280" s="230"/>
      <c r="E280" s="8">
        <f>F280+G280+H280</f>
        <v>2455.1960000000004</v>
      </c>
      <c r="F280" s="8">
        <f>1365.66+907.448+182.088</f>
        <v>2455.1960000000004</v>
      </c>
      <c r="G280" s="8"/>
      <c r="H280" s="8"/>
    </row>
    <row r="281" spans="1:10" ht="12.75">
      <c r="A281" s="234" t="s">
        <v>63</v>
      </c>
      <c r="B281" s="7"/>
      <c r="C281" s="229" t="s">
        <v>36</v>
      </c>
      <c r="D281" s="229" t="s">
        <v>19</v>
      </c>
      <c r="E281" s="6">
        <f t="shared" si="28"/>
        <v>383.3531449999999</v>
      </c>
      <c r="F281" s="6">
        <f>SUM(F282:F282)</f>
        <v>119</v>
      </c>
      <c r="G281" s="6">
        <f>SUM(G282:G282)</f>
        <v>128.63899999999998</v>
      </c>
      <c r="H281" s="6">
        <f>SUM(H282:H282)</f>
        <v>135.71414499999997</v>
      </c>
      <c r="J281" s="1">
        <v>100203</v>
      </c>
    </row>
    <row r="282" spans="1:10" ht="30" customHeight="1">
      <c r="A282" s="235"/>
      <c r="B282" s="78" t="s">
        <v>34</v>
      </c>
      <c r="C282" s="238"/>
      <c r="D282" s="238"/>
      <c r="E282" s="8">
        <f t="shared" si="28"/>
        <v>383.3531449999999</v>
      </c>
      <c r="F282" s="8">
        <v>119</v>
      </c>
      <c r="G282" s="8">
        <f>F282*1.081</f>
        <v>128.63899999999998</v>
      </c>
      <c r="H282" s="8">
        <f>G282*1.055</f>
        <v>135.71414499999997</v>
      </c>
      <c r="I282" s="52">
        <f>F281+F283+F290+F294+F296+F300+F302+F308+F306</f>
        <v>14932.357000000002</v>
      </c>
      <c r="J282" s="24"/>
    </row>
    <row r="283" spans="1:8" ht="31.5" customHeight="1">
      <c r="A283" s="219" t="s">
        <v>73</v>
      </c>
      <c r="B283" s="7"/>
      <c r="C283" s="211" t="s">
        <v>36</v>
      </c>
      <c r="D283" s="229" t="s">
        <v>19</v>
      </c>
      <c r="E283" s="6">
        <f aca="true" t="shared" si="29" ref="E283:E301">F283+G283+H283</f>
        <v>1742.564521025</v>
      </c>
      <c r="F283" s="6">
        <f>SUM(F284:F289)</f>
        <v>568.255</v>
      </c>
      <c r="G283" s="6">
        <f>SUM(G284:G289)</f>
        <v>632.905655</v>
      </c>
      <c r="H283" s="6">
        <f>SUM(H284:H289)</f>
        <v>541.403866025</v>
      </c>
    </row>
    <row r="284" spans="1:8" ht="12.75" customHeight="1">
      <c r="A284" s="276"/>
      <c r="B284" s="132" t="s">
        <v>133</v>
      </c>
      <c r="C284" s="212"/>
      <c r="D284" s="238"/>
      <c r="E284" s="8">
        <f t="shared" si="29"/>
        <v>263.77006</v>
      </c>
      <c r="F284" s="8">
        <v>70</v>
      </c>
      <c r="G284" s="8">
        <v>94.292</v>
      </c>
      <c r="H284" s="8">
        <f>G284*1.055</f>
        <v>99.47806</v>
      </c>
    </row>
    <row r="285" spans="1:8" ht="12.75">
      <c r="A285" s="276"/>
      <c r="B285" s="132" t="s">
        <v>197</v>
      </c>
      <c r="C285" s="212"/>
      <c r="D285" s="238"/>
      <c r="E285" s="8">
        <f>F285+G285+H285</f>
        <v>260.263</v>
      </c>
      <c r="F285" s="8">
        <v>120</v>
      </c>
      <c r="G285" s="8">
        <f>F285*1.081</f>
        <v>129.72</v>
      </c>
      <c r="H285" s="8">
        <v>10.543</v>
      </c>
    </row>
    <row r="286" spans="1:8" ht="25.5">
      <c r="A286" s="276"/>
      <c r="B286" s="132" t="s">
        <v>29</v>
      </c>
      <c r="C286" s="212"/>
      <c r="D286" s="238"/>
      <c r="E286" s="8">
        <f t="shared" si="29"/>
        <v>358.61237059999996</v>
      </c>
      <c r="F286" s="8">
        <v>111.32</v>
      </c>
      <c r="G286" s="8">
        <f>F286*1.081</f>
        <v>120.33691999999999</v>
      </c>
      <c r="H286" s="8">
        <f aca="true" t="shared" si="30" ref="H286:H295">G286*1.055</f>
        <v>126.95545059999998</v>
      </c>
    </row>
    <row r="287" spans="1:8" ht="25.5">
      <c r="A287" s="276"/>
      <c r="B287" s="133" t="s">
        <v>134</v>
      </c>
      <c r="C287" s="212"/>
      <c r="D287" s="238"/>
      <c r="E287" s="8">
        <f t="shared" si="29"/>
        <v>613.06221523</v>
      </c>
      <c r="F287" s="8">
        <v>190.306</v>
      </c>
      <c r="G287" s="8">
        <f>F287*1.081</f>
        <v>205.720786</v>
      </c>
      <c r="H287" s="8">
        <f t="shared" si="30"/>
        <v>217.03542923</v>
      </c>
    </row>
    <row r="288" spans="1:8" ht="25.5">
      <c r="A288" s="276"/>
      <c r="B288" s="133" t="s">
        <v>117</v>
      </c>
      <c r="C288" s="212"/>
      <c r="D288" s="238"/>
      <c r="E288" s="8">
        <f t="shared" si="29"/>
        <v>118.10176175499998</v>
      </c>
      <c r="F288" s="8">
        <v>36.661</v>
      </c>
      <c r="G288" s="8">
        <f>F288*1.081</f>
        <v>39.630541</v>
      </c>
      <c r="H288" s="8">
        <f t="shared" si="30"/>
        <v>41.810220754999996</v>
      </c>
    </row>
    <row r="289" spans="1:8" ht="25.5">
      <c r="A289" s="220"/>
      <c r="B289" s="133" t="s">
        <v>144</v>
      </c>
      <c r="C289" s="221"/>
      <c r="D289" s="230"/>
      <c r="E289" s="8">
        <f t="shared" si="29"/>
        <v>128.75511344</v>
      </c>
      <c r="F289" s="8">
        <v>39.968</v>
      </c>
      <c r="G289" s="8">
        <f>F289*1.081</f>
        <v>43.205408000000006</v>
      </c>
      <c r="H289" s="8">
        <f t="shared" si="30"/>
        <v>45.58170544</v>
      </c>
    </row>
    <row r="290" spans="1:8" ht="12.75">
      <c r="A290" s="239" t="s">
        <v>80</v>
      </c>
      <c r="B290" s="78"/>
      <c r="C290" s="194" t="s">
        <v>36</v>
      </c>
      <c r="D290" s="194" t="s">
        <v>19</v>
      </c>
      <c r="E290" s="6">
        <f t="shared" si="29"/>
        <v>597.188765</v>
      </c>
      <c r="F290" s="6">
        <f>SUM(F291:F293)</f>
        <v>337.595</v>
      </c>
      <c r="G290" s="6">
        <f>SUM(G291:G292)</f>
        <v>126.323</v>
      </c>
      <c r="H290" s="6">
        <f>SUM(H291:H292)</f>
        <v>133.27076499999998</v>
      </c>
    </row>
    <row r="291" spans="1:8" ht="25.5">
      <c r="A291" s="223"/>
      <c r="B291" s="78" t="s">
        <v>30</v>
      </c>
      <c r="C291" s="194"/>
      <c r="D291" s="194"/>
      <c r="E291" s="8">
        <f t="shared" si="29"/>
        <v>33.56935</v>
      </c>
      <c r="F291" s="8">
        <v>25</v>
      </c>
      <c r="G291" s="8">
        <v>4.17</v>
      </c>
      <c r="H291" s="8">
        <f t="shared" si="30"/>
        <v>4.39935</v>
      </c>
    </row>
    <row r="292" spans="1:8" ht="12.75">
      <c r="A292" s="223"/>
      <c r="B292" s="78" t="s">
        <v>31</v>
      </c>
      <c r="C292" s="194"/>
      <c r="D292" s="194"/>
      <c r="E292" s="8">
        <f t="shared" si="29"/>
        <v>364.024415</v>
      </c>
      <c r="F292" s="8">
        <v>113</v>
      </c>
      <c r="G292" s="8">
        <f>F292*1.081</f>
        <v>122.15299999999999</v>
      </c>
      <c r="H292" s="8">
        <f t="shared" si="30"/>
        <v>128.87141499999998</v>
      </c>
    </row>
    <row r="293" spans="1:8" ht="25.5">
      <c r="A293" s="224"/>
      <c r="B293" s="7" t="s">
        <v>368</v>
      </c>
      <c r="C293" s="5"/>
      <c r="D293" s="5"/>
      <c r="E293" s="8">
        <f>F293+G293+H293</f>
        <v>199.595</v>
      </c>
      <c r="F293" s="8">
        <v>199.595</v>
      </c>
      <c r="G293" s="8"/>
      <c r="H293" s="8"/>
    </row>
    <row r="294" spans="1:8" ht="12.75">
      <c r="A294" s="216" t="s">
        <v>79</v>
      </c>
      <c r="B294" s="78"/>
      <c r="C294" s="194" t="s">
        <v>36</v>
      </c>
      <c r="D294" s="194" t="s">
        <v>19</v>
      </c>
      <c r="E294" s="6">
        <f t="shared" si="29"/>
        <v>320.389807025</v>
      </c>
      <c r="F294" s="6">
        <f>SUM(F295)</f>
        <v>99.455</v>
      </c>
      <c r="G294" s="6">
        <f>SUM(G295)</f>
        <v>107.51085499999999</v>
      </c>
      <c r="H294" s="6">
        <f>SUM(H295)</f>
        <v>113.42395202499999</v>
      </c>
    </row>
    <row r="295" spans="1:8" ht="25.5">
      <c r="A295" s="216"/>
      <c r="B295" s="78" t="s">
        <v>37</v>
      </c>
      <c r="C295" s="194"/>
      <c r="D295" s="194"/>
      <c r="E295" s="8">
        <f t="shared" si="29"/>
        <v>320.389807025</v>
      </c>
      <c r="F295" s="8">
        <v>99.455</v>
      </c>
      <c r="G295" s="8">
        <f>F295*1.081</f>
        <v>107.51085499999999</v>
      </c>
      <c r="H295" s="8">
        <f t="shared" si="30"/>
        <v>113.42395202499999</v>
      </c>
    </row>
    <row r="296" spans="1:8" ht="42" customHeight="1">
      <c r="A296" s="234" t="s">
        <v>209</v>
      </c>
      <c r="B296" s="78"/>
      <c r="C296" s="229" t="s">
        <v>36</v>
      </c>
      <c r="D296" s="229" t="s">
        <v>19</v>
      </c>
      <c r="E296" s="6">
        <f t="shared" si="29"/>
        <v>18763.915516305</v>
      </c>
      <c r="F296" s="6">
        <f>SUM(F298+F297+F299)</f>
        <v>5824.671</v>
      </c>
      <c r="G296" s="6">
        <f>SUM(G298+G297+G299)</f>
        <v>6296.469351</v>
      </c>
      <c r="H296" s="6">
        <f>SUM(H298+H297+H299)</f>
        <v>6642.775165305</v>
      </c>
    </row>
    <row r="297" spans="1:9" ht="16.5" customHeight="1">
      <c r="A297" s="235"/>
      <c r="B297" s="78" t="s">
        <v>283</v>
      </c>
      <c r="C297" s="238"/>
      <c r="D297" s="238"/>
      <c r="E297" s="8">
        <f t="shared" si="29"/>
        <v>4833.26490888</v>
      </c>
      <c r="F297" s="8">
        <f>1472+28.336</f>
        <v>1500.336</v>
      </c>
      <c r="G297" s="8">
        <f>F297*1.081</f>
        <v>1621.863216</v>
      </c>
      <c r="H297" s="8">
        <f>G297*1.055</f>
        <v>1711.06569288</v>
      </c>
      <c r="I297" s="24"/>
    </row>
    <row r="298" spans="1:9" ht="12.75">
      <c r="A298" s="235"/>
      <c r="B298" s="7" t="s">
        <v>224</v>
      </c>
      <c r="C298" s="238"/>
      <c r="D298" s="238"/>
      <c r="E298" s="8">
        <f t="shared" si="29"/>
        <v>8251.9502698</v>
      </c>
      <c r="F298" s="8">
        <v>2561.56</v>
      </c>
      <c r="G298" s="8">
        <f>F298*1.081</f>
        <v>2769.04636</v>
      </c>
      <c r="H298" s="8">
        <f>G298*1.055</f>
        <v>2921.3439097999994</v>
      </c>
      <c r="I298" s="1"/>
    </row>
    <row r="299" spans="1:9" ht="25.5">
      <c r="A299" s="236"/>
      <c r="B299" s="7" t="s">
        <v>225</v>
      </c>
      <c r="C299" s="230"/>
      <c r="D299" s="230"/>
      <c r="E299" s="8">
        <f t="shared" si="29"/>
        <v>5678.7003376249995</v>
      </c>
      <c r="F299" s="8">
        <v>1762.775</v>
      </c>
      <c r="G299" s="8">
        <f>F299*1.081</f>
        <v>1905.559775</v>
      </c>
      <c r="H299" s="8">
        <f>G299*1.055</f>
        <v>2010.3655626249997</v>
      </c>
      <c r="I299" s="1"/>
    </row>
    <row r="300" spans="1:9" ht="26.25" customHeight="1">
      <c r="A300" s="234" t="s">
        <v>275</v>
      </c>
      <c r="B300" s="78"/>
      <c r="C300" s="195" t="s">
        <v>36</v>
      </c>
      <c r="D300" s="229" t="s">
        <v>19</v>
      </c>
      <c r="E300" s="6">
        <f t="shared" si="29"/>
        <v>9516.335921294998</v>
      </c>
      <c r="F300" s="6">
        <f>SUM(F301:F301)</f>
        <v>2954.049</v>
      </c>
      <c r="G300" s="6">
        <f>SUM(G301:G301)</f>
        <v>3193.3269689999997</v>
      </c>
      <c r="H300" s="6">
        <f>SUM(H301:H301)</f>
        <v>3368.9599522949993</v>
      </c>
      <c r="I300" s="1"/>
    </row>
    <row r="301" spans="1:9" ht="25.5" customHeight="1">
      <c r="A301" s="236"/>
      <c r="B301" s="78" t="s">
        <v>33</v>
      </c>
      <c r="C301" s="197"/>
      <c r="D301" s="230"/>
      <c r="E301" s="8">
        <f t="shared" si="29"/>
        <v>9516.335921294998</v>
      </c>
      <c r="F301" s="8">
        <v>2954.049</v>
      </c>
      <c r="G301" s="8">
        <f>F301*1.081</f>
        <v>3193.3269689999997</v>
      </c>
      <c r="H301" s="8">
        <f>G301*1.055</f>
        <v>3368.9599522949993</v>
      </c>
      <c r="I301" s="1"/>
    </row>
    <row r="302" spans="1:9" ht="52.5" customHeight="1">
      <c r="A302" s="234" t="s">
        <v>78</v>
      </c>
      <c r="B302" s="78"/>
      <c r="C302" s="229" t="s">
        <v>36</v>
      </c>
      <c r="D302" s="229" t="s">
        <v>19</v>
      </c>
      <c r="E302" s="6">
        <f aca="true" t="shared" si="31" ref="E302:E309">F302+G302+H302</f>
        <v>3914.4189699050003</v>
      </c>
      <c r="F302" s="6">
        <f>SUM(F304:F304)+F305</f>
        <v>3473.2580000000003</v>
      </c>
      <c r="G302" s="6">
        <f>SUM(G304:G304)+G305</f>
        <v>214.676871</v>
      </c>
      <c r="H302" s="6">
        <f>SUM(H304:H304)+H305</f>
        <v>226.484098905</v>
      </c>
      <c r="I302" s="1"/>
    </row>
    <row r="303" spans="1:9" ht="36" customHeight="1">
      <c r="A303" s="235"/>
      <c r="B303" s="78" t="s">
        <v>264</v>
      </c>
      <c r="C303" s="238"/>
      <c r="D303" s="238"/>
      <c r="E303" s="8">
        <f t="shared" si="31"/>
        <v>3914.4189699050003</v>
      </c>
      <c r="F303" s="8">
        <f>F304+F305</f>
        <v>3473.2580000000003</v>
      </c>
      <c r="G303" s="8">
        <f>G304+G305</f>
        <v>214.676871</v>
      </c>
      <c r="H303" s="8">
        <f>H304+H305</f>
        <v>226.484098905</v>
      </c>
      <c r="I303" s="1"/>
    </row>
    <row r="304" spans="1:10" ht="18" customHeight="1">
      <c r="A304" s="235"/>
      <c r="B304" s="43" t="s">
        <v>359</v>
      </c>
      <c r="C304" s="238"/>
      <c r="D304" s="238"/>
      <c r="E304" s="8">
        <f t="shared" si="31"/>
        <v>639.751969905</v>
      </c>
      <c r="F304" s="8">
        <v>198.591</v>
      </c>
      <c r="G304" s="8">
        <f>F304*1.081</f>
        <v>214.676871</v>
      </c>
      <c r="H304" s="8">
        <f>G304*1.055</f>
        <v>226.484098905</v>
      </c>
      <c r="I304" s="52"/>
      <c r="J304" s="24"/>
    </row>
    <row r="305" spans="1:8" ht="38.25">
      <c r="A305" s="236"/>
      <c r="B305" s="110" t="s">
        <v>312</v>
      </c>
      <c r="C305" s="230"/>
      <c r="D305" s="230"/>
      <c r="E305" s="8">
        <f t="shared" si="31"/>
        <v>3274.6670000000004</v>
      </c>
      <c r="F305" s="8">
        <f>1708.441+1566.226</f>
        <v>3274.6670000000004</v>
      </c>
      <c r="G305" s="8"/>
      <c r="H305" s="8"/>
    </row>
    <row r="306" spans="1:8" ht="12.75">
      <c r="A306" s="234" t="s">
        <v>78</v>
      </c>
      <c r="B306" s="110"/>
      <c r="C306" s="229" t="s">
        <v>36</v>
      </c>
      <c r="D306" s="229" t="s">
        <v>19</v>
      </c>
      <c r="E306" s="6">
        <f>E307</f>
        <v>1456.074</v>
      </c>
      <c r="F306" s="6">
        <f>F307</f>
        <v>1456.074</v>
      </c>
      <c r="G306" s="8"/>
      <c r="H306" s="8"/>
    </row>
    <row r="307" spans="1:8" ht="45.75" customHeight="1">
      <c r="A307" s="236"/>
      <c r="B307" s="78" t="s">
        <v>56</v>
      </c>
      <c r="C307" s="230"/>
      <c r="D307" s="230"/>
      <c r="E307" s="8">
        <f>F307+G307+H307</f>
        <v>1456.074</v>
      </c>
      <c r="F307" s="8">
        <v>1456.074</v>
      </c>
      <c r="G307" s="8"/>
      <c r="H307" s="8"/>
    </row>
    <row r="308" spans="1:10" ht="12.75">
      <c r="A308" s="219" t="s">
        <v>336</v>
      </c>
      <c r="B308" s="134"/>
      <c r="C308" s="135"/>
      <c r="D308" s="65"/>
      <c r="E308" s="6">
        <f t="shared" si="31"/>
        <v>322.14549999999997</v>
      </c>
      <c r="F308" s="6">
        <f>F309</f>
        <v>100</v>
      </c>
      <c r="G308" s="6">
        <f>G309</f>
        <v>108.1</v>
      </c>
      <c r="H308" s="6">
        <f>H309</f>
        <v>114.04549999999999</v>
      </c>
      <c r="J308" s="1">
        <v>100203</v>
      </c>
    </row>
    <row r="309" spans="1:8" ht="51">
      <c r="A309" s="220"/>
      <c r="B309" s="134" t="s">
        <v>337</v>
      </c>
      <c r="C309" s="3" t="s">
        <v>36</v>
      </c>
      <c r="D309" s="5" t="s">
        <v>338</v>
      </c>
      <c r="E309" s="8">
        <f t="shared" si="31"/>
        <v>322.14549999999997</v>
      </c>
      <c r="F309" s="8">
        <v>100</v>
      </c>
      <c r="G309" s="8">
        <f>F309*1.081</f>
        <v>108.1</v>
      </c>
      <c r="H309" s="8">
        <f>G309*1.055</f>
        <v>114.04549999999999</v>
      </c>
    </row>
    <row r="310" spans="1:8" ht="65.25" customHeight="1">
      <c r="A310" s="234" t="s">
        <v>63</v>
      </c>
      <c r="B310" s="78"/>
      <c r="C310" s="229" t="s">
        <v>38</v>
      </c>
      <c r="D310" s="229" t="s">
        <v>19</v>
      </c>
      <c r="E310" s="6">
        <f aca="true" t="shared" si="32" ref="E310:E321">F310+G310+H310</f>
        <v>195.08809334499998</v>
      </c>
      <c r="F310" s="6">
        <f>SUM(F311:F312)</f>
        <v>60.559</v>
      </c>
      <c r="G310" s="6">
        <f>SUM(G311:G312)</f>
        <v>65.46427899999999</v>
      </c>
      <c r="H310" s="6">
        <f>SUM(H311:H312)</f>
        <v>69.06481434499999</v>
      </c>
    </row>
    <row r="311" spans="1:11" ht="12.75" customHeight="1">
      <c r="A311" s="235"/>
      <c r="B311" s="225" t="s">
        <v>33</v>
      </c>
      <c r="C311" s="238"/>
      <c r="D311" s="238"/>
      <c r="E311" s="243">
        <f t="shared" si="32"/>
        <v>195.08809334499998</v>
      </c>
      <c r="F311" s="243">
        <v>60.559</v>
      </c>
      <c r="G311" s="243">
        <f>F311*1.081</f>
        <v>65.46427899999999</v>
      </c>
      <c r="H311" s="243">
        <f>G311*1.055</f>
        <v>69.06481434499999</v>
      </c>
      <c r="I311" s="52">
        <f>F310+F313+F319+F323+F325+F328+F331+F334</f>
        <v>7806.735999999999</v>
      </c>
      <c r="J311" s="24">
        <v>87.729</v>
      </c>
      <c r="K311" s="1" t="s">
        <v>281</v>
      </c>
    </row>
    <row r="312" spans="1:8" ht="12.75">
      <c r="A312" s="235"/>
      <c r="B312" s="263"/>
      <c r="C312" s="238"/>
      <c r="D312" s="238"/>
      <c r="E312" s="244"/>
      <c r="F312" s="244"/>
      <c r="G312" s="244"/>
      <c r="H312" s="244"/>
    </row>
    <row r="313" spans="1:8" ht="12.75">
      <c r="A313" s="216" t="s">
        <v>73</v>
      </c>
      <c r="B313" s="7"/>
      <c r="C313" s="194" t="s">
        <v>38</v>
      </c>
      <c r="D313" s="194" t="s">
        <v>19</v>
      </c>
      <c r="E313" s="6">
        <f t="shared" si="32"/>
        <v>921.30391545</v>
      </c>
      <c r="F313" s="6">
        <f>SUM(F314:F317)</f>
        <v>285.99</v>
      </c>
      <c r="G313" s="6">
        <f>SUM(G314:G317)</f>
        <v>309.15518999999995</v>
      </c>
      <c r="H313" s="6">
        <f>SUM(H314:H317)</f>
        <v>326.15872544999996</v>
      </c>
    </row>
    <row r="314" spans="1:8" ht="25.5">
      <c r="A314" s="216"/>
      <c r="B314" s="136" t="s">
        <v>39</v>
      </c>
      <c r="C314" s="194"/>
      <c r="D314" s="194"/>
      <c r="E314" s="8">
        <f t="shared" si="32"/>
        <v>280.997855285</v>
      </c>
      <c r="F314" s="8">
        <v>87.227</v>
      </c>
      <c r="G314" s="8">
        <f>F314*1.081</f>
        <v>94.292387</v>
      </c>
      <c r="H314" s="8">
        <f>G314*1.055</f>
        <v>99.478468285</v>
      </c>
    </row>
    <row r="315" spans="1:8" ht="25.5">
      <c r="A315" s="216"/>
      <c r="B315" s="136" t="s">
        <v>117</v>
      </c>
      <c r="C315" s="194"/>
      <c r="D315" s="194"/>
      <c r="E315" s="8">
        <f t="shared" si="32"/>
        <v>29.782351474999995</v>
      </c>
      <c r="F315" s="8">
        <v>9.245</v>
      </c>
      <c r="G315" s="8">
        <f>F315*1.081</f>
        <v>9.993844999999999</v>
      </c>
      <c r="H315" s="8">
        <f>G315*1.055</f>
        <v>10.543506474999997</v>
      </c>
    </row>
    <row r="316" spans="1:8" ht="12.75">
      <c r="A316" s="216"/>
      <c r="B316" s="136" t="s">
        <v>127</v>
      </c>
      <c r="C316" s="194"/>
      <c r="D316" s="194"/>
      <c r="E316" s="8">
        <f t="shared" si="32"/>
        <v>327.90868299499994</v>
      </c>
      <c r="F316" s="8">
        <v>101.789</v>
      </c>
      <c r="G316" s="8">
        <f>F316*1.081</f>
        <v>110.033909</v>
      </c>
      <c r="H316" s="8">
        <f>G316*1.055</f>
        <v>116.08577399499998</v>
      </c>
    </row>
    <row r="317" spans="1:8" ht="25.5">
      <c r="A317" s="216"/>
      <c r="B317" s="136" t="s">
        <v>29</v>
      </c>
      <c r="C317" s="194"/>
      <c r="D317" s="194"/>
      <c r="E317" s="8">
        <f t="shared" si="32"/>
        <v>282.615025695</v>
      </c>
      <c r="F317" s="8">
        <v>87.729</v>
      </c>
      <c r="G317" s="8">
        <f>F317*1.081</f>
        <v>94.835049</v>
      </c>
      <c r="H317" s="8">
        <f>G317*1.055</f>
        <v>100.05097669499999</v>
      </c>
    </row>
    <row r="318" spans="1:8" ht="38.25">
      <c r="A318" s="216"/>
      <c r="B318" s="43" t="s">
        <v>118</v>
      </c>
      <c r="C318" s="194"/>
      <c r="D318" s="194"/>
      <c r="E318" s="90">
        <f t="shared" si="32"/>
        <v>280.63191165</v>
      </c>
      <c r="F318" s="90">
        <v>87.729</v>
      </c>
      <c r="G318" s="90">
        <f>F318*1.07</f>
        <v>93.87003</v>
      </c>
      <c r="H318" s="90">
        <f>G318*1.055</f>
        <v>99.03288165</v>
      </c>
    </row>
    <row r="319" spans="1:8" ht="12.75">
      <c r="A319" s="239" t="s">
        <v>80</v>
      </c>
      <c r="B319" s="7"/>
      <c r="C319" s="194" t="s">
        <v>38</v>
      </c>
      <c r="D319" s="194" t="s">
        <v>19</v>
      </c>
      <c r="E319" s="6">
        <f t="shared" si="32"/>
        <v>496.905806185</v>
      </c>
      <c r="F319" s="6">
        <f>SUM(F320:F322)</f>
        <v>223.207</v>
      </c>
      <c r="G319" s="6">
        <f>SUM(G320:G321)</f>
        <v>133.186767</v>
      </c>
      <c r="H319" s="6">
        <f>SUM(H320:H321)</f>
        <v>140.512039185</v>
      </c>
    </row>
    <row r="320" spans="1:8" ht="25.5">
      <c r="A320" s="223"/>
      <c r="B320" s="78" t="s">
        <v>30</v>
      </c>
      <c r="C320" s="194"/>
      <c r="D320" s="194"/>
      <c r="E320" s="8">
        <f t="shared" si="32"/>
        <v>12.425151935</v>
      </c>
      <c r="F320" s="8">
        <v>3.857</v>
      </c>
      <c r="G320" s="8">
        <f>F320*1.081</f>
        <v>4.169417</v>
      </c>
      <c r="H320" s="8">
        <f>G320*1.055</f>
        <v>4.398734935</v>
      </c>
    </row>
    <row r="321" spans="1:8" ht="12.75">
      <c r="A321" s="223"/>
      <c r="B321" s="78" t="s">
        <v>31</v>
      </c>
      <c r="C321" s="194"/>
      <c r="D321" s="194"/>
      <c r="E321" s="8">
        <f t="shared" si="32"/>
        <v>384.48065425</v>
      </c>
      <c r="F321" s="8">
        <v>119.35</v>
      </c>
      <c r="G321" s="8">
        <f>F321*1.081</f>
        <v>129.01735</v>
      </c>
      <c r="H321" s="8">
        <f>G321*1.055</f>
        <v>136.11330425</v>
      </c>
    </row>
    <row r="322" spans="1:8" ht="25.5">
      <c r="A322" s="224"/>
      <c r="B322" s="113" t="s">
        <v>368</v>
      </c>
      <c r="C322" s="5"/>
      <c r="D322" s="5"/>
      <c r="E322" s="8">
        <f>F322</f>
        <v>100</v>
      </c>
      <c r="F322" s="8">
        <v>100</v>
      </c>
      <c r="G322" s="8"/>
      <c r="H322" s="8"/>
    </row>
    <row r="323" spans="1:8" ht="12.75">
      <c r="A323" s="234" t="s">
        <v>79</v>
      </c>
      <c r="B323" s="78"/>
      <c r="C323" s="194" t="s">
        <v>38</v>
      </c>
      <c r="D323" s="194" t="s">
        <v>19</v>
      </c>
      <c r="E323" s="6">
        <f aca="true" t="shared" si="33" ref="E323:E345">F323+G323+H323</f>
        <v>580.53049685</v>
      </c>
      <c r="F323" s="6">
        <f>SUM(F324)</f>
        <v>181.481</v>
      </c>
      <c r="G323" s="6">
        <f>SUM(G324)</f>
        <v>194.18467</v>
      </c>
      <c r="H323" s="6">
        <f>SUM(H324)</f>
        <v>204.86482685</v>
      </c>
    </row>
    <row r="324" spans="1:8" ht="47.25" customHeight="1">
      <c r="A324" s="236"/>
      <c r="B324" s="114" t="s">
        <v>37</v>
      </c>
      <c r="C324" s="194"/>
      <c r="D324" s="194"/>
      <c r="E324" s="8">
        <f t="shared" si="33"/>
        <v>580.53049685</v>
      </c>
      <c r="F324" s="137">
        <f>73.786+107.695</f>
        <v>181.481</v>
      </c>
      <c r="G324" s="8">
        <f>F324*1.07</f>
        <v>194.18467</v>
      </c>
      <c r="H324" s="8">
        <f>G324*1.055</f>
        <v>204.86482685</v>
      </c>
    </row>
    <row r="325" spans="1:8" ht="12.75">
      <c r="A325" s="216" t="s">
        <v>209</v>
      </c>
      <c r="B325" s="78"/>
      <c r="C325" s="5"/>
      <c r="D325" s="5"/>
      <c r="E325" s="6">
        <f t="shared" si="33"/>
        <v>1860.0938886400002</v>
      </c>
      <c r="F325" s="6">
        <f>SUM(F327+F326)</f>
        <v>577.408</v>
      </c>
      <c r="G325" s="6">
        <f>SUM(G327+G326)</f>
        <v>624.178048</v>
      </c>
      <c r="H325" s="6">
        <f>SUM(H327+H326)</f>
        <v>658.50784064</v>
      </c>
    </row>
    <row r="326" spans="1:9" ht="37.5" customHeight="1">
      <c r="A326" s="216"/>
      <c r="B326" s="78" t="s">
        <v>126</v>
      </c>
      <c r="C326" s="5" t="s">
        <v>38</v>
      </c>
      <c r="D326" s="5" t="s">
        <v>19</v>
      </c>
      <c r="E326" s="8">
        <f t="shared" si="33"/>
        <v>644.17502762</v>
      </c>
      <c r="F326" s="8">
        <v>199.964</v>
      </c>
      <c r="G326" s="8">
        <f>F326*1.081</f>
        <v>216.161084</v>
      </c>
      <c r="H326" s="8">
        <f>G326*1.055</f>
        <v>228.04994361999996</v>
      </c>
      <c r="I326" s="1"/>
    </row>
    <row r="327" spans="1:9" ht="37.5" customHeight="1">
      <c r="A327" s="266"/>
      <c r="B327" s="7" t="s">
        <v>226</v>
      </c>
      <c r="C327" s="5" t="s">
        <v>38</v>
      </c>
      <c r="D327" s="5" t="s">
        <v>19</v>
      </c>
      <c r="E327" s="8">
        <f t="shared" si="33"/>
        <v>1215.9188610200001</v>
      </c>
      <c r="F327" s="8">
        <v>377.444</v>
      </c>
      <c r="G327" s="8">
        <f>F327*1.081</f>
        <v>408.01696400000003</v>
      </c>
      <c r="H327" s="8">
        <f>G327*1.055</f>
        <v>430.45789702</v>
      </c>
      <c r="I327" s="1"/>
    </row>
    <row r="328" spans="1:9" ht="41.25" customHeight="1">
      <c r="A328" s="216" t="s">
        <v>210</v>
      </c>
      <c r="B328" s="78"/>
      <c r="C328" s="5"/>
      <c r="D328" s="5"/>
      <c r="E328" s="6">
        <f t="shared" si="33"/>
        <v>3609.2376456250004</v>
      </c>
      <c r="F328" s="6">
        <f>SUM(F330+F329)</f>
        <v>1120.375</v>
      </c>
      <c r="G328" s="6">
        <f>SUM(G330+G329)</f>
        <v>1211.125375</v>
      </c>
      <c r="H328" s="6">
        <f>SUM(H330+H329)</f>
        <v>1277.737270625</v>
      </c>
      <c r="I328" s="1"/>
    </row>
    <row r="329" spans="1:9" ht="37.5" customHeight="1">
      <c r="A329" s="216"/>
      <c r="B329" s="7" t="s">
        <v>227</v>
      </c>
      <c r="C329" s="5" t="s">
        <v>38</v>
      </c>
      <c r="D329" s="5" t="s">
        <v>19</v>
      </c>
      <c r="E329" s="8">
        <f t="shared" si="33"/>
        <v>2789.003659345</v>
      </c>
      <c r="F329" s="8">
        <v>865.759</v>
      </c>
      <c r="G329" s="8">
        <f>F329*1.081</f>
        <v>935.885479</v>
      </c>
      <c r="H329" s="8">
        <f>G329*1.055</f>
        <v>987.359180345</v>
      </c>
      <c r="I329" s="1"/>
    </row>
    <row r="330" spans="1:9" ht="37.5" customHeight="1">
      <c r="A330" s="266"/>
      <c r="B330" s="7" t="s">
        <v>228</v>
      </c>
      <c r="C330" s="5" t="s">
        <v>38</v>
      </c>
      <c r="D330" s="5" t="s">
        <v>19</v>
      </c>
      <c r="E330" s="8">
        <f t="shared" si="33"/>
        <v>820.23398628</v>
      </c>
      <c r="F330" s="8">
        <v>254.616</v>
      </c>
      <c r="G330" s="8">
        <f>F330*1.081</f>
        <v>275.239896</v>
      </c>
      <c r="H330" s="8">
        <f>G330*1.055</f>
        <v>290.37809028</v>
      </c>
      <c r="I330" s="1"/>
    </row>
    <row r="331" spans="1:9" ht="12.75">
      <c r="A331" s="239" t="s">
        <v>211</v>
      </c>
      <c r="B331" s="78"/>
      <c r="C331" s="5"/>
      <c r="D331" s="5"/>
      <c r="E331" s="6">
        <f>SUM(E332+E333)</f>
        <v>535.2988995000001</v>
      </c>
      <c r="F331" s="6">
        <f>SUM(F332+F333)</f>
        <v>199</v>
      </c>
      <c r="G331" s="6">
        <f>SUM(G332+G333)</f>
        <v>106.9109</v>
      </c>
      <c r="H331" s="6">
        <f>SUM(H332+H333)</f>
        <v>112.7909995</v>
      </c>
      <c r="I331" s="1"/>
    </row>
    <row r="332" spans="1:9" ht="38.25">
      <c r="A332" s="223"/>
      <c r="B332" s="78" t="s">
        <v>229</v>
      </c>
      <c r="C332" s="5" t="s">
        <v>38</v>
      </c>
      <c r="D332" s="5" t="s">
        <v>19</v>
      </c>
      <c r="E332" s="8">
        <f t="shared" si="33"/>
        <v>318.6018995</v>
      </c>
      <c r="F332" s="8">
        <v>98.9</v>
      </c>
      <c r="G332" s="8">
        <f>F332*1.081</f>
        <v>106.9109</v>
      </c>
      <c r="H332" s="8">
        <f>G332*1.055</f>
        <v>112.7909995</v>
      </c>
      <c r="I332" s="1"/>
    </row>
    <row r="333" spans="1:9" ht="37.5" customHeight="1">
      <c r="A333" s="206"/>
      <c r="B333" s="78" t="s">
        <v>347</v>
      </c>
      <c r="C333" s="5" t="s">
        <v>38</v>
      </c>
      <c r="D333" s="5" t="s">
        <v>19</v>
      </c>
      <c r="E333" s="8">
        <v>216.697</v>
      </c>
      <c r="F333" s="8">
        <v>100.1</v>
      </c>
      <c r="G333" s="8"/>
      <c r="H333" s="8"/>
      <c r="I333" s="1"/>
    </row>
    <row r="334" spans="1:9" ht="37.5" customHeight="1">
      <c r="A334" s="258" t="s">
        <v>78</v>
      </c>
      <c r="B334" s="78"/>
      <c r="C334" s="229" t="s">
        <v>38</v>
      </c>
      <c r="D334" s="229" t="s">
        <v>19</v>
      </c>
      <c r="E334" s="6">
        <f t="shared" si="33"/>
        <v>7177.352158499999</v>
      </c>
      <c r="F334" s="6">
        <f>F335</f>
        <v>5158.715999999999</v>
      </c>
      <c r="G334" s="6">
        <f>G335</f>
        <v>982.3047</v>
      </c>
      <c r="H334" s="6">
        <f>H335</f>
        <v>1036.3314585</v>
      </c>
      <c r="I334" s="1"/>
    </row>
    <row r="335" spans="1:9" ht="29.25" customHeight="1">
      <c r="A335" s="258"/>
      <c r="B335" s="78" t="s">
        <v>264</v>
      </c>
      <c r="C335" s="238"/>
      <c r="D335" s="238"/>
      <c r="E335" s="83">
        <f t="shared" si="33"/>
        <v>7177.352158499999</v>
      </c>
      <c r="F335" s="83">
        <f>F336+F337+F338</f>
        <v>5158.715999999999</v>
      </c>
      <c r="G335" s="83">
        <f>G336+G337+G338</f>
        <v>982.3047</v>
      </c>
      <c r="H335" s="83">
        <f>H336+H337+H338</f>
        <v>1036.3314585</v>
      </c>
      <c r="I335" s="1"/>
    </row>
    <row r="336" spans="1:9" ht="18" customHeight="1">
      <c r="A336" s="258"/>
      <c r="B336" s="110" t="s">
        <v>359</v>
      </c>
      <c r="C336" s="238"/>
      <c r="D336" s="238"/>
      <c r="E336" s="83">
        <f>F336+G336+H336</f>
        <v>2927.3361585000002</v>
      </c>
      <c r="F336" s="83">
        <v>908.7</v>
      </c>
      <c r="G336" s="83">
        <f>F336*1.081</f>
        <v>982.3047</v>
      </c>
      <c r="H336" s="83">
        <f>G336*1.055</f>
        <v>1036.3314585</v>
      </c>
      <c r="I336" s="1"/>
    </row>
    <row r="337" spans="1:9" ht="29.25" customHeight="1">
      <c r="A337" s="258"/>
      <c r="B337" s="110" t="s">
        <v>349</v>
      </c>
      <c r="C337" s="238"/>
      <c r="D337" s="238"/>
      <c r="E337" s="83">
        <v>1518.696</v>
      </c>
      <c r="F337" s="83">
        <f>1092.528+1638.792</f>
        <v>2731.3199999999997</v>
      </c>
      <c r="G337" s="83"/>
      <c r="H337" s="83"/>
      <c r="I337" s="1"/>
    </row>
    <row r="338" spans="1:9" ht="38.25">
      <c r="A338" s="264"/>
      <c r="B338" s="138" t="s">
        <v>348</v>
      </c>
      <c r="C338" s="230"/>
      <c r="D338" s="230"/>
      <c r="E338" s="77">
        <f>F338+G338+H338</f>
        <v>1518.696</v>
      </c>
      <c r="F338" s="77">
        <f>1265.586+253.11</f>
        <v>1518.696</v>
      </c>
      <c r="G338" s="77"/>
      <c r="H338" s="77"/>
      <c r="I338" s="1" t="s">
        <v>252</v>
      </c>
    </row>
    <row r="339" spans="1:10" ht="12.75">
      <c r="A339" s="234" t="s">
        <v>63</v>
      </c>
      <c r="B339" s="78"/>
      <c r="C339" s="229" t="s">
        <v>40</v>
      </c>
      <c r="D339" s="229" t="s">
        <v>19</v>
      </c>
      <c r="E339" s="6">
        <f t="shared" si="33"/>
        <v>2615.8085741799996</v>
      </c>
      <c r="F339" s="6">
        <f>SUM(F340:F345)</f>
        <v>811.9960000000001</v>
      </c>
      <c r="G339" s="6">
        <f>SUM(G340:G345)</f>
        <v>877.7676759999999</v>
      </c>
      <c r="H339" s="6">
        <f>SUM(H340:H345)</f>
        <v>926.0448981799998</v>
      </c>
      <c r="J339" s="1">
        <v>100203</v>
      </c>
    </row>
    <row r="340" spans="1:10" ht="12.75" customHeight="1">
      <c r="A340" s="235"/>
      <c r="B340" s="78" t="s">
        <v>42</v>
      </c>
      <c r="C340" s="238"/>
      <c r="D340" s="238"/>
      <c r="E340" s="8">
        <f t="shared" si="33"/>
        <v>405.43944048000003</v>
      </c>
      <c r="F340" s="8">
        <v>125.856</v>
      </c>
      <c r="G340" s="8">
        <f aca="true" t="shared" si="34" ref="G340:G345">F340*1.081</f>
        <v>136.050336</v>
      </c>
      <c r="H340" s="8">
        <f aca="true" t="shared" si="35" ref="H340:H345">G340*1.055</f>
        <v>143.53310448</v>
      </c>
      <c r="I340" s="52">
        <f>F339+F346+F354+F359+F361+F365+F369+F371+F373+F375</f>
        <v>9010.389</v>
      </c>
      <c r="J340" s="24"/>
    </row>
    <row r="341" spans="1:8" ht="12.75" customHeight="1">
      <c r="A341" s="235"/>
      <c r="B341" s="78" t="s">
        <v>128</v>
      </c>
      <c r="C341" s="238"/>
      <c r="D341" s="238"/>
      <c r="E341" s="8">
        <f t="shared" si="33"/>
        <v>157.32297638</v>
      </c>
      <c r="F341" s="8">
        <v>48.836</v>
      </c>
      <c r="G341" s="8">
        <f t="shared" si="34"/>
        <v>52.791715999999994</v>
      </c>
      <c r="H341" s="8">
        <f t="shared" si="35"/>
        <v>55.69526037999999</v>
      </c>
    </row>
    <row r="342" spans="1:8" ht="12.75" customHeight="1">
      <c r="A342" s="235"/>
      <c r="B342" s="78" t="s">
        <v>161</v>
      </c>
      <c r="C342" s="238"/>
      <c r="D342" s="238"/>
      <c r="E342" s="8">
        <f t="shared" si="33"/>
        <v>718.117084235</v>
      </c>
      <c r="F342" s="8">
        <f>59.137+163.78</f>
        <v>222.917</v>
      </c>
      <c r="G342" s="8">
        <f t="shared" si="34"/>
        <v>240.973277</v>
      </c>
      <c r="H342" s="8">
        <f t="shared" si="35"/>
        <v>254.22680723499997</v>
      </c>
    </row>
    <row r="343" spans="1:8" ht="38.25">
      <c r="A343" s="235"/>
      <c r="B343" s="78" t="s">
        <v>111</v>
      </c>
      <c r="C343" s="238"/>
      <c r="D343" s="238"/>
      <c r="E343" s="8">
        <f t="shared" si="33"/>
        <v>254.06649148500003</v>
      </c>
      <c r="F343" s="8">
        <v>78.867</v>
      </c>
      <c r="G343" s="8">
        <f t="shared" si="34"/>
        <v>85.255227</v>
      </c>
      <c r="H343" s="8">
        <f t="shared" si="35"/>
        <v>89.944264485</v>
      </c>
    </row>
    <row r="344" spans="1:8" ht="25.5">
      <c r="A344" s="87"/>
      <c r="B344" s="78" t="s">
        <v>198</v>
      </c>
      <c r="C344" s="88"/>
      <c r="D344" s="88"/>
      <c r="E344" s="8">
        <f t="shared" si="33"/>
        <v>166.57177368499998</v>
      </c>
      <c r="F344" s="8">
        <v>51.707</v>
      </c>
      <c r="G344" s="8">
        <f t="shared" si="34"/>
        <v>55.895267</v>
      </c>
      <c r="H344" s="8">
        <f t="shared" si="35"/>
        <v>58.96950668499999</v>
      </c>
    </row>
    <row r="345" spans="1:8" ht="25.5">
      <c r="A345" s="87"/>
      <c r="B345" s="78" t="s">
        <v>328</v>
      </c>
      <c r="C345" s="88"/>
      <c r="D345" s="88"/>
      <c r="E345" s="8">
        <f t="shared" si="33"/>
        <v>914.290807915</v>
      </c>
      <c r="F345" s="8">
        <f>87+196.813</f>
        <v>283.813</v>
      </c>
      <c r="G345" s="8">
        <f t="shared" si="34"/>
        <v>306.801853</v>
      </c>
      <c r="H345" s="8">
        <f t="shared" si="35"/>
        <v>323.675954915</v>
      </c>
    </row>
    <row r="346" spans="1:8" ht="12.75">
      <c r="A346" s="234" t="s">
        <v>73</v>
      </c>
      <c r="B346" s="78"/>
      <c r="C346" s="229" t="s">
        <v>40</v>
      </c>
      <c r="D346" s="229" t="s">
        <v>19</v>
      </c>
      <c r="E346" s="6">
        <f>F346+G346+H346</f>
        <v>1555.1348510649998</v>
      </c>
      <c r="F346" s="6">
        <f>SUM(F347:F353)</f>
        <v>482.743</v>
      </c>
      <c r="G346" s="6">
        <f>SUM(G347:G353)</f>
        <v>521.8451829999999</v>
      </c>
      <c r="H346" s="6">
        <f>SUM(H347:H353)</f>
        <v>550.546668065</v>
      </c>
    </row>
    <row r="347" spans="1:8" ht="12.75" customHeight="1">
      <c r="A347" s="235"/>
      <c r="B347" s="78" t="s">
        <v>39</v>
      </c>
      <c r="C347" s="238"/>
      <c r="D347" s="238"/>
      <c r="E347" s="8">
        <f aca="true" t="shared" si="36" ref="E347:E364">F347+G347+H347</f>
        <v>319.08511775</v>
      </c>
      <c r="F347" s="8">
        <v>99.05</v>
      </c>
      <c r="G347" s="8">
        <f>F347*1.081</f>
        <v>107.07305</v>
      </c>
      <c r="H347" s="8">
        <f>G347*1.055</f>
        <v>112.96206774999999</v>
      </c>
    </row>
    <row r="348" spans="1:8" ht="51">
      <c r="A348" s="235"/>
      <c r="B348" s="78" t="s">
        <v>329</v>
      </c>
      <c r="C348" s="238"/>
      <c r="D348" s="238"/>
      <c r="E348" s="8">
        <f t="shared" si="36"/>
        <v>172.80528911000002</v>
      </c>
      <c r="F348" s="8">
        <v>53.642</v>
      </c>
      <c r="G348" s="8">
        <f aca="true" t="shared" si="37" ref="G348:G353">F348*1.081</f>
        <v>57.987002000000004</v>
      </c>
      <c r="H348" s="8">
        <f aca="true" t="shared" si="38" ref="H348:H353">G348*1.055</f>
        <v>61.176287110000004</v>
      </c>
    </row>
    <row r="349" spans="1:8" ht="25.5">
      <c r="A349" s="235"/>
      <c r="B349" s="78" t="s">
        <v>28</v>
      </c>
      <c r="C349" s="238"/>
      <c r="D349" s="238"/>
      <c r="E349" s="8">
        <f t="shared" si="36"/>
        <v>171.27831944</v>
      </c>
      <c r="F349" s="8">
        <v>53.168</v>
      </c>
      <c r="G349" s="8">
        <f t="shared" si="37"/>
        <v>57.474607999999996</v>
      </c>
      <c r="H349" s="8">
        <f t="shared" si="38"/>
        <v>60.635711439999994</v>
      </c>
    </row>
    <row r="350" spans="1:8" ht="25.5">
      <c r="A350" s="235"/>
      <c r="B350" s="78" t="s">
        <v>29</v>
      </c>
      <c r="C350" s="238"/>
      <c r="D350" s="238"/>
      <c r="E350" s="8">
        <f t="shared" si="36"/>
        <v>511.9536285999999</v>
      </c>
      <c r="F350" s="8">
        <f>100.258+58.662</f>
        <v>158.92</v>
      </c>
      <c r="G350" s="8">
        <f>F350*1.081</f>
        <v>171.79251999999997</v>
      </c>
      <c r="H350" s="8">
        <f>G350*1.055</f>
        <v>181.24110859999996</v>
      </c>
    </row>
    <row r="351" spans="1:8" ht="25.5">
      <c r="A351" s="235"/>
      <c r="B351" s="78" t="s">
        <v>169</v>
      </c>
      <c r="C351" s="238"/>
      <c r="D351" s="238"/>
      <c r="E351" s="8">
        <f t="shared" si="36"/>
        <v>123.65232871999999</v>
      </c>
      <c r="F351" s="8">
        <v>38.384</v>
      </c>
      <c r="G351" s="8">
        <f t="shared" si="37"/>
        <v>41.493103999999995</v>
      </c>
      <c r="H351" s="8">
        <f t="shared" si="38"/>
        <v>43.77522471999999</v>
      </c>
    </row>
    <row r="352" spans="1:8" ht="25.5">
      <c r="A352" s="235"/>
      <c r="B352" s="78" t="s">
        <v>123</v>
      </c>
      <c r="C352" s="238"/>
      <c r="D352" s="238"/>
      <c r="E352" s="8">
        <f t="shared" si="36"/>
        <v>101.4758325</v>
      </c>
      <c r="F352" s="8">
        <v>31.5</v>
      </c>
      <c r="G352" s="8">
        <f t="shared" si="37"/>
        <v>34.0515</v>
      </c>
      <c r="H352" s="8">
        <f t="shared" si="38"/>
        <v>35.9243325</v>
      </c>
    </row>
    <row r="353" spans="1:8" ht="12.75">
      <c r="A353" s="236"/>
      <c r="B353" s="78" t="s">
        <v>158</v>
      </c>
      <c r="C353" s="238"/>
      <c r="D353" s="238"/>
      <c r="E353" s="8">
        <f t="shared" si="36"/>
        <v>154.884334945</v>
      </c>
      <c r="F353" s="8">
        <v>48.079</v>
      </c>
      <c r="G353" s="8">
        <f t="shared" si="37"/>
        <v>51.973399</v>
      </c>
      <c r="H353" s="8">
        <f t="shared" si="38"/>
        <v>54.831935945</v>
      </c>
    </row>
    <row r="354" spans="1:8" ht="12.75">
      <c r="A354" s="234" t="s">
        <v>80</v>
      </c>
      <c r="B354" s="7"/>
      <c r="C354" s="229" t="s">
        <v>40</v>
      </c>
      <c r="D354" s="229" t="s">
        <v>19</v>
      </c>
      <c r="E354" s="6">
        <f t="shared" si="36"/>
        <v>689.459020555</v>
      </c>
      <c r="F354" s="6">
        <f>SUM(F355:F358)</f>
        <v>214.02100000000002</v>
      </c>
      <c r="G354" s="6">
        <f>SUM(G355:G358)</f>
        <v>231.356701</v>
      </c>
      <c r="H354" s="6">
        <f>SUM(H355:H358)</f>
        <v>244.081319555</v>
      </c>
    </row>
    <row r="355" spans="1:8" ht="12.75" customHeight="1">
      <c r="A355" s="235"/>
      <c r="B355" s="78" t="s">
        <v>43</v>
      </c>
      <c r="C355" s="238"/>
      <c r="D355" s="238"/>
      <c r="E355" s="8">
        <f t="shared" si="36"/>
        <v>9.545171165</v>
      </c>
      <c r="F355" s="8">
        <v>2.963</v>
      </c>
      <c r="G355" s="8">
        <f>F355*1.081</f>
        <v>3.203003</v>
      </c>
      <c r="H355" s="8">
        <f>G355*1.055</f>
        <v>3.379168165</v>
      </c>
    </row>
    <row r="356" spans="1:8" ht="25.5">
      <c r="A356" s="235"/>
      <c r="B356" s="78" t="s">
        <v>30</v>
      </c>
      <c r="C356" s="238"/>
      <c r="D356" s="238"/>
      <c r="E356" s="8">
        <f t="shared" si="36"/>
        <v>20.601204724999995</v>
      </c>
      <c r="F356" s="8">
        <v>6.395</v>
      </c>
      <c r="G356" s="8">
        <f>F356*1.081</f>
        <v>6.912995</v>
      </c>
      <c r="H356" s="8">
        <f>G356*1.055</f>
        <v>7.293209724999999</v>
      </c>
    </row>
    <row r="357" spans="1:8" ht="12.75">
      <c r="A357" s="235"/>
      <c r="B357" s="78" t="s">
        <v>31</v>
      </c>
      <c r="C357" s="238"/>
      <c r="D357" s="238"/>
      <c r="E357" s="8">
        <f t="shared" si="36"/>
        <v>337.16714466499997</v>
      </c>
      <c r="F357" s="8">
        <v>104.663</v>
      </c>
      <c r="G357" s="8">
        <f>F357*1.081</f>
        <v>113.14070299999999</v>
      </c>
      <c r="H357" s="8">
        <f>G357*1.055</f>
        <v>119.36344166499998</v>
      </c>
    </row>
    <row r="358" spans="1:8" ht="18.75" customHeight="1">
      <c r="A358" s="236"/>
      <c r="B358" s="113" t="s">
        <v>368</v>
      </c>
      <c r="C358" s="230"/>
      <c r="D358" s="230"/>
      <c r="E358" s="8">
        <f t="shared" si="36"/>
        <v>322.14549999999997</v>
      </c>
      <c r="F358" s="8">
        <v>100</v>
      </c>
      <c r="G358" s="8">
        <f>F358*1.081</f>
        <v>108.1</v>
      </c>
      <c r="H358" s="8">
        <f>G358*1.055</f>
        <v>114.04549999999999</v>
      </c>
    </row>
    <row r="359" spans="1:8" ht="37.5" customHeight="1">
      <c r="A359" s="216" t="s">
        <v>68</v>
      </c>
      <c r="B359" s="7"/>
      <c r="C359" s="194" t="s">
        <v>40</v>
      </c>
      <c r="D359" s="194" t="s">
        <v>19</v>
      </c>
      <c r="E359" s="6">
        <f t="shared" si="36"/>
        <v>3.1119255299999997</v>
      </c>
      <c r="F359" s="6">
        <f>SUM(F360)</f>
        <v>0.966</v>
      </c>
      <c r="G359" s="6">
        <f>SUM(G360)</f>
        <v>1.044246</v>
      </c>
      <c r="H359" s="6">
        <f>SUM(H360)</f>
        <v>1.10167953</v>
      </c>
    </row>
    <row r="360" spans="1:8" ht="38.25">
      <c r="A360" s="216"/>
      <c r="B360" s="7" t="s">
        <v>44</v>
      </c>
      <c r="C360" s="194"/>
      <c r="D360" s="194"/>
      <c r="E360" s="8">
        <f t="shared" si="36"/>
        <v>3.1119255299999997</v>
      </c>
      <c r="F360" s="8">
        <v>0.966</v>
      </c>
      <c r="G360" s="8">
        <f>F360*1.081</f>
        <v>1.044246</v>
      </c>
      <c r="H360" s="8">
        <f>G360*1.055</f>
        <v>1.10167953</v>
      </c>
    </row>
    <row r="361" spans="1:8" ht="12.75">
      <c r="A361" s="234" t="s">
        <v>79</v>
      </c>
      <c r="B361" s="78"/>
      <c r="C361" s="229" t="s">
        <v>40</v>
      </c>
      <c r="D361" s="229" t="s">
        <v>19</v>
      </c>
      <c r="E361" s="6">
        <f>F361+G361+H361</f>
        <v>637.7514463499999</v>
      </c>
      <c r="F361" s="6">
        <f>SUM(F362:F364)</f>
        <v>197.97</v>
      </c>
      <c r="G361" s="6">
        <f>SUM(G362:G364)</f>
        <v>214.00556999999998</v>
      </c>
      <c r="H361" s="6">
        <f>SUM(H362:H364)</f>
        <v>225.77587634999998</v>
      </c>
    </row>
    <row r="362" spans="1:8" ht="15.75" customHeight="1">
      <c r="A362" s="235"/>
      <c r="B362" s="114" t="s">
        <v>129</v>
      </c>
      <c r="C362" s="238"/>
      <c r="D362" s="238"/>
      <c r="E362" s="8">
        <f t="shared" si="36"/>
        <v>148.138608175</v>
      </c>
      <c r="F362" s="137">
        <v>45.985</v>
      </c>
      <c r="G362" s="8">
        <f>F362*1.081</f>
        <v>49.709785</v>
      </c>
      <c r="H362" s="8">
        <f>G362*1.055</f>
        <v>52.44382317499999</v>
      </c>
    </row>
    <row r="363" spans="1:8" ht="25.5">
      <c r="A363" s="235"/>
      <c r="B363" s="114" t="s">
        <v>170</v>
      </c>
      <c r="C363" s="238"/>
      <c r="D363" s="238"/>
      <c r="E363" s="8">
        <f t="shared" si="36"/>
        <v>470.992828275</v>
      </c>
      <c r="F363" s="137">
        <v>146.205</v>
      </c>
      <c r="G363" s="8">
        <f>F363*1.081</f>
        <v>158.047605</v>
      </c>
      <c r="H363" s="8">
        <f>G363*1.055</f>
        <v>166.740223275</v>
      </c>
    </row>
    <row r="364" spans="1:8" ht="12.75">
      <c r="A364" s="236"/>
      <c r="B364" s="114" t="s">
        <v>171</v>
      </c>
      <c r="C364" s="230"/>
      <c r="D364" s="230"/>
      <c r="E364" s="8">
        <f t="shared" si="36"/>
        <v>18.6200099</v>
      </c>
      <c r="F364" s="137">
        <v>5.78</v>
      </c>
      <c r="G364" s="8">
        <f>F364*1.081</f>
        <v>6.24818</v>
      </c>
      <c r="H364" s="8">
        <f>G364*1.055</f>
        <v>6.5918299</v>
      </c>
    </row>
    <row r="365" spans="1:8" ht="12.75">
      <c r="A365" s="265" t="s">
        <v>253</v>
      </c>
      <c r="B365" s="129"/>
      <c r="C365" s="252" t="s">
        <v>40</v>
      </c>
      <c r="D365" s="252" t="s">
        <v>19</v>
      </c>
      <c r="E365" s="139">
        <f>E366+E367+E368</f>
        <v>4315.657626755</v>
      </c>
      <c r="F365" s="139">
        <f>F366+F367+F368</f>
        <v>1339.661</v>
      </c>
      <c r="G365" s="139">
        <f>G366+G367+G368</f>
        <v>1448.1735410000001</v>
      </c>
      <c r="H365" s="139">
        <f>H366+H367+H368</f>
        <v>1527.823085755</v>
      </c>
    </row>
    <row r="366" spans="1:9" ht="24.75" customHeight="1">
      <c r="A366" s="265"/>
      <c r="B366" s="129" t="s">
        <v>42</v>
      </c>
      <c r="C366" s="252"/>
      <c r="D366" s="252"/>
      <c r="E366" s="140">
        <f aca="true" t="shared" si="39" ref="E366:E374">F366+G366+H366</f>
        <v>832.6172592999999</v>
      </c>
      <c r="F366" s="140">
        <v>258.46</v>
      </c>
      <c r="G366" s="140">
        <f>F366*1.081</f>
        <v>279.39525999999995</v>
      </c>
      <c r="H366" s="140">
        <f>G366*1.055</f>
        <v>294.76199929999996</v>
      </c>
      <c r="I366" s="1"/>
    </row>
    <row r="367" spans="1:9" ht="24.75" customHeight="1">
      <c r="A367" s="265"/>
      <c r="B367" s="129" t="s">
        <v>128</v>
      </c>
      <c r="C367" s="252"/>
      <c r="D367" s="252"/>
      <c r="E367" s="140">
        <f t="shared" si="39"/>
        <v>2698.2262788999997</v>
      </c>
      <c r="F367" s="140">
        <v>837.58</v>
      </c>
      <c r="G367" s="140">
        <f>F367*1.081</f>
        <v>905.42398</v>
      </c>
      <c r="H367" s="140">
        <f>G367*1.055</f>
        <v>955.2222988999999</v>
      </c>
      <c r="I367" s="1"/>
    </row>
    <row r="368" spans="1:9" ht="12.75" customHeight="1">
      <c r="A368" s="265"/>
      <c r="B368" s="130" t="s">
        <v>31</v>
      </c>
      <c r="C368" s="252"/>
      <c r="D368" s="252"/>
      <c r="E368" s="140">
        <f t="shared" si="39"/>
        <v>784.8140885550001</v>
      </c>
      <c r="F368" s="140">
        <v>243.621</v>
      </c>
      <c r="G368" s="140">
        <f>F368*1.081</f>
        <v>263.354301</v>
      </c>
      <c r="H368" s="140">
        <f>G368*1.055</f>
        <v>277.838787555</v>
      </c>
      <c r="I368" s="1"/>
    </row>
    <row r="369" spans="1:9" ht="30" customHeight="1">
      <c r="A369" s="269" t="s">
        <v>230</v>
      </c>
      <c r="B369" s="141"/>
      <c r="C369" s="204" t="s">
        <v>40</v>
      </c>
      <c r="D369" s="256" t="s">
        <v>19</v>
      </c>
      <c r="E369" s="139">
        <f t="shared" si="39"/>
        <v>80.107</v>
      </c>
      <c r="F369" s="139">
        <f>F370</f>
        <v>80.107</v>
      </c>
      <c r="G369" s="139">
        <f>G370</f>
        <v>0</v>
      </c>
      <c r="H369" s="139">
        <f>H370</f>
        <v>0</v>
      </c>
      <c r="I369" s="1"/>
    </row>
    <row r="370" spans="1:9" ht="12.75" customHeight="1">
      <c r="A370" s="270"/>
      <c r="B370" s="141" t="s">
        <v>231</v>
      </c>
      <c r="C370" s="205"/>
      <c r="D370" s="268"/>
      <c r="E370" s="140">
        <f t="shared" si="39"/>
        <v>80.107</v>
      </c>
      <c r="F370" s="140">
        <v>80.107</v>
      </c>
      <c r="G370" s="140"/>
      <c r="H370" s="140"/>
      <c r="I370" s="1"/>
    </row>
    <row r="371" spans="1:9" ht="80.25" customHeight="1">
      <c r="A371" s="269" t="s">
        <v>232</v>
      </c>
      <c r="B371" s="142"/>
      <c r="C371" s="252" t="s">
        <v>40</v>
      </c>
      <c r="D371" s="252" t="s">
        <v>19</v>
      </c>
      <c r="E371" s="139">
        <f t="shared" si="39"/>
        <v>6741.18451845</v>
      </c>
      <c r="F371" s="139">
        <f>F372</f>
        <v>2092.59</v>
      </c>
      <c r="G371" s="139">
        <f>G372</f>
        <v>2262.08979</v>
      </c>
      <c r="H371" s="139">
        <f>H372</f>
        <v>2386.5047284499997</v>
      </c>
      <c r="I371" s="1"/>
    </row>
    <row r="372" spans="1:9" ht="12.75" customHeight="1">
      <c r="A372" s="270"/>
      <c r="B372" s="143" t="s">
        <v>233</v>
      </c>
      <c r="C372" s="271"/>
      <c r="D372" s="252"/>
      <c r="E372" s="140">
        <f t="shared" si="39"/>
        <v>6741.18451845</v>
      </c>
      <c r="F372" s="140">
        <v>2092.59</v>
      </c>
      <c r="G372" s="140">
        <f>F372*1.081</f>
        <v>2262.08979</v>
      </c>
      <c r="H372" s="140">
        <f>G372*1.055</f>
        <v>2386.5047284499997</v>
      </c>
      <c r="I372" s="1"/>
    </row>
    <row r="373" spans="1:9" ht="65.25" customHeight="1">
      <c r="A373" s="261" t="s">
        <v>279</v>
      </c>
      <c r="B373" s="144"/>
      <c r="C373" s="252" t="s">
        <v>40</v>
      </c>
      <c r="D373" s="252" t="s">
        <v>19</v>
      </c>
      <c r="E373" s="139">
        <f t="shared" si="39"/>
        <v>626.228301815</v>
      </c>
      <c r="F373" s="139">
        <f>F374</f>
        <v>194.393</v>
      </c>
      <c r="G373" s="139">
        <f>G374</f>
        <v>210.138833</v>
      </c>
      <c r="H373" s="139">
        <f>H374</f>
        <v>221.696468815</v>
      </c>
      <c r="I373" s="1"/>
    </row>
    <row r="374" spans="1:9" ht="38.25">
      <c r="A374" s="262"/>
      <c r="B374" s="129" t="s">
        <v>234</v>
      </c>
      <c r="C374" s="256"/>
      <c r="D374" s="256"/>
      <c r="E374" s="145">
        <f t="shared" si="39"/>
        <v>626.228301815</v>
      </c>
      <c r="F374" s="145">
        <v>194.393</v>
      </c>
      <c r="G374" s="145">
        <f>F374*1.081</f>
        <v>210.138833</v>
      </c>
      <c r="H374" s="145">
        <f>G374*1.055</f>
        <v>221.696468815</v>
      </c>
      <c r="I374" s="1"/>
    </row>
    <row r="375" spans="1:9" ht="30" customHeight="1">
      <c r="A375" s="257" t="s">
        <v>78</v>
      </c>
      <c r="B375" s="146"/>
      <c r="C375" s="242" t="s">
        <v>40</v>
      </c>
      <c r="D375" s="242" t="s">
        <v>19</v>
      </c>
      <c r="E375" s="139">
        <f>E377+E378+E379</f>
        <v>3836.5889999999995</v>
      </c>
      <c r="F375" s="139">
        <f>F376</f>
        <v>3595.9419999999996</v>
      </c>
      <c r="G375" s="139">
        <f>G376</f>
        <v>834.6491799999999</v>
      </c>
      <c r="H375" s="139">
        <f>H376</f>
        <v>880.5552198999999</v>
      </c>
      <c r="I375" s="1"/>
    </row>
    <row r="376" spans="1:9" ht="39" customHeight="1">
      <c r="A376" s="258"/>
      <c r="B376" s="147" t="s">
        <v>264</v>
      </c>
      <c r="C376" s="242"/>
      <c r="D376" s="242"/>
      <c r="E376" s="140">
        <f>F376+G376+H376</f>
        <v>5311.146399899999</v>
      </c>
      <c r="F376" s="140">
        <f>F377+F378+F379</f>
        <v>3595.9419999999996</v>
      </c>
      <c r="G376" s="140">
        <f>G377+G378+G379</f>
        <v>834.6491799999999</v>
      </c>
      <c r="H376" s="140">
        <f>H377+H378+H379</f>
        <v>880.5552198999999</v>
      </c>
      <c r="I376" s="1"/>
    </row>
    <row r="377" spans="1:9" ht="12.75">
      <c r="A377" s="258"/>
      <c r="B377" s="43" t="s">
        <v>359</v>
      </c>
      <c r="C377" s="242"/>
      <c r="D377" s="242"/>
      <c r="E377" s="145">
        <v>663.78</v>
      </c>
      <c r="F377" s="145">
        <v>663.78</v>
      </c>
      <c r="G377" s="145">
        <f>F377*1.081</f>
        <v>717.5461799999999</v>
      </c>
      <c r="H377" s="145">
        <f>G377*1.055</f>
        <v>757.0112198999999</v>
      </c>
      <c r="I377" s="1"/>
    </row>
    <row r="378" spans="1:9" ht="38.25">
      <c r="A378" s="259"/>
      <c r="B378" s="148" t="s">
        <v>312</v>
      </c>
      <c r="C378" s="267"/>
      <c r="D378" s="267"/>
      <c r="E378" s="149">
        <f>F378+G378+H378</f>
        <v>2823.834</v>
      </c>
      <c r="F378" s="8">
        <f>1737.51+1086.324</f>
        <v>2823.834</v>
      </c>
      <c r="G378" s="8"/>
      <c r="H378" s="8"/>
      <c r="I378" s="1"/>
    </row>
    <row r="379" spans="1:10" ht="25.5">
      <c r="A379" s="260"/>
      <c r="B379" s="148" t="s">
        <v>360</v>
      </c>
      <c r="C379" s="267"/>
      <c r="D379" s="267"/>
      <c r="E379" s="149">
        <f>F379+G379+H379</f>
        <v>348.97499999999997</v>
      </c>
      <c r="F379" s="8">
        <v>108.328</v>
      </c>
      <c r="G379" s="8">
        <v>117.103</v>
      </c>
      <c r="H379" s="8">
        <v>123.544</v>
      </c>
      <c r="J379" s="1">
        <v>100203</v>
      </c>
    </row>
    <row r="380" spans="1:8" ht="12.75">
      <c r="A380" s="249" t="s">
        <v>83</v>
      </c>
      <c r="B380" s="249"/>
      <c r="C380" s="249"/>
      <c r="D380" s="249"/>
      <c r="E380" s="249"/>
      <c r="F380" s="249"/>
      <c r="G380" s="249"/>
      <c r="H380" s="249"/>
    </row>
    <row r="381" spans="1:8" ht="12.75">
      <c r="A381" s="239" t="s">
        <v>84</v>
      </c>
      <c r="B381" s="40"/>
      <c r="C381" s="229" t="s">
        <v>298</v>
      </c>
      <c r="D381" s="229" t="s">
        <v>19</v>
      </c>
      <c r="E381" s="6">
        <f>F381+G381+H381</f>
        <v>994.90127638</v>
      </c>
      <c r="F381" s="6">
        <f>F382</f>
        <v>308.836</v>
      </c>
      <c r="G381" s="6">
        <f>G382</f>
        <v>333.851716</v>
      </c>
      <c r="H381" s="6">
        <f>H382</f>
        <v>352.21356038</v>
      </c>
    </row>
    <row r="382" spans="1:8" ht="56.25" customHeight="1">
      <c r="A382" s="223"/>
      <c r="B382" s="7" t="s">
        <v>85</v>
      </c>
      <c r="C382" s="238"/>
      <c r="D382" s="238"/>
      <c r="E382" s="8">
        <f>F382+G382+H382</f>
        <v>994.90127638</v>
      </c>
      <c r="F382" s="8">
        <v>308.836</v>
      </c>
      <c r="G382" s="8">
        <f>F382*1.081</f>
        <v>333.851716</v>
      </c>
      <c r="H382" s="8">
        <f>G382*1.055</f>
        <v>352.21356038</v>
      </c>
    </row>
    <row r="383" spans="1:8" ht="19.5" customHeight="1">
      <c r="A383" s="253" t="s">
        <v>323</v>
      </c>
      <c r="B383" s="254"/>
      <c r="C383" s="254"/>
      <c r="D383" s="254"/>
      <c r="E383" s="254"/>
      <c r="F383" s="254"/>
      <c r="G383" s="254"/>
      <c r="H383" s="255"/>
    </row>
    <row r="384" spans="1:8" ht="12.75">
      <c r="A384" s="234" t="s">
        <v>324</v>
      </c>
      <c r="B384" s="40"/>
      <c r="C384" s="229" t="s">
        <v>298</v>
      </c>
      <c r="D384" s="229" t="s">
        <v>19</v>
      </c>
      <c r="E384" s="6">
        <f>F384+G384+H384</f>
        <v>87</v>
      </c>
      <c r="F384" s="6">
        <f>SUM(F385:F385)</f>
        <v>87</v>
      </c>
      <c r="G384" s="6">
        <f>SUM(G385:G385)</f>
        <v>0</v>
      </c>
      <c r="H384" s="6">
        <f>SUM(H385:H385)</f>
        <v>0</v>
      </c>
    </row>
    <row r="385" spans="1:8" ht="38.25">
      <c r="A385" s="235"/>
      <c r="B385" s="7" t="s">
        <v>325</v>
      </c>
      <c r="C385" s="238"/>
      <c r="D385" s="238"/>
      <c r="E385" s="8">
        <f>F385+G385+H385</f>
        <v>87</v>
      </c>
      <c r="F385" s="8">
        <v>87</v>
      </c>
      <c r="G385" s="8"/>
      <c r="H385" s="8"/>
    </row>
    <row r="386" spans="1:8" ht="12.75">
      <c r="A386" s="249" t="s">
        <v>151</v>
      </c>
      <c r="B386" s="249"/>
      <c r="C386" s="249"/>
      <c r="D386" s="249"/>
      <c r="E386" s="249"/>
      <c r="F386" s="249"/>
      <c r="G386" s="249"/>
      <c r="H386" s="249"/>
    </row>
    <row r="387" spans="1:9" ht="12.75">
      <c r="A387" s="234" t="s">
        <v>82</v>
      </c>
      <c r="B387" s="40"/>
      <c r="C387" s="229" t="s">
        <v>298</v>
      </c>
      <c r="D387" s="229" t="s">
        <v>19</v>
      </c>
      <c r="E387" s="6">
        <f>F387+G387+H387</f>
        <v>918.114675</v>
      </c>
      <c r="F387" s="6">
        <f>F388</f>
        <v>285</v>
      </c>
      <c r="G387" s="6">
        <f>G388</f>
        <v>308.085</v>
      </c>
      <c r="H387" s="6">
        <f>H388</f>
        <v>325.02967499999994</v>
      </c>
      <c r="I387" s="1"/>
    </row>
    <row r="388" spans="1:9" ht="67.5" customHeight="1">
      <c r="A388" s="235"/>
      <c r="B388" s="7" t="s">
        <v>81</v>
      </c>
      <c r="C388" s="238"/>
      <c r="D388" s="238"/>
      <c r="E388" s="8">
        <f>F388+G388+H388</f>
        <v>918.114675</v>
      </c>
      <c r="F388" s="8">
        <v>285</v>
      </c>
      <c r="G388" s="8">
        <f>F388*1.081</f>
        <v>308.085</v>
      </c>
      <c r="H388" s="8">
        <f>G388*1.055</f>
        <v>325.02967499999994</v>
      </c>
      <c r="I388" s="1"/>
    </row>
    <row r="389" spans="1:8" ht="12.75">
      <c r="A389" s="249" t="s">
        <v>152</v>
      </c>
      <c r="B389" s="249"/>
      <c r="C389" s="249"/>
      <c r="D389" s="249"/>
      <c r="E389" s="249"/>
      <c r="F389" s="249"/>
      <c r="G389" s="249"/>
      <c r="H389" s="249"/>
    </row>
    <row r="390" spans="1:8" ht="12.75">
      <c r="A390" s="237" t="s">
        <v>149</v>
      </c>
      <c r="B390" s="7"/>
      <c r="C390" s="194" t="s">
        <v>298</v>
      </c>
      <c r="D390" s="194" t="s">
        <v>19</v>
      </c>
      <c r="E390" s="6">
        <f>F390+G390+H390</f>
        <v>220.40076500000004</v>
      </c>
      <c r="F390" s="6">
        <f>F391</f>
        <v>68.9</v>
      </c>
      <c r="G390" s="6">
        <f>G391</f>
        <v>73.72300000000001</v>
      </c>
      <c r="H390" s="6">
        <f>H391</f>
        <v>77.777765</v>
      </c>
    </row>
    <row r="391" spans="1:8" ht="42" customHeight="1">
      <c r="A391" s="237"/>
      <c r="B391" s="7" t="s">
        <v>121</v>
      </c>
      <c r="C391" s="194"/>
      <c r="D391" s="194"/>
      <c r="E391" s="8">
        <f>F391+G391+H391</f>
        <v>220.40076500000004</v>
      </c>
      <c r="F391" s="8">
        <v>68.9</v>
      </c>
      <c r="G391" s="8">
        <f>F391*1.07</f>
        <v>73.72300000000001</v>
      </c>
      <c r="H391" s="8">
        <f>G391*1.055</f>
        <v>77.777765</v>
      </c>
    </row>
    <row r="392" spans="1:8" ht="19.5" customHeight="1">
      <c r="A392" s="112" t="s">
        <v>93</v>
      </c>
      <c r="B392" s="112"/>
      <c r="C392" s="40"/>
      <c r="D392" s="40"/>
      <c r="E392" s="6">
        <f>F392+G392+H392</f>
        <v>1463161.7817188338</v>
      </c>
      <c r="F392" s="6">
        <f>F18+F22+F32+F34+F36+F40+F41+F43+F50+F53+F70+F76+F82+F96+F108+F110+F115+F117+F123+F127+F129+F131+F133+F136+F139+F144+F146+F151+F153+F156+F169+F174+F176+F184+F186+F189+F191+F193+F195+F197+F199+F201+F217+F223+F225+F229+F233+F236+F244+F246+F251+F256+F261+F264+F267+F272+F275+F277+F281+F283+F290+F294+F296+F300+F302+F308+F310+F313+F319+F323+F325+F328+F331+F334+F339+F346+F354+F359+F361+F365+F369+F371+F373+F375+F381+F384+F387+F390+F241+F306</f>
        <v>649082.7000000001</v>
      </c>
      <c r="G392" s="6">
        <f>G18+G22+G32+G34+G36+G40+G41+G43+G50+G53+G70+G76+G82+G96+G108+G110+G115+G117+G123+G127+G129+G131+G133+G136+G139+G144+G146+G151+G153+G156+G169+G174+G176+G184+G186+G189+G191+G193+G195+G197+G199+G201+G217+G223+G225+G229+G233+G236+G244+G246+G251+G256+G261+G264+G267+G272+G275+G277+G281+G283+G290+G294+G296+G300+G302+G308+G310+G313+G319+G323+G325+G328+G331+G334+G339+G346+G354+G359+G361+G365+G369+G371+G373+G375+G381+G384+G387+G390+G241+G306</f>
        <v>406471.65651899984</v>
      </c>
      <c r="H392" s="6">
        <f>H18+H22+H32+H34+H36+H40+H41+H43+H50+H53+H70+H76+H82+H96+H108+H110+H115+H117+H123+H127+H129+H131+H133+H136+H139+H144+H146+H151+H153+H156+H169+H174+H176+H184+H186+H189+H191+H193+H195+H197+H199+H201+H217+H223+H225+H229+H233+H236+H244+H246+H251+H256+H261+H264+H267+H272+H275+H277+H281+H283+H290+H294+H296+H300+H302+H308+H310+H313+H319+H323+H325+H328+H331+H334+H339+H346+H354+H359+H361+H365+H369+H371+H373+H375+H381+H384+H387+H390+H241+H306</f>
        <v>407607.42519983405</v>
      </c>
    </row>
    <row r="393" spans="1:8" ht="12.75">
      <c r="A393" s="53"/>
      <c r="B393" s="53"/>
      <c r="C393" s="54"/>
      <c r="D393" s="54"/>
      <c r="E393" s="55"/>
      <c r="F393" s="55"/>
      <c r="G393" s="55"/>
      <c r="H393" s="55"/>
    </row>
    <row r="394" spans="1:8" ht="12.75">
      <c r="A394" s="56"/>
      <c r="B394" s="56"/>
      <c r="C394" s="57"/>
      <c r="D394" s="57"/>
      <c r="E394" s="57"/>
      <c r="F394" s="58"/>
      <c r="G394" s="57"/>
      <c r="H394" s="57"/>
    </row>
    <row r="395" spans="1:8" ht="18.75">
      <c r="A395" s="251" t="s">
        <v>94</v>
      </c>
      <c r="B395" s="251"/>
      <c r="C395" s="59"/>
      <c r="D395" s="59"/>
      <c r="E395" s="59"/>
      <c r="F395" s="60"/>
      <c r="G395" s="251" t="s">
        <v>172</v>
      </c>
      <c r="H395" s="251"/>
    </row>
    <row r="396" spans="1:9" s="13" customFormat="1" ht="18.75">
      <c r="A396" s="1"/>
      <c r="B396" s="1"/>
      <c r="C396" s="2"/>
      <c r="D396" s="2"/>
      <c r="E396" s="2"/>
      <c r="F396" s="52"/>
      <c r="G396" s="2"/>
      <c r="H396" s="2"/>
      <c r="I396" s="50"/>
    </row>
    <row r="399" ht="12.75">
      <c r="F399" s="52"/>
    </row>
    <row r="401" ht="12.75">
      <c r="F401" s="52"/>
    </row>
  </sheetData>
  <sheetProtection/>
  <mergeCells count="289">
    <mergeCell ref="A300:A301"/>
    <mergeCell ref="A275:A276"/>
    <mergeCell ref="A294:A295"/>
    <mergeCell ref="A283:A289"/>
    <mergeCell ref="A261:A263"/>
    <mergeCell ref="A246:A250"/>
    <mergeCell ref="A296:A299"/>
    <mergeCell ref="H311:H312"/>
    <mergeCell ref="D244:D245"/>
    <mergeCell ref="A229:A232"/>
    <mergeCell ref="C229:C232"/>
    <mergeCell ref="D229:D232"/>
    <mergeCell ref="A233:A235"/>
    <mergeCell ref="D300:D301"/>
    <mergeCell ref="D283:D289"/>
    <mergeCell ref="G311:G312"/>
    <mergeCell ref="F311:F312"/>
    <mergeCell ref="E311:E312"/>
    <mergeCell ref="C302:C305"/>
    <mergeCell ref="C306:C307"/>
    <mergeCell ref="D306:D307"/>
    <mergeCell ref="D310:D312"/>
    <mergeCell ref="C310:C312"/>
    <mergeCell ref="D302:D305"/>
    <mergeCell ref="D261:D263"/>
    <mergeCell ref="D273:D274"/>
    <mergeCell ref="D267:D271"/>
    <mergeCell ref="D236:D240"/>
    <mergeCell ref="D277:D280"/>
    <mergeCell ref="D281:D282"/>
    <mergeCell ref="D290:D292"/>
    <mergeCell ref="C354:C358"/>
    <mergeCell ref="D313:D318"/>
    <mergeCell ref="C300:C301"/>
    <mergeCell ref="C296:C299"/>
    <mergeCell ref="D296:D299"/>
    <mergeCell ref="D294:D295"/>
    <mergeCell ref="C233:C235"/>
    <mergeCell ref="A225:A228"/>
    <mergeCell ref="C225:C228"/>
    <mergeCell ref="A193:A194"/>
    <mergeCell ref="A199:A200"/>
    <mergeCell ref="C223:C224"/>
    <mergeCell ref="C201:C216"/>
    <mergeCell ref="A223:A224"/>
    <mergeCell ref="C199:C200"/>
    <mergeCell ref="A201:A216"/>
    <mergeCell ref="A325:A327"/>
    <mergeCell ref="C283:C289"/>
    <mergeCell ref="A281:A282"/>
    <mergeCell ref="A272:A274"/>
    <mergeCell ref="A277:A280"/>
    <mergeCell ref="C236:C240"/>
    <mergeCell ref="A313:A318"/>
    <mergeCell ref="A310:A312"/>
    <mergeCell ref="C41:C42"/>
    <mergeCell ref="A41:A42"/>
    <mergeCell ref="C108:C109"/>
    <mergeCell ref="B46:B47"/>
    <mergeCell ref="A50:A51"/>
    <mergeCell ref="C50:C51"/>
    <mergeCell ref="C191:C192"/>
    <mergeCell ref="A129:A130"/>
    <mergeCell ref="C70:C75"/>
    <mergeCell ref="C82:C95"/>
    <mergeCell ref="A76:A81"/>
    <mergeCell ref="A186:A188"/>
    <mergeCell ref="C189:C190"/>
    <mergeCell ref="C186:C188"/>
    <mergeCell ref="A197:A198"/>
    <mergeCell ref="C197:C198"/>
    <mergeCell ref="C76:C81"/>
    <mergeCell ref="A195:A196"/>
    <mergeCell ref="C127:C128"/>
    <mergeCell ref="A169:A173"/>
    <mergeCell ref="C195:C196"/>
    <mergeCell ref="A184:A185"/>
    <mergeCell ref="A191:A192"/>
    <mergeCell ref="A189:A190"/>
    <mergeCell ref="A18:A19"/>
    <mergeCell ref="A117:A122"/>
    <mergeCell ref="A115:A116"/>
    <mergeCell ref="C34:C35"/>
    <mergeCell ref="A34:A35"/>
    <mergeCell ref="C18:C20"/>
    <mergeCell ref="C22:C30"/>
    <mergeCell ref="A32:A33"/>
    <mergeCell ref="C32:C33"/>
    <mergeCell ref="C36:C37"/>
    <mergeCell ref="C384:C385"/>
    <mergeCell ref="A12:A14"/>
    <mergeCell ref="A16:H16"/>
    <mergeCell ref="A21:H21"/>
    <mergeCell ref="D32:D33"/>
    <mergeCell ref="E12:H12"/>
    <mergeCell ref="C12:C14"/>
    <mergeCell ref="E13:E14"/>
    <mergeCell ref="A22:A31"/>
    <mergeCell ref="D18:D20"/>
    <mergeCell ref="A390:A391"/>
    <mergeCell ref="C387:C388"/>
    <mergeCell ref="C390:C391"/>
    <mergeCell ref="D387:D388"/>
    <mergeCell ref="A387:A388"/>
    <mergeCell ref="A386:H386"/>
    <mergeCell ref="D375:D379"/>
    <mergeCell ref="D369:D370"/>
    <mergeCell ref="A371:A372"/>
    <mergeCell ref="C371:C372"/>
    <mergeCell ref="A369:A370"/>
    <mergeCell ref="C375:C379"/>
    <mergeCell ref="D384:D385"/>
    <mergeCell ref="A381:A382"/>
    <mergeCell ref="A384:A385"/>
    <mergeCell ref="A346:A353"/>
    <mergeCell ref="A328:A330"/>
    <mergeCell ref="A323:A324"/>
    <mergeCell ref="A339:A343"/>
    <mergeCell ref="A361:A364"/>
    <mergeCell ref="C365:C368"/>
    <mergeCell ref="C359:C360"/>
    <mergeCell ref="D323:D324"/>
    <mergeCell ref="A359:A360"/>
    <mergeCell ref="C346:C353"/>
    <mergeCell ref="A365:A368"/>
    <mergeCell ref="C361:C364"/>
    <mergeCell ref="D359:D360"/>
    <mergeCell ref="D354:D358"/>
    <mergeCell ref="B311:B312"/>
    <mergeCell ref="C339:C343"/>
    <mergeCell ref="C323:C324"/>
    <mergeCell ref="A331:A333"/>
    <mergeCell ref="A334:A338"/>
    <mergeCell ref="C334:C338"/>
    <mergeCell ref="A319:A322"/>
    <mergeCell ref="C319:C321"/>
    <mergeCell ref="C373:C374"/>
    <mergeCell ref="A380:H380"/>
    <mergeCell ref="C381:C382"/>
    <mergeCell ref="D381:D382"/>
    <mergeCell ref="A375:A379"/>
    <mergeCell ref="A373:A374"/>
    <mergeCell ref="G395:H395"/>
    <mergeCell ref="D365:D368"/>
    <mergeCell ref="D339:D343"/>
    <mergeCell ref="D361:D364"/>
    <mergeCell ref="D371:D372"/>
    <mergeCell ref="A383:H383"/>
    <mergeCell ref="A395:B395"/>
    <mergeCell ref="D390:D391"/>
    <mergeCell ref="A389:H389"/>
    <mergeCell ref="D373:D374"/>
    <mergeCell ref="D96:D107"/>
    <mergeCell ref="D50:D51"/>
    <mergeCell ref="D53:D69"/>
    <mergeCell ref="D70:D75"/>
    <mergeCell ref="F46:F47"/>
    <mergeCell ref="E46:E47"/>
    <mergeCell ref="F13:H13"/>
    <mergeCell ref="D22:D30"/>
    <mergeCell ref="D41:D42"/>
    <mergeCell ref="D12:D14"/>
    <mergeCell ref="F1:H1"/>
    <mergeCell ref="F2:H2"/>
    <mergeCell ref="F3:H3"/>
    <mergeCell ref="F5:H5"/>
    <mergeCell ref="D34:D35"/>
    <mergeCell ref="A39:A40"/>
    <mergeCell ref="C39:C40"/>
    <mergeCell ref="A36:A37"/>
    <mergeCell ref="F6:H6"/>
    <mergeCell ref="D184:D185"/>
    <mergeCell ref="D36:D37"/>
    <mergeCell ref="D39:D40"/>
    <mergeCell ref="A8:H8"/>
    <mergeCell ref="A9:H9"/>
    <mergeCell ref="B12:B14"/>
    <mergeCell ref="D76:D81"/>
    <mergeCell ref="G46:G47"/>
    <mergeCell ref="H46:H47"/>
    <mergeCell ref="D197:D198"/>
    <mergeCell ref="D199:D200"/>
    <mergeCell ref="D191:D192"/>
    <mergeCell ref="D251:D255"/>
    <mergeCell ref="D193:D194"/>
    <mergeCell ref="D233:D235"/>
    <mergeCell ref="D246:D250"/>
    <mergeCell ref="A308:A309"/>
    <mergeCell ref="A217:A222"/>
    <mergeCell ref="C217:C222"/>
    <mergeCell ref="C261:C263"/>
    <mergeCell ref="A306:A307"/>
    <mergeCell ref="A267:A271"/>
    <mergeCell ref="A236:A240"/>
    <mergeCell ref="A251:A255"/>
    <mergeCell ref="A264:A266"/>
    <mergeCell ref="C294:C295"/>
    <mergeCell ref="A290:A293"/>
    <mergeCell ref="C277:C280"/>
    <mergeCell ref="C251:C255"/>
    <mergeCell ref="A241:A242"/>
    <mergeCell ref="C241:C245"/>
    <mergeCell ref="C264:C266"/>
    <mergeCell ref="C290:C292"/>
    <mergeCell ref="C281:C282"/>
    <mergeCell ref="A244:A245"/>
    <mergeCell ref="C256:C259"/>
    <mergeCell ref="C369:C370"/>
    <mergeCell ref="A354:A358"/>
    <mergeCell ref="A174:A175"/>
    <mergeCell ref="C246:C250"/>
    <mergeCell ref="C267:C271"/>
    <mergeCell ref="C273:C274"/>
    <mergeCell ref="C193:C194"/>
    <mergeCell ref="C313:C318"/>
    <mergeCell ref="A302:A305"/>
    <mergeCell ref="A256:A260"/>
    <mergeCell ref="D346:D353"/>
    <mergeCell ref="D319:D321"/>
    <mergeCell ref="D201:D216"/>
    <mergeCell ref="D195:D196"/>
    <mergeCell ref="D334:D338"/>
    <mergeCell ref="D217:D222"/>
    <mergeCell ref="D256:D259"/>
    <mergeCell ref="D264:D266"/>
    <mergeCell ref="D223:D224"/>
    <mergeCell ref="D225:D228"/>
    <mergeCell ref="D189:D190"/>
    <mergeCell ref="C184:C185"/>
    <mergeCell ref="D134:D135"/>
    <mergeCell ref="D137:D138"/>
    <mergeCell ref="C156:C168"/>
    <mergeCell ref="D146:D150"/>
    <mergeCell ref="D174:D175"/>
    <mergeCell ref="D156:D168"/>
    <mergeCell ref="C174:C175"/>
    <mergeCell ref="D169:D172"/>
    <mergeCell ref="D129:D130"/>
    <mergeCell ref="D186:D188"/>
    <mergeCell ref="D127:D128"/>
    <mergeCell ref="D123:D125"/>
    <mergeCell ref="C169:C172"/>
    <mergeCell ref="C133:C135"/>
    <mergeCell ref="D140:D143"/>
    <mergeCell ref="C123:C125"/>
    <mergeCell ref="C153:C155"/>
    <mergeCell ref="D153:D155"/>
    <mergeCell ref="C146:C150"/>
    <mergeCell ref="D131:D132"/>
    <mergeCell ref="A82:A95"/>
    <mergeCell ref="A43:A44"/>
    <mergeCell ref="A53:A69"/>
    <mergeCell ref="C139:C143"/>
    <mergeCell ref="A136:A138"/>
    <mergeCell ref="A70:A75"/>
    <mergeCell ref="C96:C107"/>
    <mergeCell ref="A96:A107"/>
    <mergeCell ref="C117:C122"/>
    <mergeCell ref="A52:H52"/>
    <mergeCell ref="D117:D122"/>
    <mergeCell ref="C53:C69"/>
    <mergeCell ref="D110:D114"/>
    <mergeCell ref="D43:D49"/>
    <mergeCell ref="C43:C49"/>
    <mergeCell ref="D108:D109"/>
    <mergeCell ref="D82:D95"/>
    <mergeCell ref="C110:C114"/>
    <mergeCell ref="C115:C116"/>
    <mergeCell ref="D115:D116"/>
    <mergeCell ref="A144:A145"/>
    <mergeCell ref="A146:A150"/>
    <mergeCell ref="A151:A152"/>
    <mergeCell ref="A131:A132"/>
    <mergeCell ref="A139:A143"/>
    <mergeCell ref="A176:A183"/>
    <mergeCell ref="C177:C183"/>
    <mergeCell ref="D177:D183"/>
    <mergeCell ref="A123:A126"/>
    <mergeCell ref="A156:A168"/>
    <mergeCell ref="B131:B132"/>
    <mergeCell ref="C136:C138"/>
    <mergeCell ref="C144:C145"/>
    <mergeCell ref="A153:A155"/>
    <mergeCell ref="A127:A128"/>
    <mergeCell ref="C131:C132"/>
    <mergeCell ref="A133:A135"/>
    <mergeCell ref="A110:A114"/>
    <mergeCell ref="A108:A109"/>
    <mergeCell ref="C129:C130"/>
  </mergeCells>
  <printOptions horizontalCentered="1"/>
  <pageMargins left="0.6299212598425197" right="0.1968503937007874" top="0.1968503937007874" bottom="0.2362204724409449" header="0.1968503937007874" footer="0"/>
  <pageSetup fitToHeight="8" fitToWidth="1" horizontalDpi="600" verticalDpi="600" orientation="portrait" paperSize="9" scale="61" r:id="rId1"/>
  <headerFooter alignWithMargins="0">
    <oddHeader>&amp;C&amp;P</oddHeader>
  </headerFooter>
  <rowBreaks count="1" manualBreakCount="1">
    <brk id="3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25"/>
  <sheetViews>
    <sheetView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46.00390625" style="27" customWidth="1"/>
    <col min="2" max="2" width="27.28125" style="27" customWidth="1"/>
    <col min="3" max="3" width="17.28125" style="27" customWidth="1"/>
    <col min="4" max="4" width="17.8515625" style="27" customWidth="1"/>
    <col min="5" max="5" width="16.7109375" style="27" customWidth="1"/>
    <col min="6" max="6" width="9.57421875" style="9" bestFit="1" customWidth="1"/>
    <col min="7" max="16384" width="9.140625" style="9" customWidth="1"/>
  </cols>
  <sheetData>
    <row r="1" spans="4:5" ht="18.75">
      <c r="D1" s="278" t="s">
        <v>156</v>
      </c>
      <c r="E1" s="278"/>
    </row>
    <row r="2" spans="4:256" ht="18.75">
      <c r="D2" s="228" t="s">
        <v>157</v>
      </c>
      <c r="E2" s="2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4:5" ht="18.75">
      <c r="D3" s="318" t="s">
        <v>386</v>
      </c>
      <c r="E3" s="278"/>
    </row>
    <row r="5" spans="4:6" ht="18.75" customHeight="1">
      <c r="D5" s="28" t="s">
        <v>18</v>
      </c>
      <c r="E5" s="28"/>
      <c r="F5" s="13"/>
    </row>
    <row r="6" spans="4:6" ht="94.5" customHeight="1">
      <c r="D6" s="279" t="s">
        <v>309</v>
      </c>
      <c r="E6" s="279"/>
      <c r="F6" s="13"/>
    </row>
    <row r="7" spans="4:5" ht="18.75">
      <c r="D7" s="278"/>
      <c r="E7" s="278"/>
    </row>
    <row r="9" spans="1:5" s="14" customFormat="1" ht="18.75">
      <c r="A9" s="281" t="s">
        <v>21</v>
      </c>
      <c r="B9" s="281"/>
      <c r="C9" s="281"/>
      <c r="D9" s="281"/>
      <c r="E9" s="281"/>
    </row>
    <row r="10" spans="1:5" s="14" customFormat="1" ht="18.75" customHeight="1">
      <c r="A10" s="282" t="s">
        <v>310</v>
      </c>
      <c r="B10" s="282"/>
      <c r="C10" s="282"/>
      <c r="D10" s="282"/>
      <c r="E10" s="282"/>
    </row>
    <row r="11" spans="1:5" s="14" customFormat="1" ht="9.75" customHeight="1">
      <c r="A11" s="29"/>
      <c r="B11" s="29"/>
      <c r="C11" s="29"/>
      <c r="D11" s="29"/>
      <c r="E11" s="29"/>
    </row>
    <row r="12" spans="1:5" ht="12.75">
      <c r="A12" s="30"/>
      <c r="B12" s="30"/>
      <c r="C12" s="30"/>
      <c r="D12" s="30"/>
      <c r="E12" s="30"/>
    </row>
    <row r="13" spans="1:5" ht="12.75">
      <c r="A13" s="280"/>
      <c r="B13" s="280" t="s">
        <v>8</v>
      </c>
      <c r="C13" s="280" t="s">
        <v>9</v>
      </c>
      <c r="D13" s="280"/>
      <c r="E13" s="280"/>
    </row>
    <row r="14" spans="1:5" ht="12.75">
      <c r="A14" s="280"/>
      <c r="B14" s="280"/>
      <c r="C14" s="31">
        <v>2016</v>
      </c>
      <c r="D14" s="31">
        <v>2017</v>
      </c>
      <c r="E14" s="31">
        <v>2018</v>
      </c>
    </row>
    <row r="15" spans="1:5" s="10" customFormat="1" ht="12.75">
      <c r="A15" s="31">
        <v>1</v>
      </c>
      <c r="B15" s="31">
        <v>2</v>
      </c>
      <c r="C15" s="31">
        <v>3</v>
      </c>
      <c r="D15" s="31">
        <v>4</v>
      </c>
      <c r="E15" s="31">
        <v>5</v>
      </c>
    </row>
    <row r="16" spans="1:6" ht="12.75">
      <c r="A16" s="32" t="s">
        <v>100</v>
      </c>
      <c r="B16" s="33">
        <f>C16+D16+E16</f>
        <v>1463161.7817188338</v>
      </c>
      <c r="C16" s="33">
        <f>'додаток 1'!F392</f>
        <v>649082.7000000001</v>
      </c>
      <c r="D16" s="33">
        <f>'додаток 1'!G392</f>
        <v>406471.65651899984</v>
      </c>
      <c r="E16" s="33">
        <f>'додаток 1'!H392</f>
        <v>407607.42519983405</v>
      </c>
      <c r="F16" s="11"/>
    </row>
    <row r="17" spans="1:6" ht="12.75">
      <c r="A17" s="32" t="s">
        <v>101</v>
      </c>
      <c r="B17" s="33"/>
      <c r="C17" s="33"/>
      <c r="D17" s="33"/>
      <c r="E17" s="33"/>
      <c r="F17" s="11"/>
    </row>
    <row r="18" spans="1:6" s="16" customFormat="1" ht="12.75">
      <c r="A18" s="34" t="s">
        <v>102</v>
      </c>
      <c r="B18" s="35">
        <f>C18+D18+E18</f>
        <v>917.6507854799999</v>
      </c>
      <c r="C18" s="35">
        <f>'додаток 1'!F182+'додаток 1'!F178+'додаток 1'!F318</f>
        <v>284.856</v>
      </c>
      <c r="D18" s="35">
        <f>C18*1.081</f>
        <v>307.929336</v>
      </c>
      <c r="E18" s="35">
        <f>D18*1.055</f>
        <v>324.86544947999994</v>
      </c>
      <c r="F18" s="15"/>
    </row>
    <row r="19" spans="1:5" ht="12.75">
      <c r="A19" s="32" t="s">
        <v>10</v>
      </c>
      <c r="B19" s="33">
        <f>C19+D19+E19</f>
        <v>0</v>
      </c>
      <c r="C19" s="33"/>
      <c r="D19" s="33"/>
      <c r="E19" s="33"/>
    </row>
    <row r="20" spans="1:5" ht="12.75">
      <c r="A20" s="32" t="s">
        <v>11</v>
      </c>
      <c r="B20" s="33">
        <f>C20+D20+E20</f>
        <v>0</v>
      </c>
      <c r="C20" s="31"/>
      <c r="D20" s="33"/>
      <c r="E20" s="33"/>
    </row>
    <row r="21" spans="1:5" ht="12.75" customHeight="1">
      <c r="A21" s="32" t="s">
        <v>57</v>
      </c>
      <c r="B21" s="33">
        <f>C21+D21+E21</f>
        <v>0</v>
      </c>
      <c r="C21" s="31"/>
      <c r="D21" s="36"/>
      <c r="E21" s="36"/>
    </row>
    <row r="22" spans="1:5" ht="19.5" customHeight="1">
      <c r="A22" s="32" t="s">
        <v>12</v>
      </c>
      <c r="B22" s="33">
        <f>B16+B19+B20+B21</f>
        <v>1463161.7817188338</v>
      </c>
      <c r="C22" s="33">
        <f>C16+C19+C20+C21</f>
        <v>649082.7000000001</v>
      </c>
      <c r="D22" s="33">
        <f>D16+D19+D20+D21</f>
        <v>406471.65651899984</v>
      </c>
      <c r="E22" s="33">
        <f>E16+E19+E20+E21</f>
        <v>407607.42519983405</v>
      </c>
    </row>
    <row r="23" ht="19.5" customHeight="1"/>
    <row r="24" ht="19.5" customHeight="1"/>
    <row r="25" spans="1:5" s="14" customFormat="1" ht="18.75">
      <c r="A25" s="28" t="s">
        <v>94</v>
      </c>
      <c r="B25" s="28"/>
      <c r="C25" s="28"/>
      <c r="D25" s="278" t="s">
        <v>172</v>
      </c>
      <c r="E25" s="278"/>
    </row>
  </sheetData>
  <sheetProtection/>
  <mergeCells count="10">
    <mergeCell ref="D25:E25"/>
    <mergeCell ref="A13:A14"/>
    <mergeCell ref="C13:E13"/>
    <mergeCell ref="A9:E9"/>
    <mergeCell ref="A10:E10"/>
    <mergeCell ref="B13:B14"/>
    <mergeCell ref="D3:E3"/>
    <mergeCell ref="D7:E7"/>
    <mergeCell ref="D1:E1"/>
    <mergeCell ref="D6:E6"/>
  </mergeCells>
  <printOptions horizontalCentered="1"/>
  <pageMargins left="0.9055118110236221" right="0.2755905511811024" top="1.1811023622047245" bottom="0.5905511811023623" header="0" footer="0"/>
  <pageSetup fitToHeight="7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9"/>
  <sheetViews>
    <sheetView tabSelected="1" view="pageBreakPreview" zoomScaleSheetLayoutView="100" zoomScalePageLayoutView="0" workbookViewId="0" topLeftCell="A383">
      <selection activeCell="E6" sqref="E6:G6"/>
    </sheetView>
  </sheetViews>
  <sheetFormatPr defaultColWidth="9.140625" defaultRowHeight="12.75"/>
  <cols>
    <col min="1" max="1" width="36.7109375" style="38" customWidth="1"/>
    <col min="2" max="2" width="28.00390625" style="18" customWidth="1"/>
    <col min="3" max="3" width="9.140625" style="4" customWidth="1"/>
    <col min="4" max="4" width="16.421875" style="18" customWidth="1"/>
    <col min="5" max="5" width="16.7109375" style="18" customWidth="1"/>
    <col min="6" max="6" width="15.140625" style="18" customWidth="1"/>
    <col min="7" max="7" width="16.140625" style="18" customWidth="1"/>
    <col min="8" max="8" width="0.13671875" style="18" customWidth="1"/>
    <col min="9" max="9" width="11.140625" style="18" customWidth="1"/>
    <col min="10" max="16384" width="9.140625" style="18" customWidth="1"/>
  </cols>
  <sheetData>
    <row r="1" spans="5:6" ht="18.75">
      <c r="E1" s="297"/>
      <c r="F1" s="298"/>
    </row>
    <row r="2" spans="1:7" ht="18.75">
      <c r="A2" s="18"/>
      <c r="E2" s="283" t="s">
        <v>384</v>
      </c>
      <c r="F2" s="283"/>
      <c r="G2" s="283"/>
    </row>
    <row r="3" spans="1:7" ht="18.75">
      <c r="A3" s="18"/>
      <c r="E3" s="283" t="s">
        <v>385</v>
      </c>
      <c r="F3" s="283"/>
      <c r="G3" s="283"/>
    </row>
    <row r="4" spans="1:7" ht="18.75">
      <c r="A4" s="18"/>
      <c r="E4" s="319" t="s">
        <v>386</v>
      </c>
      <c r="F4" s="283"/>
      <c r="G4" s="283"/>
    </row>
    <row r="6" spans="1:7" ht="18.75">
      <c r="A6" s="18"/>
      <c r="E6" s="283" t="s">
        <v>54</v>
      </c>
      <c r="F6" s="283"/>
      <c r="G6" s="283"/>
    </row>
    <row r="7" spans="1:7" ht="74.25" customHeight="1">
      <c r="A7" s="18"/>
      <c r="E7" s="283" t="s">
        <v>309</v>
      </c>
      <c r="F7" s="283"/>
      <c r="G7" s="283"/>
    </row>
    <row r="8" ht="16.5" customHeight="1">
      <c r="A8" s="18"/>
    </row>
    <row r="9" ht="16.5" customHeight="1">
      <c r="A9" s="18"/>
    </row>
    <row r="10" spans="1:7" s="17" customFormat="1" ht="18.75">
      <c r="A10" s="296" t="s">
        <v>20</v>
      </c>
      <c r="B10" s="296"/>
      <c r="C10" s="296"/>
      <c r="D10" s="296"/>
      <c r="E10" s="296"/>
      <c r="F10" s="296"/>
      <c r="G10" s="296"/>
    </row>
    <row r="11" spans="1:7" s="17" customFormat="1" ht="18.75" customHeight="1">
      <c r="A11" s="299" t="s">
        <v>311</v>
      </c>
      <c r="B11" s="299"/>
      <c r="C11" s="299"/>
      <c r="D11" s="299"/>
      <c r="E11" s="299"/>
      <c r="F11" s="299"/>
      <c r="G11" s="299"/>
    </row>
    <row r="12" spans="1:7" s="17" customFormat="1" ht="10.5" customHeight="1">
      <c r="A12" s="39"/>
      <c r="B12" s="39"/>
      <c r="C12" s="39"/>
      <c r="D12" s="39"/>
      <c r="E12" s="39"/>
      <c r="F12" s="39"/>
      <c r="G12" s="39"/>
    </row>
    <row r="14" spans="1:8" ht="12.75">
      <c r="A14" s="242" t="s">
        <v>0</v>
      </c>
      <c r="B14" s="242" t="s">
        <v>13</v>
      </c>
      <c r="C14" s="242" t="s">
        <v>14</v>
      </c>
      <c r="D14" s="242" t="s">
        <v>17</v>
      </c>
      <c r="E14" s="242"/>
      <c r="F14" s="242"/>
      <c r="G14" s="242"/>
      <c r="H14" s="19"/>
    </row>
    <row r="15" spans="1:8" ht="12.75">
      <c r="A15" s="242"/>
      <c r="B15" s="242"/>
      <c r="C15" s="242"/>
      <c r="D15" s="242" t="s">
        <v>15</v>
      </c>
      <c r="E15" s="242" t="s">
        <v>16</v>
      </c>
      <c r="F15" s="242"/>
      <c r="G15" s="242"/>
      <c r="H15" s="19"/>
    </row>
    <row r="16" spans="1:8" ht="24" customHeight="1">
      <c r="A16" s="242"/>
      <c r="B16" s="242"/>
      <c r="C16" s="242"/>
      <c r="D16" s="242"/>
      <c r="E16" s="3">
        <v>2016</v>
      </c>
      <c r="F16" s="3">
        <v>2017</v>
      </c>
      <c r="G16" s="3">
        <v>2018</v>
      </c>
      <c r="H16" s="19"/>
    </row>
    <row r="17" spans="1:8" s="4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/>
    </row>
    <row r="18" spans="1:8" s="4" customFormat="1" ht="12.75">
      <c r="A18" s="272" t="s">
        <v>318</v>
      </c>
      <c r="B18" s="273"/>
      <c r="C18" s="273"/>
      <c r="D18" s="273"/>
      <c r="E18" s="273"/>
      <c r="F18" s="273"/>
      <c r="G18" s="274"/>
      <c r="H18" s="3"/>
    </row>
    <row r="19" spans="1:8" s="4" customFormat="1" ht="12.75">
      <c r="A19" s="194" t="s">
        <v>299</v>
      </c>
      <c r="B19" s="194"/>
      <c r="C19" s="194"/>
      <c r="D19" s="194"/>
      <c r="E19" s="194"/>
      <c r="F19" s="194"/>
      <c r="G19" s="194"/>
      <c r="H19" s="3"/>
    </row>
    <row r="20" spans="1:8" s="4" customFormat="1" ht="12.75">
      <c r="A20" s="237" t="s">
        <v>319</v>
      </c>
      <c r="B20" s="3"/>
      <c r="C20" s="3"/>
      <c r="D20" s="3"/>
      <c r="E20" s="3"/>
      <c r="F20" s="3"/>
      <c r="G20" s="3"/>
      <c r="H20" s="3"/>
    </row>
    <row r="21" spans="1:8" s="4" customFormat="1" ht="25.5">
      <c r="A21" s="237"/>
      <c r="B21" s="127" t="s">
        <v>314</v>
      </c>
      <c r="C21" s="3" t="s">
        <v>45</v>
      </c>
      <c r="D21" s="3">
        <f>E21+F21+G21</f>
        <v>27</v>
      </c>
      <c r="E21" s="3">
        <f>6+21</f>
        <v>27</v>
      </c>
      <c r="F21" s="3"/>
      <c r="G21" s="3"/>
      <c r="H21" s="3"/>
    </row>
    <row r="22" spans="1:8" s="4" customFormat="1" ht="38.25">
      <c r="A22" s="237"/>
      <c r="B22" s="19" t="s">
        <v>315</v>
      </c>
      <c r="C22" s="3" t="s">
        <v>45</v>
      </c>
      <c r="D22" s="3">
        <f>E22+F22+G22</f>
        <v>1</v>
      </c>
      <c r="E22" s="3">
        <v>1</v>
      </c>
      <c r="F22" s="3"/>
      <c r="G22" s="3"/>
      <c r="H22" s="3"/>
    </row>
    <row r="23" spans="1:8" s="4" customFormat="1" ht="38.25">
      <c r="A23" s="237"/>
      <c r="B23" s="19" t="s">
        <v>316</v>
      </c>
      <c r="C23" s="3" t="s">
        <v>45</v>
      </c>
      <c r="D23" s="3">
        <f>E23+F23+G23</f>
        <v>8</v>
      </c>
      <c r="E23" s="3">
        <v>8</v>
      </c>
      <c r="F23" s="3"/>
      <c r="G23" s="3"/>
      <c r="H23" s="3"/>
    </row>
    <row r="24" spans="1:8" s="4" customFormat="1" ht="12.75">
      <c r="A24" s="237" t="s">
        <v>320</v>
      </c>
      <c r="B24" s="19"/>
      <c r="C24" s="3"/>
      <c r="D24" s="3"/>
      <c r="E24" s="3"/>
      <c r="F24" s="3"/>
      <c r="G24" s="3"/>
      <c r="H24" s="3"/>
    </row>
    <row r="25" spans="1:8" s="4" customFormat="1" ht="25.5">
      <c r="A25" s="237"/>
      <c r="B25" s="19" t="s">
        <v>317</v>
      </c>
      <c r="C25" s="3" t="s">
        <v>23</v>
      </c>
      <c r="D25" s="3">
        <f>E25+F25+G25</f>
        <v>417.66</v>
      </c>
      <c r="E25" s="3">
        <v>417.66</v>
      </c>
      <c r="F25" s="3"/>
      <c r="G25" s="3"/>
      <c r="H25" s="3"/>
    </row>
    <row r="26" spans="1:8" s="4" customFormat="1" ht="12.75" customHeight="1">
      <c r="A26" s="272" t="s">
        <v>318</v>
      </c>
      <c r="B26" s="273"/>
      <c r="C26" s="273"/>
      <c r="D26" s="273"/>
      <c r="E26" s="273"/>
      <c r="F26" s="273"/>
      <c r="G26" s="273"/>
      <c r="H26" s="274"/>
    </row>
    <row r="27" spans="1:8" s="4" customFormat="1" ht="12.75" customHeight="1">
      <c r="A27" s="308" t="s">
        <v>299</v>
      </c>
      <c r="B27" s="309"/>
      <c r="C27" s="309"/>
      <c r="D27" s="309"/>
      <c r="E27" s="309"/>
      <c r="F27" s="309"/>
      <c r="G27" s="309"/>
      <c r="H27" s="310"/>
    </row>
    <row r="28" spans="1:8" s="4" customFormat="1" ht="12.75">
      <c r="A28" s="234" t="s">
        <v>319</v>
      </c>
      <c r="B28" s="80"/>
      <c r="C28" s="150"/>
      <c r="D28" s="150"/>
      <c r="E28" s="150"/>
      <c r="F28" s="150"/>
      <c r="G28" s="150"/>
      <c r="H28" s="150"/>
    </row>
    <row r="29" spans="1:8" s="4" customFormat="1" ht="38.25">
      <c r="A29" s="236"/>
      <c r="B29" s="7" t="s">
        <v>357</v>
      </c>
      <c r="C29" s="5" t="s">
        <v>45</v>
      </c>
      <c r="D29" s="5">
        <f>E29+F29+G29</f>
        <v>30</v>
      </c>
      <c r="E29" s="5">
        <v>30</v>
      </c>
      <c r="F29" s="150"/>
      <c r="G29" s="150"/>
      <c r="H29" s="150"/>
    </row>
    <row r="30" spans="1:8" s="4" customFormat="1" ht="25.5">
      <c r="A30" s="84"/>
      <c r="B30" s="19" t="s">
        <v>317</v>
      </c>
      <c r="C30" s="5" t="s">
        <v>95</v>
      </c>
      <c r="D30" s="5">
        <f>E30+F30+G30</f>
        <v>0.418</v>
      </c>
      <c r="E30" s="5">
        <v>0.418</v>
      </c>
      <c r="F30" s="150"/>
      <c r="G30" s="150"/>
      <c r="H30" s="150"/>
    </row>
    <row r="31" spans="1:8" s="4" customFormat="1" ht="12.75" customHeight="1">
      <c r="A31" s="253" t="s">
        <v>91</v>
      </c>
      <c r="B31" s="254"/>
      <c r="C31" s="254"/>
      <c r="D31" s="254"/>
      <c r="E31" s="254"/>
      <c r="F31" s="254"/>
      <c r="G31" s="255"/>
      <c r="H31" s="150"/>
    </row>
    <row r="32" spans="1:8" s="4" customFormat="1" ht="12.75">
      <c r="A32" s="194" t="s">
        <v>299</v>
      </c>
      <c r="B32" s="194"/>
      <c r="C32" s="194"/>
      <c r="D32" s="194"/>
      <c r="E32" s="194"/>
      <c r="F32" s="194"/>
      <c r="G32" s="194"/>
      <c r="H32" s="3"/>
    </row>
    <row r="33" spans="1:8" s="4" customFormat="1" ht="12.75" customHeight="1">
      <c r="A33" s="234" t="s">
        <v>92</v>
      </c>
      <c r="B33" s="5"/>
      <c r="C33" s="5"/>
      <c r="D33" s="5"/>
      <c r="E33" s="5"/>
      <c r="F33" s="5"/>
      <c r="G33" s="5"/>
      <c r="H33" s="3"/>
    </row>
    <row r="34" spans="1:10" s="4" customFormat="1" ht="38.25">
      <c r="A34" s="235"/>
      <c r="B34" s="7" t="s">
        <v>106</v>
      </c>
      <c r="C34" s="5" t="s">
        <v>192</v>
      </c>
      <c r="D34" s="151">
        <f>E34+F34+G34</f>
        <v>289</v>
      </c>
      <c r="E34" s="5">
        <f>256+16+2+12+1+1+1</f>
        <v>289</v>
      </c>
      <c r="F34" s="5"/>
      <c r="G34" s="5"/>
      <c r="H34" s="3"/>
      <c r="I34" s="4">
        <v>45</v>
      </c>
      <c r="J34" s="4">
        <f>E34-I34</f>
        <v>244</v>
      </c>
    </row>
    <row r="35" spans="1:8" s="4" customFormat="1" ht="38.25">
      <c r="A35" s="236"/>
      <c r="B35" s="7" t="s">
        <v>201</v>
      </c>
      <c r="C35" s="5" t="s">
        <v>96</v>
      </c>
      <c r="D35" s="151">
        <v>5</v>
      </c>
      <c r="E35" s="5">
        <v>5</v>
      </c>
      <c r="F35" s="5"/>
      <c r="G35" s="5"/>
      <c r="H35" s="3"/>
    </row>
    <row r="36" spans="1:8" s="4" customFormat="1" ht="12.75">
      <c r="A36" s="249" t="s">
        <v>91</v>
      </c>
      <c r="B36" s="295"/>
      <c r="C36" s="295"/>
      <c r="D36" s="295"/>
      <c r="E36" s="295"/>
      <c r="F36" s="295"/>
      <c r="G36" s="295"/>
      <c r="H36" s="295"/>
    </row>
    <row r="37" spans="1:8" s="4" customFormat="1" ht="12.75">
      <c r="A37" s="194" t="s">
        <v>251</v>
      </c>
      <c r="B37" s="194"/>
      <c r="C37" s="194"/>
      <c r="D37" s="194"/>
      <c r="E37" s="194"/>
      <c r="F37" s="194"/>
      <c r="G37" s="194"/>
      <c r="H37" s="3"/>
    </row>
    <row r="38" spans="1:8" s="4" customFormat="1" ht="12.75" customHeight="1">
      <c r="A38" s="234" t="s">
        <v>92</v>
      </c>
      <c r="B38" s="5"/>
      <c r="C38" s="5"/>
      <c r="D38" s="5"/>
      <c r="E38" s="5"/>
      <c r="F38" s="5"/>
      <c r="G38" s="5"/>
      <c r="H38" s="3"/>
    </row>
    <row r="39" spans="1:8" s="4" customFormat="1" ht="38.25">
      <c r="A39" s="235"/>
      <c r="B39" s="7" t="s">
        <v>106</v>
      </c>
      <c r="C39" s="5" t="s">
        <v>192</v>
      </c>
      <c r="D39" s="151">
        <f>E39+F39+G39</f>
        <v>5</v>
      </c>
      <c r="E39" s="5">
        <f>28-23</f>
        <v>5</v>
      </c>
      <c r="F39" s="5"/>
      <c r="G39" s="5"/>
      <c r="H39" s="3"/>
    </row>
    <row r="40" spans="1:8" s="4" customFormat="1" ht="12.75">
      <c r="A40" s="249" t="s">
        <v>91</v>
      </c>
      <c r="B40" s="295"/>
      <c r="C40" s="295"/>
      <c r="D40" s="295"/>
      <c r="E40" s="295"/>
      <c r="F40" s="295"/>
      <c r="G40" s="295"/>
      <c r="H40" s="295"/>
    </row>
    <row r="41" spans="1:8" s="4" customFormat="1" ht="12.75">
      <c r="A41" s="194" t="s">
        <v>256</v>
      </c>
      <c r="B41" s="194"/>
      <c r="C41" s="194"/>
      <c r="D41" s="194"/>
      <c r="E41" s="194"/>
      <c r="F41" s="194"/>
      <c r="G41" s="194"/>
      <c r="H41" s="3"/>
    </row>
    <row r="42" spans="1:8" s="4" customFormat="1" ht="12.75" customHeight="1">
      <c r="A42" s="234" t="s">
        <v>92</v>
      </c>
      <c r="B42" s="5"/>
      <c r="C42" s="5"/>
      <c r="D42" s="5"/>
      <c r="E42" s="5"/>
      <c r="F42" s="5"/>
      <c r="G42" s="5"/>
      <c r="H42" s="3"/>
    </row>
    <row r="43" spans="1:8" s="4" customFormat="1" ht="38.25">
      <c r="A43" s="235"/>
      <c r="B43" s="7" t="s">
        <v>106</v>
      </c>
      <c r="C43" s="5" t="s">
        <v>192</v>
      </c>
      <c r="D43" s="151">
        <f>E43+F43+G43</f>
        <v>2</v>
      </c>
      <c r="E43" s="5">
        <v>2</v>
      </c>
      <c r="F43" s="5"/>
      <c r="G43" s="5"/>
      <c r="H43" s="3"/>
    </row>
    <row r="44" spans="1:8" s="4" customFormat="1" ht="12.75">
      <c r="A44" s="249" t="s">
        <v>91</v>
      </c>
      <c r="B44" s="295"/>
      <c r="C44" s="295"/>
      <c r="D44" s="295"/>
      <c r="E44" s="295"/>
      <c r="F44" s="295"/>
      <c r="G44" s="295"/>
      <c r="H44" s="295"/>
    </row>
    <row r="45" spans="1:8" s="4" customFormat="1" ht="12.75">
      <c r="A45" s="194" t="s">
        <v>257</v>
      </c>
      <c r="B45" s="194"/>
      <c r="C45" s="194"/>
      <c r="D45" s="194"/>
      <c r="E45" s="194"/>
      <c r="F45" s="194"/>
      <c r="G45" s="194"/>
      <c r="H45" s="3"/>
    </row>
    <row r="46" spans="1:8" s="4" customFormat="1" ht="12.75" customHeight="1">
      <c r="A46" s="234" t="s">
        <v>92</v>
      </c>
      <c r="B46" s="5"/>
      <c r="C46" s="5"/>
      <c r="D46" s="5"/>
      <c r="E46" s="5"/>
      <c r="F46" s="5"/>
      <c r="G46" s="5"/>
      <c r="H46" s="3"/>
    </row>
    <row r="47" spans="1:8" s="4" customFormat="1" ht="38.25">
      <c r="A47" s="235"/>
      <c r="B47" s="7" t="s">
        <v>106</v>
      </c>
      <c r="C47" s="5" t="s">
        <v>192</v>
      </c>
      <c r="D47" s="151">
        <f>E47+F47+G47</f>
        <v>4</v>
      </c>
      <c r="E47" s="5">
        <f>3+1</f>
        <v>4</v>
      </c>
      <c r="F47" s="5"/>
      <c r="G47" s="5"/>
      <c r="H47" s="3"/>
    </row>
    <row r="48" spans="1:8" s="4" customFormat="1" ht="12.75">
      <c r="A48" s="249" t="s">
        <v>91</v>
      </c>
      <c r="B48" s="295"/>
      <c r="C48" s="295"/>
      <c r="D48" s="295"/>
      <c r="E48" s="295"/>
      <c r="F48" s="295"/>
      <c r="G48" s="295"/>
      <c r="H48" s="295"/>
    </row>
    <row r="49" spans="1:8" s="4" customFormat="1" ht="12.75">
      <c r="A49" s="194" t="s">
        <v>293</v>
      </c>
      <c r="B49" s="194"/>
      <c r="C49" s="194"/>
      <c r="D49" s="194"/>
      <c r="E49" s="194"/>
      <c r="F49" s="194"/>
      <c r="G49" s="194"/>
      <c r="H49" s="3"/>
    </row>
    <row r="50" spans="1:8" s="4" customFormat="1" ht="12.75" customHeight="1">
      <c r="A50" s="234" t="s">
        <v>92</v>
      </c>
      <c r="B50" s="5"/>
      <c r="C50" s="5"/>
      <c r="D50" s="5"/>
      <c r="E50" s="5"/>
      <c r="F50" s="5"/>
      <c r="G50" s="5"/>
      <c r="H50" s="3"/>
    </row>
    <row r="51" spans="1:8" s="4" customFormat="1" ht="38.25">
      <c r="A51" s="235"/>
      <c r="B51" s="7" t="s">
        <v>106</v>
      </c>
      <c r="C51" s="5" t="s">
        <v>192</v>
      </c>
      <c r="D51" s="151">
        <f>E51+F51+G51</f>
        <v>2</v>
      </c>
      <c r="E51" s="5">
        <f>29-27</f>
        <v>2</v>
      </c>
      <c r="F51" s="5"/>
      <c r="G51" s="5"/>
      <c r="H51" s="3"/>
    </row>
    <row r="52" spans="1:8" s="4" customFormat="1" ht="12.75">
      <c r="A52" s="249" t="s">
        <v>91</v>
      </c>
      <c r="B52" s="295"/>
      <c r="C52" s="295"/>
      <c r="D52" s="295"/>
      <c r="E52" s="295"/>
      <c r="F52" s="295"/>
      <c r="G52" s="295"/>
      <c r="H52" s="295"/>
    </row>
    <row r="53" spans="1:8" s="4" customFormat="1" ht="12.75">
      <c r="A53" s="194" t="s">
        <v>288</v>
      </c>
      <c r="B53" s="194"/>
      <c r="C53" s="194"/>
      <c r="D53" s="194"/>
      <c r="E53" s="194"/>
      <c r="F53" s="194"/>
      <c r="G53" s="194"/>
      <c r="H53" s="3"/>
    </row>
    <row r="54" spans="1:8" s="4" customFormat="1" ht="12.75" customHeight="1">
      <c r="A54" s="234" t="s">
        <v>92</v>
      </c>
      <c r="B54" s="5"/>
      <c r="C54" s="5"/>
      <c r="D54" s="5"/>
      <c r="E54" s="5"/>
      <c r="F54" s="5"/>
      <c r="G54" s="5"/>
      <c r="H54" s="3"/>
    </row>
    <row r="55" spans="1:8" s="4" customFormat="1" ht="38.25">
      <c r="A55" s="235"/>
      <c r="B55" s="94" t="s">
        <v>106</v>
      </c>
      <c r="C55" s="86" t="s">
        <v>192</v>
      </c>
      <c r="D55" s="152">
        <f>E55+F55+G55</f>
        <v>5</v>
      </c>
      <c r="E55" s="86">
        <f>3+1+1</f>
        <v>5</v>
      </c>
      <c r="F55" s="86"/>
      <c r="G55" s="86"/>
      <c r="H55" s="3"/>
    </row>
    <row r="56" spans="1:8" s="4" customFormat="1" ht="12.75">
      <c r="A56" s="249" t="s">
        <v>91</v>
      </c>
      <c r="B56" s="312"/>
      <c r="C56" s="312"/>
      <c r="D56" s="312"/>
      <c r="E56" s="312"/>
      <c r="F56" s="312"/>
      <c r="G56" s="312"/>
      <c r="H56" s="3"/>
    </row>
    <row r="57" spans="1:8" s="4" customFormat="1" ht="12.75">
      <c r="A57" s="194" t="s">
        <v>332</v>
      </c>
      <c r="B57" s="312"/>
      <c r="C57" s="312"/>
      <c r="D57" s="312"/>
      <c r="E57" s="312"/>
      <c r="F57" s="312"/>
      <c r="G57" s="312"/>
      <c r="H57" s="3"/>
    </row>
    <row r="58" spans="1:8" s="4" customFormat="1" ht="18" customHeight="1">
      <c r="A58" s="219" t="s">
        <v>92</v>
      </c>
      <c r="B58" s="86"/>
      <c r="C58" s="5"/>
      <c r="D58" s="151"/>
      <c r="E58" s="5"/>
      <c r="F58" s="5"/>
      <c r="G58" s="5"/>
      <c r="H58" s="3"/>
    </row>
    <row r="59" spans="1:8" s="4" customFormat="1" ht="48.75" customHeight="1">
      <c r="A59" s="220"/>
      <c r="B59" s="94" t="s">
        <v>106</v>
      </c>
      <c r="C59" s="153" t="s">
        <v>353</v>
      </c>
      <c r="D59" s="152">
        <v>2</v>
      </c>
      <c r="E59" s="86">
        <v>2</v>
      </c>
      <c r="F59" s="153"/>
      <c r="G59" s="153"/>
      <c r="H59" s="3"/>
    </row>
    <row r="60" spans="1:8" s="4" customFormat="1" ht="13.5" customHeight="1">
      <c r="A60" s="249" t="s">
        <v>91</v>
      </c>
      <c r="B60" s="312"/>
      <c r="C60" s="312"/>
      <c r="D60" s="312"/>
      <c r="E60" s="312"/>
      <c r="F60" s="312"/>
      <c r="G60" s="312"/>
      <c r="H60" s="3"/>
    </row>
    <row r="61" spans="1:8" s="4" customFormat="1" ht="12.75">
      <c r="A61" s="194" t="s">
        <v>291</v>
      </c>
      <c r="B61" s="194"/>
      <c r="C61" s="194"/>
      <c r="D61" s="194"/>
      <c r="E61" s="194"/>
      <c r="F61" s="194"/>
      <c r="G61" s="194"/>
      <c r="H61" s="3"/>
    </row>
    <row r="62" spans="1:8" s="4" customFormat="1" ht="12.75" customHeight="1">
      <c r="A62" s="234" t="s">
        <v>92</v>
      </c>
      <c r="B62" s="5"/>
      <c r="C62" s="5"/>
      <c r="D62" s="5"/>
      <c r="E62" s="5"/>
      <c r="F62" s="5"/>
      <c r="G62" s="5"/>
      <c r="H62" s="3"/>
    </row>
    <row r="63" spans="1:8" s="4" customFormat="1" ht="38.25">
      <c r="A63" s="235"/>
      <c r="B63" s="7" t="s">
        <v>106</v>
      </c>
      <c r="C63" s="5" t="s">
        <v>192</v>
      </c>
      <c r="D63" s="151">
        <f>E63+F63+G63</f>
        <v>1</v>
      </c>
      <c r="E63" s="5">
        <f>28+1-28</f>
        <v>1</v>
      </c>
      <c r="F63" s="5"/>
      <c r="G63" s="5"/>
      <c r="H63" s="3"/>
    </row>
    <row r="64" spans="1:8" s="4" customFormat="1" ht="12.75" hidden="1">
      <c r="A64" s="249" t="s">
        <v>91</v>
      </c>
      <c r="B64" s="295"/>
      <c r="C64" s="295"/>
      <c r="D64" s="295"/>
      <c r="E64" s="295"/>
      <c r="F64" s="295"/>
      <c r="G64" s="295"/>
      <c r="H64" s="295"/>
    </row>
    <row r="65" spans="1:8" s="4" customFormat="1" ht="12.75" hidden="1">
      <c r="A65" s="194" t="s">
        <v>89</v>
      </c>
      <c r="B65" s="194"/>
      <c r="C65" s="194"/>
      <c r="D65" s="194"/>
      <c r="E65" s="194"/>
      <c r="F65" s="194"/>
      <c r="G65" s="194"/>
      <c r="H65" s="3"/>
    </row>
    <row r="66" spans="1:8" s="4" customFormat="1" ht="12.75" customHeight="1" hidden="1">
      <c r="A66" s="234" t="s">
        <v>92</v>
      </c>
      <c r="B66" s="5"/>
      <c r="C66" s="5"/>
      <c r="D66" s="5"/>
      <c r="E66" s="5"/>
      <c r="F66" s="5"/>
      <c r="G66" s="5"/>
      <c r="H66" s="3"/>
    </row>
    <row r="67" spans="1:8" s="4" customFormat="1" ht="38.25" hidden="1">
      <c r="A67" s="235"/>
      <c r="B67" s="94" t="s">
        <v>106</v>
      </c>
      <c r="C67" s="86" t="s">
        <v>192</v>
      </c>
      <c r="D67" s="152">
        <f>E67+F67+G67</f>
        <v>0</v>
      </c>
      <c r="E67" s="86">
        <f>24-24</f>
        <v>0</v>
      </c>
      <c r="F67" s="86">
        <v>0</v>
      </c>
      <c r="G67" s="86"/>
      <c r="H67" s="3"/>
    </row>
    <row r="68" spans="1:8" s="4" customFormat="1" ht="38.25">
      <c r="A68" s="84"/>
      <c r="B68" s="7" t="s">
        <v>201</v>
      </c>
      <c r="C68" s="5" t="s">
        <v>96</v>
      </c>
      <c r="D68" s="151">
        <v>1</v>
      </c>
      <c r="E68" s="5">
        <v>1</v>
      </c>
      <c r="F68" s="5"/>
      <c r="G68" s="5"/>
      <c r="H68" s="3"/>
    </row>
    <row r="69" spans="1:8" s="4" customFormat="1" ht="12.75" customHeight="1">
      <c r="A69" s="272" t="s">
        <v>97</v>
      </c>
      <c r="B69" s="273"/>
      <c r="C69" s="273"/>
      <c r="D69" s="273"/>
      <c r="E69" s="273"/>
      <c r="F69" s="273"/>
      <c r="G69" s="274"/>
      <c r="H69" s="3"/>
    </row>
    <row r="70" spans="1:8" s="4" customFormat="1" ht="12.75" customHeight="1">
      <c r="A70" s="292" t="s">
        <v>299</v>
      </c>
      <c r="B70" s="293"/>
      <c r="C70" s="293"/>
      <c r="D70" s="293"/>
      <c r="E70" s="293"/>
      <c r="F70" s="293"/>
      <c r="G70" s="294"/>
      <c r="H70" s="3"/>
    </row>
    <row r="71" spans="1:8" s="4" customFormat="1" ht="12.75" customHeight="1">
      <c r="A71" s="234" t="s">
        <v>63</v>
      </c>
      <c r="B71" s="5"/>
      <c r="C71" s="3"/>
      <c r="D71" s="3"/>
      <c r="E71" s="3"/>
      <c r="F71" s="3"/>
      <c r="G71" s="3"/>
      <c r="H71" s="3"/>
    </row>
    <row r="72" spans="1:8" s="4" customFormat="1" ht="15" customHeight="1">
      <c r="A72" s="235"/>
      <c r="B72" s="7" t="s">
        <v>58</v>
      </c>
      <c r="C72" s="5" t="s">
        <v>95</v>
      </c>
      <c r="D72" s="79">
        <v>5323.3</v>
      </c>
      <c r="E72" s="154">
        <v>5323.3</v>
      </c>
      <c r="F72" s="154">
        <v>5323.3</v>
      </c>
      <c r="G72" s="154">
        <v>5323.3</v>
      </c>
      <c r="H72" s="154">
        <v>5323.3</v>
      </c>
    </row>
    <row r="73" spans="1:8" s="4" customFormat="1" ht="25.5">
      <c r="A73" s="235"/>
      <c r="B73" s="7" t="s">
        <v>165</v>
      </c>
      <c r="C73" s="5" t="s">
        <v>45</v>
      </c>
      <c r="D73" s="151">
        <v>37</v>
      </c>
      <c r="E73" s="151">
        <v>37</v>
      </c>
      <c r="F73" s="151">
        <v>37</v>
      </c>
      <c r="G73" s="151">
        <v>37</v>
      </c>
      <c r="H73" s="154"/>
    </row>
    <row r="74" spans="1:11" s="4" customFormat="1" ht="25.5">
      <c r="A74" s="235"/>
      <c r="B74" s="78" t="s">
        <v>119</v>
      </c>
      <c r="C74" s="3" t="s">
        <v>45</v>
      </c>
      <c r="D74" s="151">
        <f>E74</f>
        <v>7008</v>
      </c>
      <c r="E74" s="151">
        <v>7008</v>
      </c>
      <c r="F74" s="151">
        <v>7008</v>
      </c>
      <c r="G74" s="151">
        <v>7008</v>
      </c>
      <c r="H74" s="3"/>
      <c r="I74" s="4">
        <v>6828</v>
      </c>
      <c r="J74" s="4">
        <v>180</v>
      </c>
      <c r="K74" s="4">
        <f>I74+J74</f>
        <v>7008</v>
      </c>
    </row>
    <row r="75" spans="1:8" s="4" customFormat="1" ht="25.5">
      <c r="A75" s="235"/>
      <c r="B75" s="78" t="s">
        <v>59</v>
      </c>
      <c r="C75" s="5" t="s">
        <v>45</v>
      </c>
      <c r="D75" s="5">
        <v>21413</v>
      </c>
      <c r="E75" s="5">
        <v>21413</v>
      </c>
      <c r="F75" s="5">
        <v>21413</v>
      </c>
      <c r="G75" s="5">
        <v>21413</v>
      </c>
      <c r="H75" s="3"/>
    </row>
    <row r="76" spans="1:8" s="4" customFormat="1" ht="12.75">
      <c r="A76" s="235"/>
      <c r="B76" s="78" t="s">
        <v>60</v>
      </c>
      <c r="C76" s="5" t="s">
        <v>47</v>
      </c>
      <c r="D76" s="155">
        <v>41.16</v>
      </c>
      <c r="E76" s="155">
        <v>41.16</v>
      </c>
      <c r="F76" s="155">
        <v>41.16</v>
      </c>
      <c r="G76" s="155">
        <v>41.16</v>
      </c>
      <c r="H76" s="3"/>
    </row>
    <row r="77" spans="1:8" s="4" customFormat="1" ht="12.75">
      <c r="A77" s="235"/>
      <c r="B77" s="78" t="s">
        <v>61</v>
      </c>
      <c r="C77" s="5" t="s">
        <v>47</v>
      </c>
      <c r="D77" s="5">
        <v>8.9</v>
      </c>
      <c r="E77" s="5">
        <v>8.9</v>
      </c>
      <c r="F77" s="5">
        <v>8.9</v>
      </c>
      <c r="G77" s="5">
        <v>8.9</v>
      </c>
      <c r="H77" s="3"/>
    </row>
    <row r="78" spans="1:8" s="4" customFormat="1" ht="25.5">
      <c r="A78" s="235"/>
      <c r="B78" s="78" t="s">
        <v>194</v>
      </c>
      <c r="C78" s="5" t="s">
        <v>47</v>
      </c>
      <c r="D78" s="5">
        <v>54.2</v>
      </c>
      <c r="E78" s="5">
        <v>54.2</v>
      </c>
      <c r="F78" s="5">
        <v>54.2</v>
      </c>
      <c r="G78" s="5">
        <v>54.2</v>
      </c>
      <c r="H78" s="3"/>
    </row>
    <row r="79" spans="1:8" s="4" customFormat="1" ht="12.75">
      <c r="A79" s="235"/>
      <c r="B79" s="78" t="s">
        <v>27</v>
      </c>
      <c r="C79" s="5" t="s">
        <v>45</v>
      </c>
      <c r="D79" s="5">
        <v>34</v>
      </c>
      <c r="E79" s="5">
        <v>34</v>
      </c>
      <c r="F79" s="5">
        <v>34</v>
      </c>
      <c r="G79" s="5">
        <v>34</v>
      </c>
      <c r="H79" s="3"/>
    </row>
    <row r="80" spans="1:8" s="4" customFormat="1" ht="38.25">
      <c r="A80" s="235"/>
      <c r="B80" s="78" t="s">
        <v>62</v>
      </c>
      <c r="C80" s="5" t="s">
        <v>45</v>
      </c>
      <c r="D80" s="5">
        <v>14</v>
      </c>
      <c r="E80" s="5">
        <v>14</v>
      </c>
      <c r="F80" s="5">
        <v>14</v>
      </c>
      <c r="G80" s="5">
        <v>14</v>
      </c>
      <c r="H80" s="3"/>
    </row>
    <row r="81" spans="1:8" s="4" customFormat="1" ht="25.5">
      <c r="A81" s="235"/>
      <c r="B81" s="78" t="s">
        <v>193</v>
      </c>
      <c r="C81" s="5" t="s">
        <v>45</v>
      </c>
      <c r="D81" s="5">
        <v>96</v>
      </c>
      <c r="E81" s="5">
        <v>96</v>
      </c>
      <c r="F81" s="5">
        <v>96</v>
      </c>
      <c r="G81" s="5">
        <v>96</v>
      </c>
      <c r="H81" s="3"/>
    </row>
    <row r="82" spans="1:8" s="4" customFormat="1" ht="25.5">
      <c r="A82" s="235"/>
      <c r="B82" s="78" t="s">
        <v>77</v>
      </c>
      <c r="C82" s="5" t="s">
        <v>47</v>
      </c>
      <c r="D82" s="5">
        <v>280</v>
      </c>
      <c r="E82" s="5">
        <v>280</v>
      </c>
      <c r="F82" s="5">
        <v>280</v>
      </c>
      <c r="G82" s="5">
        <v>280</v>
      </c>
      <c r="H82" s="3"/>
    </row>
    <row r="83" spans="1:8" s="4" customFormat="1" ht="51">
      <c r="A83" s="235"/>
      <c r="B83" s="78" t="s">
        <v>260</v>
      </c>
      <c r="C83" s="5" t="s">
        <v>95</v>
      </c>
      <c r="D83" s="5">
        <v>4.34</v>
      </c>
      <c r="E83" s="5">
        <v>4.34</v>
      </c>
      <c r="F83" s="5"/>
      <c r="G83" s="5"/>
      <c r="H83" s="3"/>
    </row>
    <row r="84" spans="1:8" s="4" customFormat="1" ht="51">
      <c r="A84" s="235"/>
      <c r="B84" s="78" t="s">
        <v>297</v>
      </c>
      <c r="C84" s="5" t="s">
        <v>23</v>
      </c>
      <c r="D84" s="137">
        <v>10.5</v>
      </c>
      <c r="E84" s="137">
        <v>10.5</v>
      </c>
      <c r="F84" s="5"/>
      <c r="G84" s="5"/>
      <c r="H84" s="3"/>
    </row>
    <row r="85" spans="1:8" s="4" customFormat="1" ht="27" customHeight="1">
      <c r="A85" s="235"/>
      <c r="B85" s="78" t="s">
        <v>296</v>
      </c>
      <c r="C85" s="5" t="s">
        <v>45</v>
      </c>
      <c r="D85" s="5">
        <v>7</v>
      </c>
      <c r="E85" s="5">
        <v>7</v>
      </c>
      <c r="F85" s="5"/>
      <c r="G85" s="5"/>
      <c r="H85" s="3"/>
    </row>
    <row r="86" spans="1:11" s="37" customFormat="1" ht="12.75">
      <c r="A86" s="235"/>
      <c r="B86" s="78" t="s">
        <v>358</v>
      </c>
      <c r="C86" s="5" t="s">
        <v>45</v>
      </c>
      <c r="D86" s="5">
        <v>2</v>
      </c>
      <c r="E86" s="5">
        <v>2</v>
      </c>
      <c r="F86" s="5"/>
      <c r="G86" s="5"/>
      <c r="H86" s="3"/>
      <c r="I86" s="4"/>
      <c r="J86" s="4"/>
      <c r="K86" s="4"/>
    </row>
    <row r="87" spans="1:8" s="4" customFormat="1" ht="12.75" customHeight="1">
      <c r="A87" s="237" t="s">
        <v>64</v>
      </c>
      <c r="B87" s="78"/>
      <c r="C87" s="3"/>
      <c r="D87" s="3"/>
      <c r="E87" s="3"/>
      <c r="F87" s="3"/>
      <c r="G87" s="3"/>
      <c r="H87" s="3"/>
    </row>
    <row r="88" spans="1:8" s="4" customFormat="1" ht="12.75">
      <c r="A88" s="237"/>
      <c r="B88" s="78" t="s">
        <v>113</v>
      </c>
      <c r="C88" s="5" t="s">
        <v>46</v>
      </c>
      <c r="D88" s="151">
        <f>E88+F88+G88</f>
        <v>38831634</v>
      </c>
      <c r="E88" s="151">
        <v>12943878</v>
      </c>
      <c r="F88" s="151">
        <v>12943878</v>
      </c>
      <c r="G88" s="151">
        <v>12943878</v>
      </c>
      <c r="H88" s="3"/>
    </row>
    <row r="89" spans="1:8" s="4" customFormat="1" ht="25.5">
      <c r="A89" s="237"/>
      <c r="B89" s="7" t="s">
        <v>26</v>
      </c>
      <c r="C89" s="5" t="s">
        <v>45</v>
      </c>
      <c r="D89" s="151">
        <v>179</v>
      </c>
      <c r="E89" s="151">
        <v>179</v>
      </c>
      <c r="F89" s="151">
        <v>179</v>
      </c>
      <c r="G89" s="151">
        <v>179</v>
      </c>
      <c r="H89" s="3"/>
    </row>
    <row r="90" spans="1:8" s="4" customFormat="1" ht="12.75">
      <c r="A90" s="237"/>
      <c r="B90" s="78" t="s">
        <v>65</v>
      </c>
      <c r="C90" s="5" t="s">
        <v>46</v>
      </c>
      <c r="D90" s="79">
        <f>E90+F90+G90</f>
        <v>308994</v>
      </c>
      <c r="E90" s="151">
        <v>102998</v>
      </c>
      <c r="F90" s="151">
        <v>102998</v>
      </c>
      <c r="G90" s="151">
        <v>102998</v>
      </c>
      <c r="H90" s="151">
        <v>98810</v>
      </c>
    </row>
    <row r="91" spans="1:8" s="4" customFormat="1" ht="12.75">
      <c r="A91" s="237"/>
      <c r="B91" s="78" t="s">
        <v>66</v>
      </c>
      <c r="C91" s="5" t="s">
        <v>46</v>
      </c>
      <c r="D91" s="79">
        <f>E91+F91+G91</f>
        <v>159921</v>
      </c>
      <c r="E91" s="151">
        <v>53307</v>
      </c>
      <c r="F91" s="151">
        <v>53307</v>
      </c>
      <c r="G91" s="151">
        <v>53307</v>
      </c>
      <c r="H91" s="151">
        <v>50956</v>
      </c>
    </row>
    <row r="92" spans="1:8" s="4" customFormat="1" ht="12.75">
      <c r="A92" s="237"/>
      <c r="B92" s="78" t="s">
        <v>67</v>
      </c>
      <c r="C92" s="5" t="s">
        <v>46</v>
      </c>
      <c r="D92" s="79">
        <f>E92+F92+G92</f>
        <v>1561107</v>
      </c>
      <c r="E92" s="151">
        <v>520369</v>
      </c>
      <c r="F92" s="151">
        <v>520369</v>
      </c>
      <c r="G92" s="151">
        <v>520369</v>
      </c>
      <c r="H92" s="151">
        <v>499200</v>
      </c>
    </row>
    <row r="93" spans="1:8" s="4" customFormat="1" ht="12.75">
      <c r="A93" s="237" t="s">
        <v>68</v>
      </c>
      <c r="B93" s="78"/>
      <c r="C93" s="3"/>
      <c r="D93" s="3"/>
      <c r="E93" s="3"/>
      <c r="F93" s="3"/>
      <c r="G93" s="3"/>
      <c r="H93" s="3"/>
    </row>
    <row r="94" spans="1:8" s="4" customFormat="1" ht="25.5">
      <c r="A94" s="237"/>
      <c r="B94" s="78" t="s">
        <v>69</v>
      </c>
      <c r="C94" s="5" t="s">
        <v>48</v>
      </c>
      <c r="D94" s="79">
        <f>E94+F94+G94</f>
        <v>4693.200000000001</v>
      </c>
      <c r="E94" s="79">
        <v>1564.4</v>
      </c>
      <c r="F94" s="79">
        <v>1564.4</v>
      </c>
      <c r="G94" s="79">
        <v>1564.4</v>
      </c>
      <c r="H94" s="3"/>
    </row>
    <row r="95" spans="1:8" s="4" customFormat="1" ht="25.5">
      <c r="A95" s="237"/>
      <c r="B95" s="78" t="s">
        <v>70</v>
      </c>
      <c r="C95" s="5" t="s">
        <v>48</v>
      </c>
      <c r="D95" s="79">
        <f>E95+F95+G95</f>
        <v>6432.299999999999</v>
      </c>
      <c r="E95" s="79">
        <v>2144.1</v>
      </c>
      <c r="F95" s="79">
        <v>2144.1</v>
      </c>
      <c r="G95" s="79">
        <v>2144.1</v>
      </c>
      <c r="H95" s="3"/>
    </row>
    <row r="96" spans="1:9" s="4" customFormat="1" ht="25.5">
      <c r="A96" s="237"/>
      <c r="B96" s="78" t="s">
        <v>71</v>
      </c>
      <c r="C96" s="5" t="s">
        <v>48</v>
      </c>
      <c r="D96" s="79">
        <f>E96+F96+G96</f>
        <v>21573.6</v>
      </c>
      <c r="E96" s="79">
        <v>7191.2</v>
      </c>
      <c r="F96" s="79">
        <v>7191.2</v>
      </c>
      <c r="G96" s="79">
        <v>7191.2</v>
      </c>
      <c r="H96" s="3"/>
      <c r="I96" s="156"/>
    </row>
    <row r="97" spans="1:8" s="4" customFormat="1" ht="38.25">
      <c r="A97" s="237"/>
      <c r="B97" s="78" t="s">
        <v>72</v>
      </c>
      <c r="C97" s="5" t="s">
        <v>48</v>
      </c>
      <c r="D97" s="79">
        <f>E97+F97+G97</f>
        <v>2949.6000000000004</v>
      </c>
      <c r="E97" s="79">
        <v>983.2</v>
      </c>
      <c r="F97" s="79">
        <v>983.2</v>
      </c>
      <c r="G97" s="79">
        <v>983.2</v>
      </c>
      <c r="H97" s="3"/>
    </row>
    <row r="98" spans="1:8" s="4" customFormat="1" ht="25.5">
      <c r="A98" s="85"/>
      <c r="B98" s="78" t="s">
        <v>295</v>
      </c>
      <c r="C98" s="5" t="s">
        <v>45</v>
      </c>
      <c r="D98" s="5">
        <v>7</v>
      </c>
      <c r="E98" s="5">
        <v>7</v>
      </c>
      <c r="F98" s="5"/>
      <c r="G98" s="5"/>
      <c r="H98" s="3"/>
    </row>
    <row r="99" spans="1:8" s="4" customFormat="1" ht="12.75" customHeight="1">
      <c r="A99" s="234" t="s">
        <v>73</v>
      </c>
      <c r="B99" s="78"/>
      <c r="C99" s="3"/>
      <c r="D99" s="3"/>
      <c r="E99" s="3"/>
      <c r="F99" s="3"/>
      <c r="G99" s="3"/>
      <c r="H99" s="3"/>
    </row>
    <row r="100" spans="1:8" s="4" customFormat="1" ht="12.75">
      <c r="A100" s="235"/>
      <c r="B100" s="78" t="s">
        <v>115</v>
      </c>
      <c r="C100" s="5" t="s">
        <v>95</v>
      </c>
      <c r="D100" s="79">
        <f>E100+F100+G100</f>
        <v>949.504</v>
      </c>
      <c r="E100" s="8">
        <f>215.9+137.72</f>
        <v>353.62</v>
      </c>
      <c r="F100" s="79">
        <v>259.08</v>
      </c>
      <c r="G100" s="8">
        <v>336.804</v>
      </c>
      <c r="H100" s="3"/>
    </row>
    <row r="101" spans="1:8" s="4" customFormat="1" ht="12.75">
      <c r="A101" s="235"/>
      <c r="B101" s="78" t="s">
        <v>294</v>
      </c>
      <c r="C101" s="5" t="s">
        <v>95</v>
      </c>
      <c r="D101" s="79">
        <f>E101+F101+G101</f>
        <v>249.43200000000002</v>
      </c>
      <c r="E101" s="8">
        <f>31.22</f>
        <v>31.22</v>
      </c>
      <c r="F101" s="79">
        <v>127.672</v>
      </c>
      <c r="G101" s="8">
        <v>90.54</v>
      </c>
      <c r="H101" s="3"/>
    </row>
    <row r="102" spans="1:8" s="4" customFormat="1" ht="25.5">
      <c r="A102" s="235"/>
      <c r="B102" s="78" t="s">
        <v>164</v>
      </c>
      <c r="C102" s="5" t="s">
        <v>95</v>
      </c>
      <c r="D102" s="5">
        <f>E102</f>
        <v>133.33</v>
      </c>
      <c r="E102" s="155">
        <v>133.33</v>
      </c>
      <c r="F102" s="5">
        <v>133.33</v>
      </c>
      <c r="G102" s="5">
        <v>133.33</v>
      </c>
      <c r="H102" s="3"/>
    </row>
    <row r="103" spans="1:8" s="4" customFormat="1" ht="25.5">
      <c r="A103" s="235"/>
      <c r="B103" s="78" t="s">
        <v>117</v>
      </c>
      <c r="C103" s="5" t="s">
        <v>45</v>
      </c>
      <c r="D103" s="151">
        <f>E103+F103+G103</f>
        <v>45</v>
      </c>
      <c r="E103" s="5">
        <v>15</v>
      </c>
      <c r="F103" s="5">
        <v>15</v>
      </c>
      <c r="G103" s="5">
        <v>15</v>
      </c>
      <c r="H103" s="3"/>
    </row>
    <row r="104" spans="1:8" s="4" customFormat="1" ht="12.75">
      <c r="A104" s="235"/>
      <c r="B104" s="78" t="s">
        <v>22</v>
      </c>
      <c r="C104" s="5" t="s">
        <v>23</v>
      </c>
      <c r="D104" s="151">
        <f>E104+F104+G104</f>
        <v>186195</v>
      </c>
      <c r="E104" s="151">
        <v>62065</v>
      </c>
      <c r="F104" s="151">
        <v>62065</v>
      </c>
      <c r="G104" s="151">
        <v>62065</v>
      </c>
      <c r="H104" s="3"/>
    </row>
    <row r="105" spans="1:8" s="4" customFormat="1" ht="25.5">
      <c r="A105" s="235"/>
      <c r="B105" s="78" t="s">
        <v>74</v>
      </c>
      <c r="C105" s="5" t="s">
        <v>125</v>
      </c>
      <c r="D105" s="5">
        <v>614</v>
      </c>
      <c r="E105" s="5">
        <v>614</v>
      </c>
      <c r="F105" s="5">
        <v>614</v>
      </c>
      <c r="G105" s="5">
        <v>614</v>
      </c>
      <c r="H105" s="3"/>
    </row>
    <row r="106" spans="1:8" s="4" customFormat="1" ht="50.25" customHeight="1">
      <c r="A106" s="235"/>
      <c r="B106" s="78" t="s">
        <v>168</v>
      </c>
      <c r="C106" s="5" t="s">
        <v>45</v>
      </c>
      <c r="D106" s="12">
        <v>694</v>
      </c>
      <c r="E106" s="12">
        <v>694</v>
      </c>
      <c r="F106" s="12">
        <v>694</v>
      </c>
      <c r="G106" s="12">
        <v>694</v>
      </c>
      <c r="H106" s="3"/>
    </row>
    <row r="107" spans="1:8" s="4" customFormat="1" ht="12.75" customHeight="1">
      <c r="A107" s="235"/>
      <c r="B107" s="113" t="s">
        <v>42</v>
      </c>
      <c r="C107" s="5" t="s">
        <v>47</v>
      </c>
      <c r="D107" s="5">
        <v>387.26</v>
      </c>
      <c r="E107" s="5">
        <f>346.1+41.16</f>
        <v>387.26</v>
      </c>
      <c r="F107" s="5">
        <f>346.1+41.16</f>
        <v>387.26</v>
      </c>
      <c r="G107" s="5">
        <f>346.1+41.16</f>
        <v>387.26</v>
      </c>
      <c r="H107" s="3"/>
    </row>
    <row r="108" spans="1:8" s="4" customFormat="1" ht="25.5">
      <c r="A108" s="235"/>
      <c r="B108" s="78" t="s">
        <v>75</v>
      </c>
      <c r="C108" s="5" t="s">
        <v>45</v>
      </c>
      <c r="D108" s="5">
        <v>34</v>
      </c>
      <c r="E108" s="5">
        <v>34</v>
      </c>
      <c r="F108" s="5">
        <v>34</v>
      </c>
      <c r="G108" s="5">
        <v>34</v>
      </c>
      <c r="H108" s="3"/>
    </row>
    <row r="109" spans="1:8" s="4" customFormat="1" ht="25.5">
      <c r="A109" s="235"/>
      <c r="B109" s="78" t="s">
        <v>76</v>
      </c>
      <c r="C109" s="5" t="s">
        <v>45</v>
      </c>
      <c r="D109" s="5">
        <v>9</v>
      </c>
      <c r="E109" s="5">
        <v>9</v>
      </c>
      <c r="F109" s="5">
        <v>9</v>
      </c>
      <c r="G109" s="5">
        <v>9</v>
      </c>
      <c r="H109" s="3"/>
    </row>
    <row r="110" spans="1:8" s="4" customFormat="1" ht="25.5">
      <c r="A110" s="235"/>
      <c r="B110" s="7" t="s">
        <v>55</v>
      </c>
      <c r="C110" s="5" t="s">
        <v>45</v>
      </c>
      <c r="D110" s="5">
        <f>E110+F110+G110</f>
        <v>8646</v>
      </c>
      <c r="E110" s="5">
        <v>2882</v>
      </c>
      <c r="F110" s="5">
        <v>2882</v>
      </c>
      <c r="G110" s="5">
        <v>2882</v>
      </c>
      <c r="H110" s="3"/>
    </row>
    <row r="111" spans="1:8" s="4" customFormat="1" ht="89.25">
      <c r="A111" s="87"/>
      <c r="B111" s="7" t="s">
        <v>245</v>
      </c>
      <c r="C111" s="5" t="s">
        <v>23</v>
      </c>
      <c r="D111" s="5">
        <f>E111+F111+G111</f>
        <v>3744.5</v>
      </c>
      <c r="E111" s="5">
        <v>3744.5</v>
      </c>
      <c r="F111" s="5"/>
      <c r="G111" s="5"/>
      <c r="H111" s="3"/>
    </row>
    <row r="112" spans="1:8" s="4" customFormat="1" ht="63.75">
      <c r="A112" s="87"/>
      <c r="B112" s="7" t="s">
        <v>300</v>
      </c>
      <c r="C112" s="5" t="s">
        <v>45</v>
      </c>
      <c r="D112" s="5">
        <f>E112+F112+G112</f>
        <v>25</v>
      </c>
      <c r="E112" s="5">
        <v>25</v>
      </c>
      <c r="F112" s="5"/>
      <c r="G112" s="5"/>
      <c r="H112" s="3"/>
    </row>
    <row r="113" spans="1:8" s="4" customFormat="1" ht="12.75" customHeight="1">
      <c r="A113" s="234" t="s">
        <v>78</v>
      </c>
      <c r="B113" s="7"/>
      <c r="C113" s="3"/>
      <c r="D113" s="3"/>
      <c r="E113" s="3"/>
      <c r="F113" s="3"/>
      <c r="G113" s="3">
        <v>5</v>
      </c>
      <c r="H113" s="3"/>
    </row>
    <row r="114" spans="1:8" s="4" customFormat="1" ht="54" customHeight="1">
      <c r="A114" s="235"/>
      <c r="B114" s="78" t="s">
        <v>153</v>
      </c>
      <c r="C114" s="3" t="s">
        <v>45</v>
      </c>
      <c r="D114" s="151">
        <v>38</v>
      </c>
      <c r="E114" s="5">
        <f>5+5-3+10+13+1+7</f>
        <v>38</v>
      </c>
      <c r="F114" s="5"/>
      <c r="G114" s="5"/>
      <c r="H114" s="3"/>
    </row>
    <row r="115" spans="1:8" s="4" customFormat="1" ht="12.75" customHeight="1">
      <c r="A115" s="235"/>
      <c r="B115" s="225" t="s">
        <v>56</v>
      </c>
      <c r="C115" s="229" t="s">
        <v>45</v>
      </c>
      <c r="D115" s="303">
        <f aca="true" t="shared" si="0" ref="D115:D121">E115+F115+G115</f>
        <v>107</v>
      </c>
      <c r="E115" s="303">
        <f>25+4+3+2+2+6+1</f>
        <v>43</v>
      </c>
      <c r="F115" s="303">
        <v>32</v>
      </c>
      <c r="G115" s="303">
        <v>32</v>
      </c>
      <c r="H115" s="3"/>
    </row>
    <row r="116" spans="1:8" s="4" customFormat="1" ht="12.75" customHeight="1">
      <c r="A116" s="235"/>
      <c r="B116" s="311"/>
      <c r="C116" s="238"/>
      <c r="D116" s="304"/>
      <c r="E116" s="304"/>
      <c r="F116" s="304"/>
      <c r="G116" s="304"/>
      <c r="H116" s="3"/>
    </row>
    <row r="117" spans="1:8" s="4" customFormat="1" ht="12.75">
      <c r="A117" s="235"/>
      <c r="B117" s="263"/>
      <c r="C117" s="230"/>
      <c r="D117" s="305"/>
      <c r="E117" s="305"/>
      <c r="F117" s="305"/>
      <c r="G117" s="305"/>
      <c r="H117" s="3"/>
    </row>
    <row r="118" spans="1:8" s="4" customFormat="1" ht="12.75">
      <c r="A118" s="235"/>
      <c r="B118" s="78" t="s">
        <v>120</v>
      </c>
      <c r="C118" s="5" t="s">
        <v>45</v>
      </c>
      <c r="D118" s="151">
        <f t="shared" si="0"/>
        <v>1927</v>
      </c>
      <c r="E118" s="151">
        <f>165+81+1001+350</f>
        <v>1597</v>
      </c>
      <c r="F118" s="151">
        <v>165</v>
      </c>
      <c r="G118" s="151">
        <v>165</v>
      </c>
      <c r="H118" s="3"/>
    </row>
    <row r="119" spans="1:8" s="4" customFormat="1" ht="25.5">
      <c r="A119" s="235"/>
      <c r="B119" s="78" t="s">
        <v>366</v>
      </c>
      <c r="C119" s="5" t="s">
        <v>45</v>
      </c>
      <c r="D119" s="151">
        <f t="shared" si="0"/>
        <v>1</v>
      </c>
      <c r="E119" s="151">
        <v>1</v>
      </c>
      <c r="F119" s="151">
        <v>0</v>
      </c>
      <c r="G119" s="151">
        <v>0</v>
      </c>
      <c r="H119" s="3"/>
    </row>
    <row r="120" spans="1:8" s="4" customFormat="1" ht="12.75">
      <c r="A120" s="235"/>
      <c r="B120" s="78" t="s">
        <v>132</v>
      </c>
      <c r="C120" s="5" t="s">
        <v>45</v>
      </c>
      <c r="D120" s="151">
        <f t="shared" si="0"/>
        <v>1800</v>
      </c>
      <c r="E120" s="151">
        <v>600</v>
      </c>
      <c r="F120" s="151">
        <v>600</v>
      </c>
      <c r="G120" s="151">
        <v>600</v>
      </c>
      <c r="H120" s="151">
        <v>600</v>
      </c>
    </row>
    <row r="121" spans="1:8" s="4" customFormat="1" ht="12.75">
      <c r="A121" s="235"/>
      <c r="B121" s="78" t="s">
        <v>131</v>
      </c>
      <c r="C121" s="5" t="s">
        <v>23</v>
      </c>
      <c r="D121" s="151">
        <f t="shared" si="0"/>
        <v>10914</v>
      </c>
      <c r="E121" s="151">
        <v>3638</v>
      </c>
      <c r="F121" s="151">
        <v>3638</v>
      </c>
      <c r="G121" s="151">
        <v>3638</v>
      </c>
      <c r="H121" s="151">
        <v>3638</v>
      </c>
    </row>
    <row r="122" spans="1:8" s="4" customFormat="1" ht="26.25" customHeight="1">
      <c r="A122" s="235"/>
      <c r="B122" s="78" t="s">
        <v>154</v>
      </c>
      <c r="C122" s="5" t="s">
        <v>45</v>
      </c>
      <c r="D122" s="151">
        <v>111</v>
      </c>
      <c r="E122" s="151">
        <v>111</v>
      </c>
      <c r="F122" s="151">
        <v>111</v>
      </c>
      <c r="G122" s="151">
        <v>111</v>
      </c>
      <c r="H122" s="151"/>
    </row>
    <row r="123" spans="1:8" s="4" customFormat="1" ht="63.75">
      <c r="A123" s="235"/>
      <c r="B123" s="78" t="s">
        <v>242</v>
      </c>
      <c r="C123" s="5" t="s">
        <v>45</v>
      </c>
      <c r="D123" s="151">
        <f>E123</f>
        <v>119</v>
      </c>
      <c r="E123" s="151">
        <f>95+24</f>
        <v>119</v>
      </c>
      <c r="F123" s="151"/>
      <c r="G123" s="151"/>
      <c r="H123" s="151"/>
    </row>
    <row r="124" spans="1:11" s="62" customFormat="1" ht="114.75">
      <c r="A124" s="235"/>
      <c r="B124" s="78" t="s">
        <v>322</v>
      </c>
      <c r="C124" s="5" t="s">
        <v>45</v>
      </c>
      <c r="D124" s="151">
        <v>1</v>
      </c>
      <c r="E124" s="151">
        <v>1</v>
      </c>
      <c r="F124" s="151"/>
      <c r="G124" s="151"/>
      <c r="H124" s="151"/>
      <c r="I124" s="4"/>
      <c r="J124" s="4"/>
      <c r="K124" s="4"/>
    </row>
    <row r="125" spans="1:8" s="4" customFormat="1" ht="12.75">
      <c r="A125" s="194" t="s">
        <v>304</v>
      </c>
      <c r="B125" s="194"/>
      <c r="C125" s="194"/>
      <c r="D125" s="194"/>
      <c r="E125" s="194"/>
      <c r="F125" s="194"/>
      <c r="G125" s="194"/>
      <c r="H125" s="3"/>
    </row>
    <row r="126" spans="1:8" s="4" customFormat="1" ht="12.75">
      <c r="A126" s="237" t="s">
        <v>301</v>
      </c>
      <c r="B126" s="275" t="s">
        <v>303</v>
      </c>
      <c r="C126" s="5" t="s">
        <v>305</v>
      </c>
      <c r="D126" s="8">
        <f>E126</f>
        <v>6230.491</v>
      </c>
      <c r="E126" s="8">
        <v>6230.491</v>
      </c>
      <c r="F126" s="5"/>
      <c r="G126" s="5"/>
      <c r="H126" s="3"/>
    </row>
    <row r="127" spans="1:8" s="4" customFormat="1" ht="141" customHeight="1">
      <c r="A127" s="237"/>
      <c r="B127" s="226"/>
      <c r="C127" s="5" t="s">
        <v>45</v>
      </c>
      <c r="D127" s="151">
        <f>E127</f>
        <v>8</v>
      </c>
      <c r="E127" s="151">
        <v>8</v>
      </c>
      <c r="F127" s="5"/>
      <c r="G127" s="5"/>
      <c r="H127" s="3"/>
    </row>
    <row r="128" spans="1:8" s="4" customFormat="1" ht="12.75">
      <c r="A128" s="194" t="s">
        <v>293</v>
      </c>
      <c r="B128" s="194"/>
      <c r="C128" s="194"/>
      <c r="D128" s="194"/>
      <c r="E128" s="194"/>
      <c r="F128" s="194"/>
      <c r="G128" s="194"/>
      <c r="H128" s="3"/>
    </row>
    <row r="129" spans="1:8" s="4" customFormat="1" ht="12.75" customHeight="1">
      <c r="A129" s="234" t="s">
        <v>63</v>
      </c>
      <c r="B129" s="7"/>
      <c r="C129" s="3"/>
      <c r="D129" s="3"/>
      <c r="E129" s="3"/>
      <c r="F129" s="3"/>
      <c r="G129" s="3"/>
      <c r="H129" s="3"/>
    </row>
    <row r="130" spans="1:8" s="4" customFormat="1" ht="25.5">
      <c r="A130" s="235"/>
      <c r="B130" s="78" t="s">
        <v>375</v>
      </c>
      <c r="C130" s="5"/>
      <c r="D130" s="12"/>
      <c r="E130" s="12"/>
      <c r="F130" s="12"/>
      <c r="G130" s="12"/>
      <c r="H130" s="12">
        <v>150108</v>
      </c>
    </row>
    <row r="131" spans="1:8" s="4" customFormat="1" ht="12.75">
      <c r="A131" s="235"/>
      <c r="B131" s="110" t="s">
        <v>376</v>
      </c>
      <c r="C131" s="5" t="s">
        <v>23</v>
      </c>
      <c r="D131" s="12">
        <f>E131+F131+G131</f>
        <v>450324</v>
      </c>
      <c r="E131" s="12">
        <v>150108</v>
      </c>
      <c r="F131" s="12">
        <v>150108</v>
      </c>
      <c r="G131" s="12">
        <v>150108</v>
      </c>
      <c r="H131" s="12"/>
    </row>
    <row r="132" spans="1:8" s="4" customFormat="1" ht="12.75">
      <c r="A132" s="235"/>
      <c r="B132" s="110" t="s">
        <v>374</v>
      </c>
      <c r="C132" s="5" t="s">
        <v>45</v>
      </c>
      <c r="D132" s="12">
        <f>E132</f>
        <v>522</v>
      </c>
      <c r="E132" s="12">
        <v>522</v>
      </c>
      <c r="F132" s="12">
        <v>522</v>
      </c>
      <c r="G132" s="12">
        <v>522</v>
      </c>
      <c r="H132" s="12"/>
    </row>
    <row r="133" spans="1:8" s="4" customFormat="1" ht="25.5">
      <c r="A133" s="236"/>
      <c r="B133" s="78" t="s">
        <v>108</v>
      </c>
      <c r="C133" s="3" t="s">
        <v>45</v>
      </c>
      <c r="D133" s="12">
        <f>E133+F133+G133</f>
        <v>3</v>
      </c>
      <c r="E133" s="3">
        <v>1</v>
      </c>
      <c r="F133" s="3">
        <v>1</v>
      </c>
      <c r="G133" s="3">
        <v>1</v>
      </c>
      <c r="H133" s="3"/>
    </row>
    <row r="134" spans="1:8" s="4" customFormat="1" ht="12.75">
      <c r="A134" s="234" t="s">
        <v>107</v>
      </c>
      <c r="B134" s="78"/>
      <c r="C134" s="3"/>
      <c r="D134" s="12"/>
      <c r="E134" s="3"/>
      <c r="F134" s="3"/>
      <c r="G134" s="3"/>
      <c r="H134" s="3"/>
    </row>
    <row r="135" spans="1:8" s="4" customFormat="1" ht="25.5">
      <c r="A135" s="236"/>
      <c r="B135" s="78" t="s">
        <v>110</v>
      </c>
      <c r="C135" s="3" t="s">
        <v>52</v>
      </c>
      <c r="D135" s="158">
        <f>E135+F135+G135</f>
        <v>50682</v>
      </c>
      <c r="E135" s="3">
        <f>17593-699</f>
        <v>16894</v>
      </c>
      <c r="F135" s="3">
        <f>17593-699</f>
        <v>16894</v>
      </c>
      <c r="G135" s="3">
        <f>17593-699</f>
        <v>16894</v>
      </c>
      <c r="H135" s="3"/>
    </row>
    <row r="136" spans="1:8" s="4" customFormat="1" ht="12.75">
      <c r="A136" s="234" t="s">
        <v>73</v>
      </c>
      <c r="B136" s="7"/>
      <c r="C136" s="3"/>
      <c r="D136" s="3"/>
      <c r="E136" s="3"/>
      <c r="F136" s="3"/>
      <c r="G136" s="3"/>
      <c r="H136" s="3"/>
    </row>
    <row r="137" spans="1:8" s="4" customFormat="1" ht="12.75">
      <c r="A137" s="235"/>
      <c r="B137" s="225" t="s">
        <v>25</v>
      </c>
      <c r="C137" s="3" t="s">
        <v>23</v>
      </c>
      <c r="D137" s="12">
        <v>2577</v>
      </c>
      <c r="E137" s="3">
        <v>3822.405</v>
      </c>
      <c r="F137" s="3">
        <v>3822.405</v>
      </c>
      <c r="G137" s="3">
        <v>3822.405</v>
      </c>
      <c r="H137" s="3"/>
    </row>
    <row r="138" spans="1:8" s="4" customFormat="1" ht="12.75">
      <c r="A138" s="235"/>
      <c r="B138" s="263"/>
      <c r="C138" s="5" t="s">
        <v>49</v>
      </c>
      <c r="D138" s="12">
        <f>E138+F138+G138</f>
        <v>2459.3999999999996</v>
      </c>
      <c r="E138" s="155">
        <v>819.8</v>
      </c>
      <c r="F138" s="155">
        <v>819.8</v>
      </c>
      <c r="G138" s="155">
        <v>819.8</v>
      </c>
      <c r="H138" s="3"/>
    </row>
    <row r="139" spans="1:8" s="4" customFormat="1" ht="25.5">
      <c r="A139" s="235"/>
      <c r="B139" s="78" t="s">
        <v>29</v>
      </c>
      <c r="C139" s="5" t="s">
        <v>23</v>
      </c>
      <c r="D139" s="12">
        <f>E139+F139+G139</f>
        <v>3120</v>
      </c>
      <c r="E139" s="12">
        <v>1040</v>
      </c>
      <c r="F139" s="12">
        <v>1040</v>
      </c>
      <c r="G139" s="12">
        <v>1040</v>
      </c>
      <c r="H139" s="3"/>
    </row>
    <row r="140" spans="1:8" s="4" customFormat="1" ht="25.5">
      <c r="A140" s="235"/>
      <c r="B140" s="78" t="s">
        <v>380</v>
      </c>
      <c r="C140" s="5" t="s">
        <v>45</v>
      </c>
      <c r="D140" s="12">
        <v>21</v>
      </c>
      <c r="E140" s="12">
        <f>7+19</f>
        <v>26</v>
      </c>
      <c r="F140" s="12">
        <f>7+19</f>
        <v>26</v>
      </c>
      <c r="G140" s="12">
        <f>7+19</f>
        <v>26</v>
      </c>
      <c r="H140" s="3"/>
    </row>
    <row r="141" spans="1:8" s="4" customFormat="1" ht="12.75">
      <c r="A141" s="235"/>
      <c r="B141" s="78" t="s">
        <v>344</v>
      </c>
      <c r="C141" s="5" t="s">
        <v>23</v>
      </c>
      <c r="D141" s="12">
        <v>25</v>
      </c>
      <c r="E141" s="12">
        <v>25</v>
      </c>
      <c r="F141" s="12"/>
      <c r="G141" s="12"/>
      <c r="H141" s="3"/>
    </row>
    <row r="142" spans="1:8" s="4" customFormat="1" ht="25.5">
      <c r="A142" s="236"/>
      <c r="B142" s="78" t="s">
        <v>117</v>
      </c>
      <c r="C142" s="5" t="s">
        <v>23</v>
      </c>
      <c r="D142" s="12">
        <v>1585</v>
      </c>
      <c r="E142" s="12">
        <v>528.38</v>
      </c>
      <c r="F142" s="12">
        <v>528.38</v>
      </c>
      <c r="G142" s="12">
        <v>528.38</v>
      </c>
      <c r="H142" s="3"/>
    </row>
    <row r="143" spans="1:8" s="4" customFormat="1" ht="12.75">
      <c r="A143" s="234" t="s">
        <v>80</v>
      </c>
      <c r="B143" s="78"/>
      <c r="C143" s="3"/>
      <c r="D143" s="3"/>
      <c r="E143" s="3"/>
      <c r="F143" s="3"/>
      <c r="G143" s="3"/>
      <c r="H143" s="3"/>
    </row>
    <row r="144" spans="1:8" s="4" customFormat="1" ht="25.5">
      <c r="A144" s="235"/>
      <c r="B144" s="78" t="s">
        <v>30</v>
      </c>
      <c r="C144" s="5" t="s">
        <v>50</v>
      </c>
      <c r="D144" s="5">
        <f>E144+F144+G144</f>
        <v>180</v>
      </c>
      <c r="E144" s="5">
        <v>60</v>
      </c>
      <c r="F144" s="5">
        <v>60</v>
      </c>
      <c r="G144" s="5">
        <v>60</v>
      </c>
      <c r="H144" s="3"/>
    </row>
    <row r="145" spans="1:8" s="4" customFormat="1" ht="12.75">
      <c r="A145" s="235"/>
      <c r="B145" s="78" t="s">
        <v>31</v>
      </c>
      <c r="C145" s="5" t="s">
        <v>51</v>
      </c>
      <c r="D145" s="5">
        <f>E145+F145+G145</f>
        <v>1846.908</v>
      </c>
      <c r="E145" s="5">
        <v>615.636</v>
      </c>
      <c r="F145" s="5">
        <v>615.636</v>
      </c>
      <c r="G145" s="5">
        <v>615.636</v>
      </c>
      <c r="H145" s="3"/>
    </row>
    <row r="146" spans="1:8" s="4" customFormat="1" ht="12.75">
      <c r="A146" s="289"/>
      <c r="B146" s="78" t="s">
        <v>378</v>
      </c>
      <c r="C146" s="5" t="s">
        <v>23</v>
      </c>
      <c r="D146" s="5">
        <f>E146+F146+G146</f>
        <v>85200</v>
      </c>
      <c r="E146" s="5">
        <v>28400</v>
      </c>
      <c r="F146" s="5">
        <v>28400</v>
      </c>
      <c r="G146" s="5">
        <v>28400</v>
      </c>
      <c r="H146" s="3"/>
    </row>
    <row r="147" spans="1:8" s="4" customFormat="1" ht="12.75">
      <c r="A147" s="237" t="s">
        <v>79</v>
      </c>
      <c r="B147" s="78"/>
      <c r="C147" s="3"/>
      <c r="D147" s="3"/>
      <c r="E147" s="3"/>
      <c r="F147" s="3"/>
      <c r="G147" s="3"/>
      <c r="H147" s="3"/>
    </row>
    <row r="148" spans="1:8" s="4" customFormat="1" ht="12.75">
      <c r="A148" s="237"/>
      <c r="B148" s="78" t="s">
        <v>32</v>
      </c>
      <c r="C148" s="5" t="s">
        <v>24</v>
      </c>
      <c r="D148" s="155">
        <f>E148+F148+G148</f>
        <v>26.64</v>
      </c>
      <c r="E148" s="137">
        <v>8.88</v>
      </c>
      <c r="F148" s="155">
        <v>8.88</v>
      </c>
      <c r="G148" s="155">
        <v>8.88</v>
      </c>
      <c r="H148" s="3"/>
    </row>
    <row r="149" spans="1:8" s="4" customFormat="1" ht="12.75">
      <c r="A149" s="239" t="s">
        <v>190</v>
      </c>
      <c r="B149" s="78"/>
      <c r="C149" s="5"/>
      <c r="D149" s="155"/>
      <c r="E149" s="155"/>
      <c r="F149" s="155"/>
      <c r="G149" s="155"/>
      <c r="H149" s="3"/>
    </row>
    <row r="150" spans="1:8" s="4" customFormat="1" ht="17.25" customHeight="1">
      <c r="A150" s="206"/>
      <c r="B150" s="7" t="s">
        <v>191</v>
      </c>
      <c r="C150" s="5" t="s">
        <v>24</v>
      </c>
      <c r="D150" s="137">
        <v>11.168</v>
      </c>
      <c r="E150" s="159">
        <v>3.7225</v>
      </c>
      <c r="F150" s="160">
        <v>3.7225</v>
      </c>
      <c r="G150" s="160">
        <v>3.7225</v>
      </c>
      <c r="H150" s="3"/>
    </row>
    <row r="151" spans="1:8" s="4" customFormat="1" ht="21.75" customHeight="1">
      <c r="A151" s="239" t="s">
        <v>244</v>
      </c>
      <c r="B151" s="225" t="s">
        <v>361</v>
      </c>
      <c r="C151" s="229" t="s">
        <v>23</v>
      </c>
      <c r="D151" s="291">
        <f>E151+F152+G152</f>
        <v>46534.5</v>
      </c>
      <c r="E151" s="291">
        <v>46534.5</v>
      </c>
      <c r="F151" s="291">
        <v>46535.5</v>
      </c>
      <c r="G151" s="291">
        <v>46536.5</v>
      </c>
      <c r="H151" s="3"/>
    </row>
    <row r="152" spans="1:8" s="4" customFormat="1" ht="12.75" customHeight="1">
      <c r="A152" s="221"/>
      <c r="B152" s="226"/>
      <c r="C152" s="230"/>
      <c r="D152" s="221"/>
      <c r="E152" s="313"/>
      <c r="F152" s="313"/>
      <c r="G152" s="313"/>
      <c r="H152" s="3"/>
    </row>
    <row r="153" spans="1:8" s="4" customFormat="1" ht="12.75">
      <c r="A153" s="231" t="s">
        <v>235</v>
      </c>
      <c r="B153" s="115"/>
      <c r="C153" s="5"/>
      <c r="D153" s="137"/>
      <c r="E153" s="160"/>
      <c r="F153" s="160"/>
      <c r="G153" s="160"/>
      <c r="H153" s="3"/>
    </row>
    <row r="154" spans="1:9" s="1" customFormat="1" ht="12.75">
      <c r="A154" s="232"/>
      <c r="B154" s="19" t="s">
        <v>236</v>
      </c>
      <c r="C154" s="5" t="s">
        <v>23</v>
      </c>
      <c r="D154" s="12">
        <f aca="true" t="shared" si="1" ref="D154:D165">E154+F154+G154</f>
        <v>496299</v>
      </c>
      <c r="E154" s="12">
        <v>165433</v>
      </c>
      <c r="F154" s="12">
        <f>E154</f>
        <v>165433</v>
      </c>
      <c r="G154" s="12">
        <f>F154</f>
        <v>165433</v>
      </c>
      <c r="H154" s="6">
        <f>H155</f>
        <v>91.226</v>
      </c>
      <c r="I154" s="2"/>
    </row>
    <row r="155" spans="1:9" s="1" customFormat="1" ht="12.75">
      <c r="A155" s="233"/>
      <c r="B155" s="127" t="s">
        <v>258</v>
      </c>
      <c r="C155" s="5" t="s">
        <v>23</v>
      </c>
      <c r="D155" s="12">
        <f t="shared" si="1"/>
        <v>1390761</v>
      </c>
      <c r="E155" s="12">
        <v>463587</v>
      </c>
      <c r="F155" s="12">
        <f>E155</f>
        <v>463587</v>
      </c>
      <c r="G155" s="12">
        <f>F155</f>
        <v>463587</v>
      </c>
      <c r="H155" s="8">
        <v>91.226</v>
      </c>
      <c r="I155" s="2"/>
    </row>
    <row r="156" spans="1:8" s="4" customFormat="1" ht="15" customHeight="1">
      <c r="A156" s="231" t="s">
        <v>255</v>
      </c>
      <c r="B156" s="116"/>
      <c r="C156" s="5"/>
      <c r="D156" s="137"/>
      <c r="E156" s="160"/>
      <c r="F156" s="160"/>
      <c r="G156" s="160"/>
      <c r="H156" s="3"/>
    </row>
    <row r="157" spans="1:8" s="4" customFormat="1" ht="16.5" customHeight="1">
      <c r="A157" s="222"/>
      <c r="B157" s="78" t="s">
        <v>42</v>
      </c>
      <c r="C157" s="5" t="s">
        <v>47</v>
      </c>
      <c r="D157" s="155">
        <f t="shared" si="1"/>
        <v>226.32</v>
      </c>
      <c r="E157" s="155">
        <v>75.44</v>
      </c>
      <c r="F157" s="155">
        <f aca="true" t="shared" si="2" ref="F157:G159">E157</f>
        <v>75.44</v>
      </c>
      <c r="G157" s="155">
        <f t="shared" si="2"/>
        <v>75.44</v>
      </c>
      <c r="H157" s="3"/>
    </row>
    <row r="158" spans="1:8" s="4" customFormat="1" ht="20.25" customHeight="1">
      <c r="A158" s="222"/>
      <c r="B158" s="78" t="s">
        <v>237</v>
      </c>
      <c r="C158" s="5" t="s">
        <v>47</v>
      </c>
      <c r="D158" s="155">
        <f t="shared" si="1"/>
        <v>226.32</v>
      </c>
      <c r="E158" s="155">
        <v>75.44</v>
      </c>
      <c r="F158" s="155">
        <f t="shared" si="2"/>
        <v>75.44</v>
      </c>
      <c r="G158" s="155">
        <f t="shared" si="2"/>
        <v>75.44</v>
      </c>
      <c r="H158" s="3"/>
    </row>
    <row r="159" spans="1:8" s="4" customFormat="1" ht="14.25" customHeight="1">
      <c r="A159" s="233"/>
      <c r="B159" s="78" t="s">
        <v>238</v>
      </c>
      <c r="C159" s="5" t="s">
        <v>51</v>
      </c>
      <c r="D159" s="155">
        <f t="shared" si="1"/>
        <v>96</v>
      </c>
      <c r="E159" s="3">
        <v>32</v>
      </c>
      <c r="F159" s="12">
        <f t="shared" si="2"/>
        <v>32</v>
      </c>
      <c r="G159" s="12">
        <f t="shared" si="2"/>
        <v>32</v>
      </c>
      <c r="H159" s="3"/>
    </row>
    <row r="160" spans="1:8" s="4" customFormat="1" ht="27" customHeight="1">
      <c r="A160" s="217" t="s">
        <v>254</v>
      </c>
      <c r="B160" s="78"/>
      <c r="C160" s="161"/>
      <c r="D160" s="19"/>
      <c r="E160" s="25"/>
      <c r="F160" s="12"/>
      <c r="G160" s="12"/>
      <c r="H160" s="3"/>
    </row>
    <row r="161" spans="1:8" s="4" customFormat="1" ht="16.5" customHeight="1">
      <c r="A161" s="306"/>
      <c r="B161" s="78" t="s">
        <v>42</v>
      </c>
      <c r="C161" s="5" t="s">
        <v>47</v>
      </c>
      <c r="D161" s="155">
        <f t="shared" si="1"/>
        <v>651.5999999999999</v>
      </c>
      <c r="E161" s="162">
        <v>217.2</v>
      </c>
      <c r="F161" s="155">
        <f aca="true" t="shared" si="3" ref="F161:G165">E161</f>
        <v>217.2</v>
      </c>
      <c r="G161" s="155">
        <f t="shared" si="3"/>
        <v>217.2</v>
      </c>
      <c r="H161" s="3"/>
    </row>
    <row r="162" spans="1:8" s="4" customFormat="1" ht="16.5" customHeight="1" hidden="1">
      <c r="A162" s="306"/>
      <c r="B162" s="78"/>
      <c r="C162" s="5"/>
      <c r="D162" s="155"/>
      <c r="E162" s="162"/>
      <c r="F162" s="155"/>
      <c r="G162" s="155"/>
      <c r="H162" s="25"/>
    </row>
    <row r="163" spans="1:7" ht="16.5" customHeight="1">
      <c r="A163" s="306"/>
      <c r="B163" s="78" t="s">
        <v>237</v>
      </c>
      <c r="C163" s="5" t="s">
        <v>47</v>
      </c>
      <c r="D163" s="155">
        <f t="shared" si="1"/>
        <v>651.5999999999999</v>
      </c>
      <c r="E163" s="162">
        <v>217.2</v>
      </c>
      <c r="F163" s="155">
        <f t="shared" si="3"/>
        <v>217.2</v>
      </c>
      <c r="G163" s="155">
        <f t="shared" si="3"/>
        <v>217.2</v>
      </c>
    </row>
    <row r="164" spans="1:7" ht="12.75" customHeight="1">
      <c r="A164" s="306"/>
      <c r="B164" s="78" t="s">
        <v>238</v>
      </c>
      <c r="C164" s="5" t="s">
        <v>51</v>
      </c>
      <c r="D164" s="155">
        <f t="shared" si="1"/>
        <v>375</v>
      </c>
      <c r="E164" s="12">
        <v>125</v>
      </c>
      <c r="F164" s="12">
        <f t="shared" si="3"/>
        <v>125</v>
      </c>
      <c r="G164" s="12">
        <f t="shared" si="3"/>
        <v>125</v>
      </c>
    </row>
    <row r="165" spans="1:7" ht="27.75" customHeight="1">
      <c r="A165" s="307"/>
      <c r="B165" s="78" t="s">
        <v>239</v>
      </c>
      <c r="C165" s="5" t="s">
        <v>51</v>
      </c>
      <c r="D165" s="155">
        <f t="shared" si="1"/>
        <v>16800</v>
      </c>
      <c r="E165" s="3">
        <v>5600</v>
      </c>
      <c r="F165" s="12">
        <f t="shared" si="3"/>
        <v>5600</v>
      </c>
      <c r="G165" s="12">
        <f t="shared" si="3"/>
        <v>5600</v>
      </c>
    </row>
    <row r="166" spans="1:7" ht="16.5" customHeight="1">
      <c r="A166" s="217" t="s">
        <v>240</v>
      </c>
      <c r="B166" s="114"/>
      <c r="C166" s="5"/>
      <c r="D166" s="137"/>
      <c r="E166" s="160"/>
      <c r="F166" s="160"/>
      <c r="G166" s="160"/>
    </row>
    <row r="167" spans="1:7" ht="16.5" customHeight="1">
      <c r="A167" s="218"/>
      <c r="B167" s="7" t="s">
        <v>241</v>
      </c>
      <c r="C167" s="5" t="s">
        <v>45</v>
      </c>
      <c r="D167" s="12">
        <f>E167+F167+G167</f>
        <v>1</v>
      </c>
      <c r="E167" s="12">
        <v>1</v>
      </c>
      <c r="F167" s="12">
        <v>0</v>
      </c>
      <c r="G167" s="12">
        <f>F167</f>
        <v>0</v>
      </c>
    </row>
    <row r="168" spans="1:7" ht="16.5" customHeight="1">
      <c r="A168" s="219" t="s">
        <v>78</v>
      </c>
      <c r="B168" s="7"/>
      <c r="C168" s="3"/>
      <c r="D168" s="3"/>
      <c r="E168" s="3"/>
      <c r="F168" s="3"/>
      <c r="G168" s="3"/>
    </row>
    <row r="169" spans="1:7" ht="30.75" customHeight="1">
      <c r="A169" s="276"/>
      <c r="B169" s="7" t="s">
        <v>264</v>
      </c>
      <c r="C169" s="5"/>
      <c r="D169" s="12"/>
      <c r="E169" s="12"/>
      <c r="F169" s="12"/>
      <c r="G169" s="163"/>
    </row>
    <row r="170" spans="1:7" ht="13.5" customHeight="1">
      <c r="A170" s="276"/>
      <c r="B170" s="78" t="s">
        <v>265</v>
      </c>
      <c r="C170" s="3" t="s">
        <v>45</v>
      </c>
      <c r="D170" s="12">
        <f>E170+F170+G170</f>
        <v>183</v>
      </c>
      <c r="E170" s="3">
        <f>152+31</f>
        <v>183</v>
      </c>
      <c r="F170" s="3"/>
      <c r="G170" s="3"/>
    </row>
    <row r="171" spans="1:8" s="4" customFormat="1" ht="12.75" customHeight="1">
      <c r="A171" s="276"/>
      <c r="B171" s="78" t="s">
        <v>266</v>
      </c>
      <c r="C171" s="5" t="s">
        <v>45</v>
      </c>
      <c r="D171" s="12">
        <f>E171+F171+G171</f>
        <v>54</v>
      </c>
      <c r="E171" s="5">
        <f>28+26</f>
        <v>54</v>
      </c>
      <c r="F171" s="5"/>
      <c r="G171" s="5"/>
      <c r="H171" s="3"/>
    </row>
    <row r="172" spans="1:8" s="4" customFormat="1" ht="38.25">
      <c r="A172" s="220"/>
      <c r="B172" s="93" t="s">
        <v>312</v>
      </c>
      <c r="C172" s="5" t="s">
        <v>45</v>
      </c>
      <c r="D172" s="12">
        <f>E172+F172+G172</f>
        <v>290</v>
      </c>
      <c r="E172" s="5">
        <f>141+129+20</f>
        <v>290</v>
      </c>
      <c r="F172" s="5"/>
      <c r="G172" s="5"/>
      <c r="H172" s="12">
        <v>150108</v>
      </c>
    </row>
    <row r="173" spans="1:8" s="4" customFormat="1" ht="38.25">
      <c r="A173" s="92" t="s">
        <v>341</v>
      </c>
      <c r="B173" s="93" t="s">
        <v>345</v>
      </c>
      <c r="C173" s="5" t="s">
        <v>49</v>
      </c>
      <c r="D173" s="12">
        <v>1626</v>
      </c>
      <c r="E173" s="5">
        <v>542</v>
      </c>
      <c r="F173" s="5">
        <v>542</v>
      </c>
      <c r="G173" s="5">
        <v>542</v>
      </c>
      <c r="H173" s="12"/>
    </row>
    <row r="174" spans="1:8" s="4" customFormat="1" ht="12.75">
      <c r="A174" s="194" t="s">
        <v>288</v>
      </c>
      <c r="B174" s="194"/>
      <c r="C174" s="194"/>
      <c r="D174" s="194"/>
      <c r="E174" s="194"/>
      <c r="F174" s="194"/>
      <c r="G174" s="194"/>
      <c r="H174" s="3"/>
    </row>
    <row r="175" spans="1:8" s="4" customFormat="1" ht="12.75" customHeight="1">
      <c r="A175" s="234" t="s">
        <v>63</v>
      </c>
      <c r="B175" s="78"/>
      <c r="C175" s="3"/>
      <c r="D175" s="3"/>
      <c r="E175" s="3"/>
      <c r="F175" s="3"/>
      <c r="G175" s="3"/>
      <c r="H175" s="3"/>
    </row>
    <row r="176" spans="1:8" s="4" customFormat="1" ht="25.5">
      <c r="A176" s="235"/>
      <c r="B176" s="78" t="s">
        <v>33</v>
      </c>
      <c r="C176" s="5" t="s">
        <v>23</v>
      </c>
      <c r="D176" s="79">
        <f>E176+F176+G176</f>
        <v>292955.27999999997</v>
      </c>
      <c r="E176" s="79">
        <v>97651.76</v>
      </c>
      <c r="F176" s="79">
        <v>97651.76</v>
      </c>
      <c r="G176" s="79">
        <v>97651.76</v>
      </c>
      <c r="H176" s="3"/>
    </row>
    <row r="177" spans="1:8" s="4" customFormat="1" ht="12.75" customHeight="1">
      <c r="A177" s="235"/>
      <c r="B177" s="225" t="s">
        <v>142</v>
      </c>
      <c r="C177" s="5" t="s">
        <v>47</v>
      </c>
      <c r="D177" s="8">
        <f>E177+F177+G177</f>
        <v>24.9105</v>
      </c>
      <c r="E177" s="8">
        <v>8.3035</v>
      </c>
      <c r="F177" s="8">
        <v>8.3035</v>
      </c>
      <c r="G177" s="8">
        <v>8.3035</v>
      </c>
      <c r="H177" s="3"/>
    </row>
    <row r="178" spans="1:8" s="4" customFormat="1" ht="42" customHeight="1">
      <c r="A178" s="236"/>
      <c r="B178" s="263"/>
      <c r="C178" s="5" t="s">
        <v>45</v>
      </c>
      <c r="D178" s="151">
        <f>E178+F178+G178</f>
        <v>639</v>
      </c>
      <c r="E178" s="151">
        <f>39+174</f>
        <v>213</v>
      </c>
      <c r="F178" s="151">
        <f>39+174</f>
        <v>213</v>
      </c>
      <c r="G178" s="151">
        <f>39+174</f>
        <v>213</v>
      </c>
      <c r="H178" s="3"/>
    </row>
    <row r="179" spans="1:8" s="4" customFormat="1" ht="12.75" customHeight="1">
      <c r="A179" s="234" t="s">
        <v>73</v>
      </c>
      <c r="B179" s="78"/>
      <c r="C179" s="5"/>
      <c r="D179" s="151"/>
      <c r="E179" s="151"/>
      <c r="F179" s="151"/>
      <c r="G179" s="151"/>
      <c r="H179" s="3"/>
    </row>
    <row r="180" spans="1:8" s="4" customFormat="1" ht="30" customHeight="1">
      <c r="A180" s="235"/>
      <c r="B180" s="78" t="s">
        <v>25</v>
      </c>
      <c r="C180" s="164" t="s">
        <v>23</v>
      </c>
      <c r="D180" s="79">
        <f>E180+F180+G180</f>
        <v>1511.19</v>
      </c>
      <c r="E180" s="79">
        <f>251.23+252.5</f>
        <v>503.73</v>
      </c>
      <c r="F180" s="79">
        <f>251.23+252.5</f>
        <v>503.73</v>
      </c>
      <c r="G180" s="79">
        <f>251.23+252.5</f>
        <v>503.73</v>
      </c>
      <c r="H180" s="3"/>
    </row>
    <row r="181" spans="1:8" s="4" customFormat="1" ht="22.5" customHeight="1">
      <c r="A181" s="235"/>
      <c r="B181" s="78" t="s">
        <v>143</v>
      </c>
      <c r="C181" s="164" t="s">
        <v>23</v>
      </c>
      <c r="D181" s="79">
        <f aca="true" t="shared" si="4" ref="D181:D191">E181+F181+G181</f>
        <v>422.04</v>
      </c>
      <c r="E181" s="79">
        <v>140.68</v>
      </c>
      <c r="F181" s="79">
        <v>140.68</v>
      </c>
      <c r="G181" s="79">
        <v>140.68</v>
      </c>
      <c r="H181" s="3"/>
    </row>
    <row r="182" spans="1:8" s="4" customFormat="1" ht="25.5">
      <c r="A182" s="235"/>
      <c r="B182" s="78" t="s">
        <v>188</v>
      </c>
      <c r="C182" s="164" t="s">
        <v>45</v>
      </c>
      <c r="D182" s="151">
        <f t="shared" si="4"/>
        <v>114</v>
      </c>
      <c r="E182" s="151">
        <f>38</f>
        <v>38</v>
      </c>
      <c r="F182" s="151">
        <v>38</v>
      </c>
      <c r="G182" s="151">
        <v>38</v>
      </c>
      <c r="H182" s="3"/>
    </row>
    <row r="183" spans="1:8" s="4" customFormat="1" ht="51">
      <c r="A183" s="235"/>
      <c r="B183" s="78" t="s">
        <v>313</v>
      </c>
      <c r="C183" s="164" t="s">
        <v>45</v>
      </c>
      <c r="D183" s="151">
        <v>35</v>
      </c>
      <c r="E183" s="151">
        <v>35</v>
      </c>
      <c r="F183" s="151"/>
      <c r="G183" s="151"/>
      <c r="H183" s="79">
        <v>545.35</v>
      </c>
    </row>
    <row r="184" spans="1:8" s="4" customFormat="1" ht="38.25">
      <c r="A184" s="235"/>
      <c r="B184" s="78" t="s">
        <v>189</v>
      </c>
      <c r="C184" s="164" t="s">
        <v>23</v>
      </c>
      <c r="D184" s="151">
        <f t="shared" si="4"/>
        <v>1133.8799999999999</v>
      </c>
      <c r="E184" s="79">
        <v>377.96</v>
      </c>
      <c r="F184" s="79">
        <v>377.96</v>
      </c>
      <c r="G184" s="79">
        <v>377.96</v>
      </c>
      <c r="H184" s="79">
        <v>190</v>
      </c>
    </row>
    <row r="185" spans="1:8" s="4" customFormat="1" ht="25.5">
      <c r="A185" s="235"/>
      <c r="B185" s="78" t="s">
        <v>144</v>
      </c>
      <c r="C185" s="164" t="s">
        <v>23</v>
      </c>
      <c r="D185" s="79">
        <f t="shared" si="4"/>
        <v>1075.829</v>
      </c>
      <c r="E185" s="79">
        <f>59.02+898.769</f>
        <v>957.789</v>
      </c>
      <c r="F185" s="79">
        <v>59.02</v>
      </c>
      <c r="G185" s="79">
        <v>59.02</v>
      </c>
      <c r="H185" s="151">
        <v>38</v>
      </c>
    </row>
    <row r="186" spans="1:8" s="4" customFormat="1" ht="25.5">
      <c r="A186" s="235"/>
      <c r="B186" s="78" t="s">
        <v>145</v>
      </c>
      <c r="C186" s="164" t="s">
        <v>23</v>
      </c>
      <c r="D186" s="79">
        <f t="shared" si="4"/>
        <v>754.9739999999999</v>
      </c>
      <c r="E186" s="8">
        <v>251.658</v>
      </c>
      <c r="F186" s="8">
        <v>251.658</v>
      </c>
      <c r="G186" s="8">
        <v>251.658</v>
      </c>
      <c r="H186" s="151"/>
    </row>
    <row r="187" spans="1:8" s="4" customFormat="1" ht="25.5">
      <c r="A187" s="235"/>
      <c r="B187" s="78" t="s">
        <v>139</v>
      </c>
      <c r="C187" s="164" t="s">
        <v>23</v>
      </c>
      <c r="D187" s="8">
        <f t="shared" si="4"/>
        <v>182.22</v>
      </c>
      <c r="E187" s="8">
        <v>60.74</v>
      </c>
      <c r="F187" s="8">
        <v>60.74</v>
      </c>
      <c r="G187" s="8">
        <v>60.74</v>
      </c>
      <c r="H187" s="151"/>
    </row>
    <row r="188" spans="1:8" s="4" customFormat="1" ht="15">
      <c r="A188" s="235"/>
      <c r="B188" s="78" t="s">
        <v>184</v>
      </c>
      <c r="C188" s="164" t="s">
        <v>45</v>
      </c>
      <c r="D188" s="151">
        <f t="shared" si="4"/>
        <v>12</v>
      </c>
      <c r="E188" s="151">
        <v>8</v>
      </c>
      <c r="F188" s="151">
        <v>2</v>
      </c>
      <c r="G188" s="151">
        <v>2</v>
      </c>
      <c r="H188" s="79">
        <v>59.02</v>
      </c>
    </row>
    <row r="189" spans="1:8" s="4" customFormat="1" ht="25.5">
      <c r="A189" s="235"/>
      <c r="B189" s="78" t="s">
        <v>187</v>
      </c>
      <c r="C189" s="164" t="s">
        <v>45</v>
      </c>
      <c r="D189" s="151">
        <f t="shared" si="4"/>
        <v>3</v>
      </c>
      <c r="E189" s="151">
        <v>1</v>
      </c>
      <c r="F189" s="151">
        <v>1</v>
      </c>
      <c r="G189" s="151">
        <v>1</v>
      </c>
      <c r="H189" s="79">
        <v>420.29</v>
      </c>
    </row>
    <row r="190" spans="1:8" s="4" customFormat="1" ht="37.5" customHeight="1">
      <c r="A190" s="235"/>
      <c r="B190" s="78" t="s">
        <v>369</v>
      </c>
      <c r="C190" s="164" t="s">
        <v>45</v>
      </c>
      <c r="D190" s="151">
        <v>1</v>
      </c>
      <c r="E190" s="151">
        <v>1</v>
      </c>
      <c r="F190" s="151"/>
      <c r="G190" s="151"/>
      <c r="H190" s="79"/>
    </row>
    <row r="191" spans="1:8" s="4" customFormat="1" ht="25.5">
      <c r="A191" s="236"/>
      <c r="B191" s="78" t="s">
        <v>146</v>
      </c>
      <c r="C191" s="164" t="s">
        <v>45</v>
      </c>
      <c r="D191" s="165">
        <f t="shared" si="4"/>
        <v>3</v>
      </c>
      <c r="E191" s="151">
        <v>1</v>
      </c>
      <c r="F191" s="151">
        <v>1</v>
      </c>
      <c r="G191" s="151">
        <v>1</v>
      </c>
      <c r="H191" s="8">
        <v>175.185</v>
      </c>
    </row>
    <row r="192" spans="1:8" s="22" customFormat="1" ht="12.75" customHeight="1">
      <c r="A192" s="234" t="s">
        <v>80</v>
      </c>
      <c r="B192" s="7"/>
      <c r="C192" s="3"/>
      <c r="D192" s="3"/>
      <c r="E192" s="3"/>
      <c r="F192" s="3"/>
      <c r="G192" s="3"/>
      <c r="H192" s="165"/>
    </row>
    <row r="193" spans="1:8" s="22" customFormat="1" ht="25.5">
      <c r="A193" s="235"/>
      <c r="B193" s="78" t="s">
        <v>30</v>
      </c>
      <c r="C193" s="5" t="s">
        <v>50</v>
      </c>
      <c r="D193" s="5">
        <f>E193+F193+G193</f>
        <v>144</v>
      </c>
      <c r="E193" s="5">
        <v>48</v>
      </c>
      <c r="F193" s="5">
        <v>48</v>
      </c>
      <c r="G193" s="5">
        <v>48</v>
      </c>
      <c r="H193" s="165"/>
    </row>
    <row r="194" spans="1:8" s="22" customFormat="1" ht="12.75">
      <c r="A194" s="235"/>
      <c r="B194" s="78" t="s">
        <v>104</v>
      </c>
      <c r="C194" s="5" t="s">
        <v>51</v>
      </c>
      <c r="D194" s="5">
        <f>E194+F194+G194</f>
        <v>651.042</v>
      </c>
      <c r="E194" s="5">
        <v>217.014</v>
      </c>
      <c r="F194" s="5">
        <v>217.014</v>
      </c>
      <c r="G194" s="5">
        <v>217.014</v>
      </c>
      <c r="H194" s="165"/>
    </row>
    <row r="195" spans="1:8" s="4" customFormat="1" ht="25.5">
      <c r="A195" s="236"/>
      <c r="B195" s="78" t="s">
        <v>105</v>
      </c>
      <c r="C195" s="5" t="s">
        <v>23</v>
      </c>
      <c r="D195" s="5">
        <f>E195+F195+G195</f>
        <v>233250</v>
      </c>
      <c r="E195" s="5">
        <v>77750</v>
      </c>
      <c r="F195" s="5">
        <v>77750</v>
      </c>
      <c r="G195" s="5">
        <v>77750</v>
      </c>
      <c r="H195" s="3"/>
    </row>
    <row r="196" spans="1:8" s="4" customFormat="1" ht="25.5">
      <c r="A196" s="87"/>
      <c r="B196" s="113" t="s">
        <v>368</v>
      </c>
      <c r="C196" s="164" t="s">
        <v>23</v>
      </c>
      <c r="D196" s="5">
        <f>E196+F196+G196</f>
        <v>90000</v>
      </c>
      <c r="E196" s="5">
        <v>30000</v>
      </c>
      <c r="F196" s="5">
        <v>30000</v>
      </c>
      <c r="G196" s="5">
        <v>30000</v>
      </c>
      <c r="H196" s="3"/>
    </row>
    <row r="197" spans="1:8" s="4" customFormat="1" ht="12.75" customHeight="1">
      <c r="A197" s="239" t="s">
        <v>147</v>
      </c>
      <c r="B197" s="78"/>
      <c r="C197" s="5"/>
      <c r="D197" s="5"/>
      <c r="E197" s="5"/>
      <c r="F197" s="5"/>
      <c r="G197" s="5"/>
      <c r="H197" s="3"/>
    </row>
    <row r="198" spans="1:8" s="4" customFormat="1" ht="25.5">
      <c r="A198" s="206"/>
      <c r="B198" s="123" t="s">
        <v>148</v>
      </c>
      <c r="C198" s="5" t="s">
        <v>45</v>
      </c>
      <c r="D198" s="5">
        <v>4</v>
      </c>
      <c r="E198" s="5">
        <v>3</v>
      </c>
      <c r="F198" s="5">
        <v>8</v>
      </c>
      <c r="G198" s="5">
        <v>8</v>
      </c>
      <c r="H198" s="3"/>
    </row>
    <row r="199" spans="1:8" s="4" customFormat="1" ht="12.75">
      <c r="A199" s="219" t="s">
        <v>354</v>
      </c>
      <c r="B199" s="125"/>
      <c r="C199" s="5"/>
      <c r="D199" s="5"/>
      <c r="E199" s="5"/>
      <c r="F199" s="5"/>
      <c r="G199" s="5"/>
      <c r="H199" s="3"/>
    </row>
    <row r="200" spans="1:8" s="4" customFormat="1" ht="51" customHeight="1">
      <c r="A200" s="220"/>
      <c r="B200" s="166" t="s">
        <v>362</v>
      </c>
      <c r="C200" s="5" t="s">
        <v>330</v>
      </c>
      <c r="D200" s="5">
        <f>SUM(E200:G200)</f>
        <v>1251</v>
      </c>
      <c r="E200" s="5">
        <f>204+1047</f>
        <v>1251</v>
      </c>
      <c r="F200" s="5">
        <v>0</v>
      </c>
      <c r="G200" s="5">
        <v>0</v>
      </c>
      <c r="H200" s="3"/>
    </row>
    <row r="201" spans="1:8" s="4" customFormat="1" ht="12.75" customHeight="1">
      <c r="A201" s="234" t="s">
        <v>78</v>
      </c>
      <c r="B201" s="78"/>
      <c r="C201" s="5"/>
      <c r="D201" s="5"/>
      <c r="E201" s="5"/>
      <c r="F201" s="5"/>
      <c r="G201" s="5"/>
      <c r="H201" s="3"/>
    </row>
    <row r="202" spans="1:8" s="4" customFormat="1" ht="12.75">
      <c r="A202" s="235"/>
      <c r="B202" s="78" t="s">
        <v>185</v>
      </c>
      <c r="C202" s="5" t="s">
        <v>45</v>
      </c>
      <c r="D202" s="5">
        <f aca="true" t="shared" si="5" ref="D202:D215">E202</f>
        <v>10</v>
      </c>
      <c r="E202" s="151">
        <v>10</v>
      </c>
      <c r="F202" s="5">
        <v>10</v>
      </c>
      <c r="G202" s="5">
        <v>10</v>
      </c>
      <c r="H202" s="3"/>
    </row>
    <row r="203" spans="1:8" s="4" customFormat="1" ht="25.5">
      <c r="A203" s="235"/>
      <c r="B203" s="110" t="s">
        <v>186</v>
      </c>
      <c r="C203" s="167" t="s">
        <v>45</v>
      </c>
      <c r="D203" s="165">
        <f t="shared" si="5"/>
        <v>10</v>
      </c>
      <c r="E203" s="165">
        <v>10</v>
      </c>
      <c r="F203" s="167">
        <v>10</v>
      </c>
      <c r="G203" s="167">
        <v>10</v>
      </c>
      <c r="H203" s="3"/>
    </row>
    <row r="204" spans="1:8" s="4" customFormat="1" ht="25.5">
      <c r="A204" s="235"/>
      <c r="B204" s="78" t="s">
        <v>371</v>
      </c>
      <c r="C204" s="5" t="s">
        <v>45</v>
      </c>
      <c r="D204" s="151">
        <v>1</v>
      </c>
      <c r="E204" s="151">
        <v>1</v>
      </c>
      <c r="F204" s="167"/>
      <c r="G204" s="167"/>
      <c r="H204" s="3"/>
    </row>
    <row r="205" spans="1:8" s="4" customFormat="1" ht="26.25" customHeight="1">
      <c r="A205" s="235"/>
      <c r="B205" s="78" t="s">
        <v>264</v>
      </c>
      <c r="C205" s="167"/>
      <c r="D205" s="165"/>
      <c r="E205" s="165"/>
      <c r="F205" s="167"/>
      <c r="G205" s="167"/>
      <c r="H205" s="3"/>
    </row>
    <row r="206" spans="1:8" s="22" customFormat="1" ht="38.25">
      <c r="A206" s="235"/>
      <c r="B206" s="93" t="s">
        <v>312</v>
      </c>
      <c r="C206" s="5" t="s">
        <v>45</v>
      </c>
      <c r="D206" s="12">
        <f>E206+F206+G206</f>
        <v>284</v>
      </c>
      <c r="E206" s="5">
        <f>144+140</f>
        <v>284</v>
      </c>
      <c r="F206" s="5"/>
      <c r="G206" s="5"/>
      <c r="H206" s="168"/>
    </row>
    <row r="207" spans="1:8" s="22" customFormat="1" ht="12.75" customHeight="1" hidden="1">
      <c r="A207" s="235"/>
      <c r="B207" s="78" t="s">
        <v>123</v>
      </c>
      <c r="C207" s="164" t="s">
        <v>45</v>
      </c>
      <c r="D207" s="151">
        <f>E207+F207+G207</f>
        <v>180</v>
      </c>
      <c r="E207" s="151">
        <f>E208</f>
        <v>60</v>
      </c>
      <c r="F207" s="151">
        <v>60</v>
      </c>
      <c r="G207" s="151">
        <v>60</v>
      </c>
      <c r="H207" s="168"/>
    </row>
    <row r="208" spans="1:8" s="22" customFormat="1" ht="12.75" customHeight="1" hidden="1">
      <c r="A208" s="235"/>
      <c r="B208" s="110" t="s">
        <v>160</v>
      </c>
      <c r="C208" s="169" t="s">
        <v>45</v>
      </c>
      <c r="D208" s="165">
        <f>E208+F208+G208</f>
        <v>180</v>
      </c>
      <c r="E208" s="165">
        <f>13+47</f>
        <v>60</v>
      </c>
      <c r="F208" s="165">
        <v>60</v>
      </c>
      <c r="G208" s="165">
        <v>60</v>
      </c>
      <c r="H208" s="168"/>
    </row>
    <row r="209" spans="1:8" s="22" customFormat="1" ht="12.75" customHeight="1">
      <c r="A209" s="235"/>
      <c r="B209" s="78" t="s">
        <v>359</v>
      </c>
      <c r="C209" s="164" t="s">
        <v>45</v>
      </c>
      <c r="D209" s="151">
        <v>180</v>
      </c>
      <c r="E209" s="151">
        <v>292</v>
      </c>
      <c r="F209" s="151">
        <v>60</v>
      </c>
      <c r="G209" s="151">
        <v>60</v>
      </c>
      <c r="H209" s="168"/>
    </row>
    <row r="210" spans="1:8" s="22" customFormat="1" ht="12.75" customHeight="1">
      <c r="A210" s="236"/>
      <c r="B210" s="110" t="s">
        <v>160</v>
      </c>
      <c r="C210" s="169" t="s">
        <v>45</v>
      </c>
      <c r="D210" s="165">
        <v>180</v>
      </c>
      <c r="E210" s="165">
        <v>60</v>
      </c>
      <c r="F210" s="165">
        <v>60</v>
      </c>
      <c r="G210" s="165">
        <v>60</v>
      </c>
      <c r="H210" s="168"/>
    </row>
    <row r="211" spans="1:8" s="4" customFormat="1" ht="25.5">
      <c r="A211" s="84" t="s">
        <v>204</v>
      </c>
      <c r="B211" s="125" t="s">
        <v>205</v>
      </c>
      <c r="C211" s="3" t="s">
        <v>45</v>
      </c>
      <c r="D211" s="170">
        <f t="shared" si="5"/>
        <v>1</v>
      </c>
      <c r="E211" s="170">
        <v>1</v>
      </c>
      <c r="F211" s="171"/>
      <c r="G211" s="81"/>
      <c r="H211" s="3"/>
    </row>
    <row r="212" spans="1:8" s="4" customFormat="1" ht="38.25">
      <c r="A212" s="234" t="s">
        <v>209</v>
      </c>
      <c r="B212" s="78" t="s">
        <v>126</v>
      </c>
      <c r="C212" s="3" t="s">
        <v>182</v>
      </c>
      <c r="D212" s="83">
        <f t="shared" si="5"/>
        <v>38.45</v>
      </c>
      <c r="E212" s="83">
        <v>38.45</v>
      </c>
      <c r="F212" s="83"/>
      <c r="G212" s="83"/>
      <c r="H212" s="3"/>
    </row>
    <row r="213" spans="1:8" s="4" customFormat="1" ht="12.75">
      <c r="A213" s="236"/>
      <c r="B213" s="19" t="s">
        <v>31</v>
      </c>
      <c r="C213" s="3" t="s">
        <v>51</v>
      </c>
      <c r="D213" s="83">
        <f t="shared" si="5"/>
        <v>4224</v>
      </c>
      <c r="E213" s="170">
        <f>528*8</f>
        <v>4224</v>
      </c>
      <c r="F213" s="83"/>
      <c r="G213" s="83"/>
      <c r="H213" s="3"/>
    </row>
    <row r="214" spans="1:8" s="13" customFormat="1" ht="28.5" customHeight="1">
      <c r="A214" s="84" t="s">
        <v>210</v>
      </c>
      <c r="B214" s="19" t="s">
        <v>208</v>
      </c>
      <c r="C214" s="3" t="s">
        <v>23</v>
      </c>
      <c r="D214" s="170">
        <f t="shared" si="5"/>
        <v>133767</v>
      </c>
      <c r="E214" s="170">
        <v>133767</v>
      </c>
      <c r="F214" s="81"/>
      <c r="G214" s="83"/>
      <c r="H214" s="81"/>
    </row>
    <row r="215" spans="1:9" s="13" customFormat="1" ht="31.5" customHeight="1">
      <c r="A215" s="84" t="s">
        <v>211</v>
      </c>
      <c r="B215" s="19" t="s">
        <v>212</v>
      </c>
      <c r="C215" s="3" t="s">
        <v>23</v>
      </c>
      <c r="D215" s="170">
        <f t="shared" si="5"/>
        <v>423942</v>
      </c>
      <c r="E215" s="170">
        <f>359287+64655</f>
        <v>423942</v>
      </c>
      <c r="F215" s="81"/>
      <c r="G215" s="83"/>
      <c r="H215" s="83"/>
      <c r="I215" s="126"/>
    </row>
    <row r="216" spans="1:8" s="13" customFormat="1" ht="24.75" customHeight="1">
      <c r="A216" s="194" t="s">
        <v>290</v>
      </c>
      <c r="B216" s="194"/>
      <c r="C216" s="194"/>
      <c r="D216" s="194"/>
      <c r="E216" s="194"/>
      <c r="F216" s="194"/>
      <c r="G216" s="194"/>
      <c r="H216" s="83"/>
    </row>
    <row r="217" spans="1:8" s="13" customFormat="1" ht="42.75" customHeight="1">
      <c r="A217" s="234" t="s">
        <v>180</v>
      </c>
      <c r="B217" s="78"/>
      <c r="C217" s="3"/>
      <c r="D217" s="3"/>
      <c r="E217" s="3"/>
      <c r="F217" s="3"/>
      <c r="G217" s="3"/>
      <c r="H217" s="83"/>
    </row>
    <row r="218" spans="1:8" s="13" customFormat="1" ht="44.25" customHeight="1">
      <c r="A218" s="235"/>
      <c r="B218" s="78" t="s">
        <v>33</v>
      </c>
      <c r="C218" s="5" t="s">
        <v>49</v>
      </c>
      <c r="D218" s="151">
        <f>E218+F218+G218</f>
        <v>103917</v>
      </c>
      <c r="E218" s="151">
        <v>34639</v>
      </c>
      <c r="F218" s="151">
        <v>34639</v>
      </c>
      <c r="G218" s="151">
        <v>34639</v>
      </c>
      <c r="H218" s="83"/>
    </row>
    <row r="219" spans="1:8" s="4" customFormat="1" ht="12.75">
      <c r="A219" s="87"/>
      <c r="B219" s="78"/>
      <c r="C219" s="5" t="s">
        <v>95</v>
      </c>
      <c r="D219" s="151">
        <f>E219+F219+G219</f>
        <v>76140</v>
      </c>
      <c r="E219" s="151">
        <v>25380</v>
      </c>
      <c r="F219" s="151">
        <v>25380</v>
      </c>
      <c r="G219" s="151">
        <v>25380</v>
      </c>
      <c r="H219" s="3"/>
    </row>
    <row r="220" spans="1:8" s="4" customFormat="1" ht="12.75" customHeight="1">
      <c r="A220" s="234" t="s">
        <v>107</v>
      </c>
      <c r="B220" s="78"/>
      <c r="C220" s="3"/>
      <c r="D220" s="12"/>
      <c r="E220" s="3"/>
      <c r="F220" s="3"/>
      <c r="G220" s="3"/>
      <c r="H220" s="3"/>
    </row>
    <row r="221" spans="1:8" s="4" customFormat="1" ht="25.5">
      <c r="A221" s="236"/>
      <c r="B221" s="78" t="s">
        <v>109</v>
      </c>
      <c r="C221" s="3" t="s">
        <v>52</v>
      </c>
      <c r="D221" s="158">
        <f>E221+F221+G221</f>
        <v>52290</v>
      </c>
      <c r="E221" s="3">
        <v>17430</v>
      </c>
      <c r="F221" s="3">
        <v>17430</v>
      </c>
      <c r="G221" s="3">
        <v>17430</v>
      </c>
      <c r="H221" s="151">
        <v>53866</v>
      </c>
    </row>
    <row r="222" spans="1:8" s="4" customFormat="1" ht="12.75">
      <c r="A222" s="237" t="s">
        <v>64</v>
      </c>
      <c r="B222" s="78"/>
      <c r="C222" s="3"/>
      <c r="D222" s="3"/>
      <c r="E222" s="3"/>
      <c r="F222" s="3"/>
      <c r="G222" s="3"/>
      <c r="H222" s="151"/>
    </row>
    <row r="223" spans="1:8" s="4" customFormat="1" ht="12.75">
      <c r="A223" s="237"/>
      <c r="B223" s="78" t="s">
        <v>103</v>
      </c>
      <c r="C223" s="5" t="s">
        <v>46</v>
      </c>
      <c r="D223" s="151">
        <f>E223+F223+G223</f>
        <v>11892</v>
      </c>
      <c r="E223" s="151">
        <v>3964</v>
      </c>
      <c r="F223" s="151">
        <v>3964</v>
      </c>
      <c r="G223" s="151">
        <v>3964</v>
      </c>
      <c r="H223" s="3"/>
    </row>
    <row r="224" spans="1:8" s="4" customFormat="1" ht="12.75">
      <c r="A224" s="237" t="s">
        <v>73</v>
      </c>
      <c r="B224" s="78"/>
      <c r="C224" s="3"/>
      <c r="D224" s="3"/>
      <c r="E224" s="3"/>
      <c r="F224" s="3"/>
      <c r="G224" s="3"/>
      <c r="H224" s="3"/>
    </row>
    <row r="225" spans="1:8" s="4" customFormat="1" ht="25.5">
      <c r="A225" s="237"/>
      <c r="B225" s="78" t="s">
        <v>173</v>
      </c>
      <c r="C225" s="5" t="s">
        <v>23</v>
      </c>
      <c r="D225" s="5">
        <f>E225+F225+G225</f>
        <v>551.4000000000001</v>
      </c>
      <c r="E225" s="5">
        <v>183.8</v>
      </c>
      <c r="F225" s="5">
        <v>183.8</v>
      </c>
      <c r="G225" s="5">
        <v>183.8</v>
      </c>
      <c r="H225" s="3"/>
    </row>
    <row r="226" spans="1:8" s="4" customFormat="1" ht="38.25">
      <c r="A226" s="237"/>
      <c r="B226" s="78" t="s">
        <v>138</v>
      </c>
      <c r="C226" s="5" t="s">
        <v>23</v>
      </c>
      <c r="D226" s="5">
        <f aca="true" t="shared" si="6" ref="D226:D238">E226+F226+G226</f>
        <v>673.6</v>
      </c>
      <c r="E226" s="5">
        <f>184+121.6</f>
        <v>305.6</v>
      </c>
      <c r="F226" s="5">
        <v>184</v>
      </c>
      <c r="G226" s="5">
        <v>184</v>
      </c>
      <c r="H226" s="3"/>
    </row>
    <row r="227" spans="1:8" s="4" customFormat="1" ht="25.5">
      <c r="A227" s="237"/>
      <c r="B227" s="78" t="s">
        <v>166</v>
      </c>
      <c r="C227" s="5" t="s">
        <v>45</v>
      </c>
      <c r="D227" s="5">
        <f t="shared" si="6"/>
        <v>138</v>
      </c>
      <c r="E227" s="5">
        <v>46</v>
      </c>
      <c r="F227" s="5">
        <v>46</v>
      </c>
      <c r="G227" s="5">
        <v>46</v>
      </c>
      <c r="H227" s="5">
        <v>476</v>
      </c>
    </row>
    <row r="228" spans="1:8" s="4" customFormat="1" ht="25.5" hidden="1">
      <c r="A228" s="237"/>
      <c r="B228" s="78" t="s">
        <v>136</v>
      </c>
      <c r="C228" s="5" t="s">
        <v>23</v>
      </c>
      <c r="D228" s="5">
        <f t="shared" si="6"/>
        <v>12655.5</v>
      </c>
      <c r="E228" s="5">
        <v>4218.5</v>
      </c>
      <c r="F228" s="5">
        <v>4218.5</v>
      </c>
      <c r="G228" s="5">
        <v>4218.5</v>
      </c>
      <c r="H228" s="5">
        <v>73.104</v>
      </c>
    </row>
    <row r="229" spans="1:8" s="4" customFormat="1" ht="36.75" customHeight="1">
      <c r="A229" s="237"/>
      <c r="B229" s="172" t="s">
        <v>136</v>
      </c>
      <c r="C229" s="5" t="s">
        <v>23</v>
      </c>
      <c r="D229" s="5">
        <v>12655.5</v>
      </c>
      <c r="E229" s="5">
        <v>4218.5</v>
      </c>
      <c r="F229" s="5">
        <v>4218.5</v>
      </c>
      <c r="G229" s="5">
        <v>4218.5</v>
      </c>
      <c r="H229" s="5"/>
    </row>
    <row r="230" spans="1:8" s="4" customFormat="1" ht="38.25">
      <c r="A230" s="237"/>
      <c r="B230" s="78" t="s">
        <v>175</v>
      </c>
      <c r="C230" s="5" t="s">
        <v>23</v>
      </c>
      <c r="D230" s="5">
        <f t="shared" si="6"/>
        <v>1939.1999999999998</v>
      </c>
      <c r="E230" s="5">
        <v>646.4</v>
      </c>
      <c r="F230" s="5">
        <v>646.4</v>
      </c>
      <c r="G230" s="5">
        <v>646.4</v>
      </c>
      <c r="H230" s="5">
        <v>271.395</v>
      </c>
    </row>
    <row r="231" spans="1:8" s="4" customFormat="1" ht="25.5">
      <c r="A231" s="237"/>
      <c r="B231" s="78" t="s">
        <v>98</v>
      </c>
      <c r="C231" s="5" t="s">
        <v>181</v>
      </c>
      <c r="D231" s="5">
        <f t="shared" si="6"/>
        <v>36</v>
      </c>
      <c r="E231" s="5">
        <v>12</v>
      </c>
      <c r="F231" s="5">
        <v>12</v>
      </c>
      <c r="G231" s="5">
        <v>12</v>
      </c>
      <c r="H231" s="5"/>
    </row>
    <row r="232" spans="1:8" s="4" customFormat="1" ht="25.5">
      <c r="A232" s="237"/>
      <c r="B232" s="78" t="s">
        <v>108</v>
      </c>
      <c r="C232" s="5" t="s">
        <v>181</v>
      </c>
      <c r="D232" s="5">
        <f t="shared" si="6"/>
        <v>36</v>
      </c>
      <c r="E232" s="5">
        <v>12</v>
      </c>
      <c r="F232" s="5">
        <v>12</v>
      </c>
      <c r="G232" s="5">
        <v>12</v>
      </c>
      <c r="H232" s="5"/>
    </row>
    <row r="233" spans="1:8" s="4" customFormat="1" ht="38.25">
      <c r="A233" s="237"/>
      <c r="B233" s="78" t="s">
        <v>176</v>
      </c>
      <c r="C233" s="5" t="s">
        <v>45</v>
      </c>
      <c r="D233" s="5">
        <f t="shared" si="6"/>
        <v>93</v>
      </c>
      <c r="E233" s="5">
        <v>31</v>
      </c>
      <c r="F233" s="5">
        <v>31</v>
      </c>
      <c r="G233" s="5">
        <v>31</v>
      </c>
      <c r="H233" s="5"/>
    </row>
    <row r="234" spans="1:8" s="4" customFormat="1" ht="25.5">
      <c r="A234" s="237"/>
      <c r="B234" s="78" t="s">
        <v>177</v>
      </c>
      <c r="C234" s="5" t="s">
        <v>45</v>
      </c>
      <c r="D234" s="5">
        <f t="shared" si="6"/>
        <v>75</v>
      </c>
      <c r="E234" s="5">
        <v>25</v>
      </c>
      <c r="F234" s="5">
        <v>25</v>
      </c>
      <c r="G234" s="5">
        <v>25</v>
      </c>
      <c r="H234" s="5"/>
    </row>
    <row r="235" spans="1:8" s="4" customFormat="1" ht="12.75">
      <c r="A235" s="237"/>
      <c r="B235" s="78" t="s">
        <v>133</v>
      </c>
      <c r="C235" s="5" t="s">
        <v>23</v>
      </c>
      <c r="D235" s="5">
        <f t="shared" si="6"/>
        <v>3990</v>
      </c>
      <c r="E235" s="5">
        <v>1330</v>
      </c>
      <c r="F235" s="5">
        <v>1330</v>
      </c>
      <c r="G235" s="5">
        <v>1330</v>
      </c>
      <c r="H235" s="5"/>
    </row>
    <row r="236" spans="1:8" s="4" customFormat="1" ht="25.5">
      <c r="A236" s="237"/>
      <c r="B236" s="78" t="s">
        <v>137</v>
      </c>
      <c r="C236" s="5" t="s">
        <v>23</v>
      </c>
      <c r="D236" s="5">
        <f t="shared" si="6"/>
        <v>300</v>
      </c>
      <c r="E236" s="5">
        <v>100</v>
      </c>
      <c r="F236" s="5">
        <v>100</v>
      </c>
      <c r="G236" s="5">
        <v>100</v>
      </c>
      <c r="H236" s="5"/>
    </row>
    <row r="237" spans="1:8" s="4" customFormat="1" ht="12.75">
      <c r="A237" s="237"/>
      <c r="B237" s="78" t="s">
        <v>214</v>
      </c>
      <c r="C237" s="5" t="s">
        <v>45</v>
      </c>
      <c r="D237" s="5">
        <f t="shared" si="6"/>
        <v>2</v>
      </c>
      <c r="E237" s="5">
        <v>2</v>
      </c>
      <c r="F237" s="5"/>
      <c r="G237" s="5"/>
      <c r="H237" s="5"/>
    </row>
    <row r="238" spans="1:8" s="4" customFormat="1" ht="25.5">
      <c r="A238" s="237"/>
      <c r="B238" s="78" t="s">
        <v>139</v>
      </c>
      <c r="C238" s="5" t="s">
        <v>23</v>
      </c>
      <c r="D238" s="5">
        <f t="shared" si="6"/>
        <v>1809</v>
      </c>
      <c r="E238" s="5">
        <v>603</v>
      </c>
      <c r="F238" s="5">
        <v>603</v>
      </c>
      <c r="G238" s="5">
        <v>603</v>
      </c>
      <c r="H238" s="5"/>
    </row>
    <row r="239" spans="1:8" s="4" customFormat="1" ht="12.75">
      <c r="A239" s="237" t="s">
        <v>80</v>
      </c>
      <c r="B239" s="78"/>
      <c r="C239" s="3"/>
      <c r="D239" s="3"/>
      <c r="E239" s="3"/>
      <c r="F239" s="3"/>
      <c r="G239" s="3"/>
      <c r="H239" s="5"/>
    </row>
    <row r="240" spans="1:8" s="4" customFormat="1" ht="25.5">
      <c r="A240" s="237"/>
      <c r="B240" s="78" t="s">
        <v>30</v>
      </c>
      <c r="C240" s="5" t="s">
        <v>45</v>
      </c>
      <c r="D240" s="5">
        <f>E240+F240+G240</f>
        <v>75</v>
      </c>
      <c r="E240" s="5">
        <v>25</v>
      </c>
      <c r="F240" s="5">
        <v>25</v>
      </c>
      <c r="G240" s="5">
        <v>25</v>
      </c>
      <c r="H240" s="5"/>
    </row>
    <row r="241" spans="1:8" s="4" customFormat="1" ht="12.75">
      <c r="A241" s="237"/>
      <c r="B241" s="78" t="s">
        <v>179</v>
      </c>
      <c r="C241" s="5" t="s">
        <v>195</v>
      </c>
      <c r="D241" s="5">
        <f>E241+F241+G241</f>
        <v>1125000</v>
      </c>
      <c r="E241" s="5">
        <v>333000</v>
      </c>
      <c r="F241" s="5">
        <v>396000</v>
      </c>
      <c r="G241" s="5">
        <v>396000</v>
      </c>
      <c r="H241" s="5"/>
    </row>
    <row r="242" spans="1:8" s="4" customFormat="1" ht="12.75">
      <c r="A242" s="237"/>
      <c r="B242" s="78" t="s">
        <v>104</v>
      </c>
      <c r="C242" s="5" t="s">
        <v>51</v>
      </c>
      <c r="D242" s="137">
        <f>E242+F242+G242</f>
        <v>783</v>
      </c>
      <c r="E242" s="5">
        <v>303</v>
      </c>
      <c r="F242" s="5">
        <v>240</v>
      </c>
      <c r="G242" s="5">
        <v>240</v>
      </c>
      <c r="H242" s="3"/>
    </row>
    <row r="243" spans="1:8" s="4" customFormat="1" ht="25.5">
      <c r="A243" s="237"/>
      <c r="B243" s="78" t="s">
        <v>368</v>
      </c>
      <c r="C243" s="5" t="s">
        <v>47</v>
      </c>
      <c r="D243" s="137">
        <f>E243+F243+G243</f>
        <v>1.05</v>
      </c>
      <c r="E243" s="5">
        <v>1.05</v>
      </c>
      <c r="F243" s="5"/>
      <c r="G243" s="5"/>
      <c r="H243" s="3"/>
    </row>
    <row r="244" spans="1:8" s="4" customFormat="1" ht="12.75">
      <c r="A244" s="237"/>
      <c r="B244" s="78" t="s">
        <v>135</v>
      </c>
      <c r="C244" s="5" t="s">
        <v>182</v>
      </c>
      <c r="D244" s="5">
        <f>E244+F244+G244</f>
        <v>78</v>
      </c>
      <c r="E244" s="5">
        <v>26</v>
      </c>
      <c r="F244" s="5">
        <v>26</v>
      </c>
      <c r="G244" s="5">
        <v>26</v>
      </c>
      <c r="H244" s="3"/>
    </row>
    <row r="245" spans="1:8" s="4" customFormat="1" ht="12.75">
      <c r="A245" s="239" t="s">
        <v>140</v>
      </c>
      <c r="B245" s="78"/>
      <c r="C245" s="5"/>
      <c r="D245" s="5"/>
      <c r="E245" s="5"/>
      <c r="F245" s="5"/>
      <c r="G245" s="5"/>
      <c r="H245" s="3"/>
    </row>
    <row r="246" spans="1:11" s="62" customFormat="1" ht="12.75">
      <c r="A246" s="206"/>
      <c r="B246" s="78" t="s">
        <v>141</v>
      </c>
      <c r="C246" s="5" t="s">
        <v>45</v>
      </c>
      <c r="D246" s="5">
        <f>E246+F246+G246</f>
        <v>15</v>
      </c>
      <c r="E246" s="5">
        <v>5</v>
      </c>
      <c r="F246" s="5">
        <v>5</v>
      </c>
      <c r="G246" s="5">
        <v>5</v>
      </c>
      <c r="H246" s="3"/>
      <c r="I246" s="4"/>
      <c r="J246" s="4"/>
      <c r="K246" s="4"/>
    </row>
    <row r="247" spans="1:11" s="62" customFormat="1" ht="45.75" customHeight="1">
      <c r="A247" s="237" t="s">
        <v>246</v>
      </c>
      <c r="B247" s="78" t="s">
        <v>135</v>
      </c>
      <c r="C247" s="3" t="s">
        <v>47</v>
      </c>
      <c r="D247" s="3">
        <f>E247+F247+G247</f>
        <v>36.69</v>
      </c>
      <c r="E247" s="3">
        <v>12.23</v>
      </c>
      <c r="F247" s="3">
        <v>12.23</v>
      </c>
      <c r="G247" s="3">
        <v>12.23</v>
      </c>
      <c r="H247" s="3"/>
      <c r="I247" s="4"/>
      <c r="J247" s="4"/>
      <c r="K247" s="4"/>
    </row>
    <row r="248" spans="1:8" s="4" customFormat="1" ht="12.75">
      <c r="A248" s="237"/>
      <c r="B248" s="78" t="s">
        <v>282</v>
      </c>
      <c r="C248" s="5" t="s">
        <v>47</v>
      </c>
      <c r="D248" s="5">
        <f>E248+F248+G248</f>
        <v>36.69</v>
      </c>
      <c r="E248" s="5">
        <v>12.23</v>
      </c>
      <c r="F248" s="5">
        <v>12.23</v>
      </c>
      <c r="G248" s="5">
        <v>12.23</v>
      </c>
      <c r="H248" s="3"/>
    </row>
    <row r="249" spans="1:8" s="4" customFormat="1" ht="36.75" customHeight="1">
      <c r="A249" s="237"/>
      <c r="B249" s="78" t="s">
        <v>104</v>
      </c>
      <c r="C249" s="5" t="s">
        <v>51</v>
      </c>
      <c r="D249" s="5">
        <f>E249+F249+G249</f>
        <v>67.5</v>
      </c>
      <c r="E249" s="5">
        <v>22.5</v>
      </c>
      <c r="F249" s="5">
        <v>22.5</v>
      </c>
      <c r="G249" s="5">
        <v>22.5</v>
      </c>
      <c r="H249" s="3"/>
    </row>
    <row r="250" spans="1:8" s="4" customFormat="1" ht="12.75">
      <c r="A250" s="237" t="s">
        <v>247</v>
      </c>
      <c r="B250" s="78"/>
      <c r="C250" s="3"/>
      <c r="D250" s="3"/>
      <c r="E250" s="3"/>
      <c r="F250" s="3"/>
      <c r="G250" s="3"/>
      <c r="H250" s="3"/>
    </row>
    <row r="251" spans="1:8" s="4" customFormat="1" ht="12.75">
      <c r="A251" s="237"/>
      <c r="B251" s="78" t="s">
        <v>135</v>
      </c>
      <c r="C251" s="5" t="s">
        <v>47</v>
      </c>
      <c r="D251" s="5">
        <f>E251+F251+G251</f>
        <v>7.26</v>
      </c>
      <c r="E251" s="5">
        <v>2.42</v>
      </c>
      <c r="F251" s="5">
        <v>2.42</v>
      </c>
      <c r="G251" s="5">
        <v>2.42</v>
      </c>
      <c r="H251" s="3"/>
    </row>
    <row r="252" spans="1:9" s="4" customFormat="1" ht="36" customHeight="1">
      <c r="A252" s="237"/>
      <c r="B252" s="78" t="s">
        <v>282</v>
      </c>
      <c r="C252" s="5" t="s">
        <v>47</v>
      </c>
      <c r="D252" s="5">
        <f>E252+F252+G252</f>
        <v>7.26</v>
      </c>
      <c r="E252" s="5">
        <v>2.42</v>
      </c>
      <c r="F252" s="5">
        <v>2.42</v>
      </c>
      <c r="G252" s="5">
        <v>2.42</v>
      </c>
      <c r="H252" s="3"/>
      <c r="I252" s="173"/>
    </row>
    <row r="253" spans="1:8" s="4" customFormat="1" ht="25.5">
      <c r="A253" s="237"/>
      <c r="B253" s="78" t="s">
        <v>215</v>
      </c>
      <c r="C253" s="5" t="s">
        <v>45</v>
      </c>
      <c r="D253" s="5">
        <f>E253+F253+G253</f>
        <v>750</v>
      </c>
      <c r="E253" s="5">
        <v>250</v>
      </c>
      <c r="F253" s="5">
        <v>250</v>
      </c>
      <c r="G253" s="5">
        <v>250</v>
      </c>
      <c r="H253" s="3"/>
    </row>
    <row r="254" spans="1:8" s="4" customFormat="1" ht="12.75">
      <c r="A254" s="237" t="s">
        <v>219</v>
      </c>
      <c r="B254" s="78"/>
      <c r="C254" s="3"/>
      <c r="D254" s="3"/>
      <c r="E254" s="3"/>
      <c r="F254" s="3"/>
      <c r="G254" s="3"/>
      <c r="H254" s="3"/>
    </row>
    <row r="255" spans="1:8" s="4" customFormat="1" ht="25.5">
      <c r="A255" s="237"/>
      <c r="B255" s="78" t="s">
        <v>217</v>
      </c>
      <c r="C255" s="5" t="s">
        <v>23</v>
      </c>
      <c r="D255" s="5">
        <f>E255+F255+G255</f>
        <v>690112.5</v>
      </c>
      <c r="E255" s="5">
        <v>230037.5</v>
      </c>
      <c r="F255" s="5">
        <v>230037.5</v>
      </c>
      <c r="G255" s="5">
        <v>230037.5</v>
      </c>
      <c r="H255" s="3"/>
    </row>
    <row r="256" spans="1:9" s="4" customFormat="1" ht="36" customHeight="1">
      <c r="A256" s="237"/>
      <c r="B256" s="78" t="s">
        <v>218</v>
      </c>
      <c r="C256" s="5" t="s">
        <v>23</v>
      </c>
      <c r="D256" s="5">
        <f>E256+F256+G256</f>
        <v>1080</v>
      </c>
      <c r="E256" s="5">
        <v>360</v>
      </c>
      <c r="F256" s="5">
        <v>360</v>
      </c>
      <c r="G256" s="5">
        <v>360</v>
      </c>
      <c r="H256" s="3"/>
      <c r="I256" s="173"/>
    </row>
    <row r="257" spans="1:8" s="4" customFormat="1" ht="12.75" customHeight="1">
      <c r="A257" s="234" t="s">
        <v>78</v>
      </c>
      <c r="B257" s="78"/>
      <c r="C257" s="5"/>
      <c r="D257" s="5"/>
      <c r="E257" s="5"/>
      <c r="F257" s="5"/>
      <c r="G257" s="5"/>
      <c r="H257" s="3"/>
    </row>
    <row r="258" spans="1:8" s="4" customFormat="1" ht="28.5" customHeight="1">
      <c r="A258" s="235"/>
      <c r="B258" s="78" t="s">
        <v>264</v>
      </c>
      <c r="C258" s="5"/>
      <c r="D258" s="5"/>
      <c r="E258" s="5"/>
      <c r="F258" s="5"/>
      <c r="G258" s="5"/>
      <c r="H258" s="3"/>
    </row>
    <row r="259" spans="1:8" s="4" customFormat="1" ht="12.75">
      <c r="A259" s="235"/>
      <c r="B259" s="78" t="s">
        <v>359</v>
      </c>
      <c r="C259" s="5" t="s">
        <v>45</v>
      </c>
      <c r="D259" s="5">
        <f>E259+F259+G259</f>
        <v>333</v>
      </c>
      <c r="E259" s="5">
        <v>111</v>
      </c>
      <c r="F259" s="5">
        <v>111</v>
      </c>
      <c r="G259" s="5">
        <v>111</v>
      </c>
      <c r="H259" s="3"/>
    </row>
    <row r="260" spans="1:9" s="4" customFormat="1" ht="44.25" customHeight="1">
      <c r="A260" s="235"/>
      <c r="B260" s="93" t="s">
        <v>312</v>
      </c>
      <c r="C260" s="5" t="s">
        <v>45</v>
      </c>
      <c r="D260" s="12">
        <f>E260+F260+G260</f>
        <v>271</v>
      </c>
      <c r="E260" s="5">
        <v>271</v>
      </c>
      <c r="F260" s="5"/>
      <c r="G260" s="5"/>
      <c r="H260" s="3"/>
      <c r="I260" s="173"/>
    </row>
    <row r="261" spans="1:9" s="4" customFormat="1" ht="36" customHeight="1">
      <c r="A261" s="236"/>
      <c r="B261" s="174" t="s">
        <v>355</v>
      </c>
      <c r="C261" s="5" t="s">
        <v>23</v>
      </c>
      <c r="D261" s="12">
        <f>E261</f>
        <v>18774.239999999998</v>
      </c>
      <c r="E261" s="5">
        <f>173+1973.57+16627.67</f>
        <v>18774.239999999998</v>
      </c>
      <c r="F261" s="5"/>
      <c r="G261" s="5"/>
      <c r="H261" s="3"/>
      <c r="I261" s="173"/>
    </row>
    <row r="262" spans="1:9" s="4" customFormat="1" ht="13.5" customHeight="1">
      <c r="A262" s="216" t="s">
        <v>327</v>
      </c>
      <c r="B262" s="78"/>
      <c r="C262" s="5"/>
      <c r="D262" s="12"/>
      <c r="E262" s="5"/>
      <c r="F262" s="5"/>
      <c r="G262" s="5"/>
      <c r="H262" s="3"/>
      <c r="I262" s="173"/>
    </row>
    <row r="263" spans="1:9" s="4" customFormat="1" ht="25.5">
      <c r="A263" s="216"/>
      <c r="B263" s="78" t="s">
        <v>326</v>
      </c>
      <c r="C263" s="5" t="s">
        <v>45</v>
      </c>
      <c r="D263" s="12">
        <f>E263+F263+G263</f>
        <v>4</v>
      </c>
      <c r="E263" s="5">
        <v>4</v>
      </c>
      <c r="F263" s="5"/>
      <c r="G263" s="5"/>
      <c r="H263" s="3"/>
      <c r="I263" s="173"/>
    </row>
    <row r="264" spans="1:9" s="4" customFormat="1" ht="41.25" customHeight="1">
      <c r="A264" s="98" t="s">
        <v>79</v>
      </c>
      <c r="B264" s="114" t="s">
        <v>37</v>
      </c>
      <c r="C264" s="12" t="s">
        <v>24</v>
      </c>
      <c r="D264" s="12">
        <f>E264</f>
        <v>14.3</v>
      </c>
      <c r="E264" s="12">
        <v>14.3</v>
      </c>
      <c r="F264" s="5"/>
      <c r="G264" s="12"/>
      <c r="H264" s="3"/>
      <c r="I264" s="173"/>
    </row>
    <row r="265" spans="1:8" s="4" customFormat="1" ht="12.75">
      <c r="A265" s="63"/>
      <c r="B265" s="66"/>
      <c r="C265" s="64"/>
      <c r="D265" s="67"/>
      <c r="E265" s="64"/>
      <c r="F265" s="64"/>
      <c r="G265" s="65"/>
      <c r="H265" s="3"/>
    </row>
    <row r="266" spans="1:8" s="62" customFormat="1" ht="12.75" customHeight="1">
      <c r="A266" s="308" t="s">
        <v>86</v>
      </c>
      <c r="B266" s="309"/>
      <c r="C266" s="309"/>
      <c r="D266" s="309"/>
      <c r="E266" s="309"/>
      <c r="F266" s="309"/>
      <c r="G266" s="310"/>
      <c r="H266" s="61"/>
    </row>
    <row r="267" spans="1:8" s="62" customFormat="1" ht="51" customHeight="1">
      <c r="A267" s="284" t="s">
        <v>63</v>
      </c>
      <c r="B267" s="78"/>
      <c r="C267" s="3"/>
      <c r="D267" s="3"/>
      <c r="E267" s="3"/>
      <c r="F267" s="3"/>
      <c r="G267" s="3"/>
      <c r="H267" s="61"/>
    </row>
    <row r="268" spans="1:8" s="4" customFormat="1" ht="25.5">
      <c r="A268" s="277"/>
      <c r="B268" s="128" t="s">
        <v>33</v>
      </c>
      <c r="C268" s="5" t="s">
        <v>23</v>
      </c>
      <c r="D268" s="12">
        <f>E268+F268+G268</f>
        <v>37190.100000000006</v>
      </c>
      <c r="E268" s="12">
        <v>12396.7</v>
      </c>
      <c r="F268" s="12">
        <v>12396.7</v>
      </c>
      <c r="G268" s="12">
        <v>12396.7</v>
      </c>
      <c r="H268" s="3"/>
    </row>
    <row r="269" spans="1:8" s="4" customFormat="1" ht="12.75" customHeight="1">
      <c r="A269" s="277"/>
      <c r="B269" s="129" t="s">
        <v>126</v>
      </c>
      <c r="C269" s="5" t="s">
        <v>47</v>
      </c>
      <c r="D269" s="5">
        <f>E269+F269+G269</f>
        <v>70.28999999999999</v>
      </c>
      <c r="E269" s="5">
        <v>23.43</v>
      </c>
      <c r="F269" s="5">
        <v>23.43</v>
      </c>
      <c r="G269" s="5">
        <v>23.43</v>
      </c>
      <c r="H269" s="3"/>
    </row>
    <row r="270" spans="1:8" s="4" customFormat="1" ht="12.75" customHeight="1">
      <c r="A270" s="277"/>
      <c r="B270" s="129" t="s">
        <v>267</v>
      </c>
      <c r="C270" s="5" t="s">
        <v>45</v>
      </c>
      <c r="D270" s="5">
        <f>E270+F270+G270</f>
        <v>123</v>
      </c>
      <c r="E270" s="91">
        <v>41</v>
      </c>
      <c r="F270" s="91">
        <v>41</v>
      </c>
      <c r="G270" s="91">
        <v>41</v>
      </c>
      <c r="H270" s="3"/>
    </row>
    <row r="271" spans="1:8" s="4" customFormat="1" ht="12.75">
      <c r="A271" s="277"/>
      <c r="B271" s="130" t="s">
        <v>34</v>
      </c>
      <c r="C271" s="5" t="s">
        <v>45</v>
      </c>
      <c r="D271" s="5">
        <f>E271+F271+G271</f>
        <v>12</v>
      </c>
      <c r="E271" s="91">
        <v>4</v>
      </c>
      <c r="F271" s="91">
        <v>4</v>
      </c>
      <c r="G271" s="91">
        <v>4</v>
      </c>
      <c r="H271" s="3"/>
    </row>
    <row r="272" spans="1:8" s="4" customFormat="1" ht="12.75">
      <c r="A272" s="284" t="s">
        <v>73</v>
      </c>
      <c r="B272" s="7"/>
      <c r="C272" s="3"/>
      <c r="D272" s="3"/>
      <c r="E272" s="3"/>
      <c r="F272" s="3"/>
      <c r="G272" s="3"/>
      <c r="H272" s="3"/>
    </row>
    <row r="273" spans="1:8" s="4" customFormat="1" ht="38.25">
      <c r="A273" s="277"/>
      <c r="B273" s="78" t="s">
        <v>41</v>
      </c>
      <c r="C273" s="5" t="s">
        <v>45</v>
      </c>
      <c r="D273" s="5">
        <f>E273+F273+G273</f>
        <v>183</v>
      </c>
      <c r="E273" s="5">
        <v>61</v>
      </c>
      <c r="F273" s="5">
        <v>61</v>
      </c>
      <c r="G273" s="5">
        <v>61</v>
      </c>
      <c r="H273" s="3"/>
    </row>
    <row r="274" spans="1:8" s="4" customFormat="1" ht="25.5">
      <c r="A274" s="277"/>
      <c r="B274" s="78" t="s">
        <v>383</v>
      </c>
      <c r="C274" s="5" t="s">
        <v>23</v>
      </c>
      <c r="D274" s="12">
        <f>E274+F274+G274</f>
        <v>5954.352000000001</v>
      </c>
      <c r="E274" s="137">
        <v>1984.784</v>
      </c>
      <c r="F274" s="137">
        <v>1984.784</v>
      </c>
      <c r="G274" s="137">
        <v>1984.784</v>
      </c>
      <c r="H274" s="3"/>
    </row>
    <row r="275" spans="1:8" s="4" customFormat="1" ht="12.75" customHeight="1">
      <c r="A275" s="277"/>
      <c r="B275" s="129" t="s">
        <v>183</v>
      </c>
      <c r="C275" s="5" t="s">
        <v>23</v>
      </c>
      <c r="D275" s="5">
        <f>E275+F275+G275</f>
        <v>267</v>
      </c>
      <c r="E275" s="5">
        <v>89</v>
      </c>
      <c r="F275" s="5">
        <v>89</v>
      </c>
      <c r="G275" s="5">
        <v>89</v>
      </c>
      <c r="H275" s="3"/>
    </row>
    <row r="276" spans="1:8" s="4" customFormat="1" ht="12.75" customHeight="1">
      <c r="A276" s="285"/>
      <c r="B276" s="175" t="s">
        <v>351</v>
      </c>
      <c r="C276" s="5" t="s">
        <v>45</v>
      </c>
      <c r="D276" s="5">
        <f>E276+F276+G276</f>
        <v>24</v>
      </c>
      <c r="E276" s="5">
        <v>8</v>
      </c>
      <c r="F276" s="5">
        <v>8</v>
      </c>
      <c r="G276" s="5">
        <v>8</v>
      </c>
      <c r="H276" s="3"/>
    </row>
    <row r="277" spans="1:8" s="4" customFormat="1" ht="12.75">
      <c r="A277" s="284" t="s">
        <v>80</v>
      </c>
      <c r="B277" s="7"/>
      <c r="C277" s="3"/>
      <c r="D277" s="3"/>
      <c r="E277" s="3"/>
      <c r="F277" s="3"/>
      <c r="G277" s="3"/>
      <c r="H277" s="3"/>
    </row>
    <row r="278" spans="1:8" s="4" customFormat="1" ht="25.5">
      <c r="A278" s="277"/>
      <c r="B278" s="129" t="s">
        <v>306</v>
      </c>
      <c r="C278" s="5" t="s">
        <v>50</v>
      </c>
      <c r="D278" s="5">
        <f>E278+F278+G278</f>
        <v>258</v>
      </c>
      <c r="E278" s="5">
        <v>86</v>
      </c>
      <c r="F278" s="5">
        <v>86</v>
      </c>
      <c r="G278" s="5">
        <v>86</v>
      </c>
      <c r="H278" s="3"/>
    </row>
    <row r="279" spans="1:8" s="4" customFormat="1" ht="38.25">
      <c r="A279" s="277"/>
      <c r="B279" s="129" t="s">
        <v>268</v>
      </c>
      <c r="C279" s="5" t="s">
        <v>23</v>
      </c>
      <c r="D279" s="5">
        <f>E279+F279+G279</f>
        <v>247420.65899999999</v>
      </c>
      <c r="E279" s="5">
        <v>82473.553</v>
      </c>
      <c r="F279" s="5">
        <v>82473.553</v>
      </c>
      <c r="G279" s="5">
        <v>82473.553</v>
      </c>
      <c r="H279" s="3"/>
    </row>
    <row r="280" spans="1:8" s="4" customFormat="1" ht="25.5">
      <c r="A280" s="277"/>
      <c r="B280" s="129" t="s">
        <v>269</v>
      </c>
      <c r="C280" s="5" t="s">
        <v>51</v>
      </c>
      <c r="D280" s="5">
        <f>E280+F280+G280</f>
        <v>834.9780000000001</v>
      </c>
      <c r="E280" s="5">
        <v>278.326</v>
      </c>
      <c r="F280" s="5">
        <v>278.326</v>
      </c>
      <c r="G280" s="5">
        <v>278.326</v>
      </c>
      <c r="H280" s="3"/>
    </row>
    <row r="281" spans="1:8" s="4" customFormat="1" ht="25.5">
      <c r="A281" s="290"/>
      <c r="B281" s="130" t="s">
        <v>368</v>
      </c>
      <c r="C281" s="5" t="s">
        <v>23</v>
      </c>
      <c r="D281" s="5">
        <f>E281+F281+G281</f>
        <v>3.546</v>
      </c>
      <c r="E281" s="5">
        <v>3.546</v>
      </c>
      <c r="F281" s="5"/>
      <c r="G281" s="5"/>
      <c r="H281" s="3"/>
    </row>
    <row r="282" spans="1:8" s="4" customFormat="1" ht="12.75">
      <c r="A282" s="234" t="s">
        <v>270</v>
      </c>
      <c r="B282" s="129"/>
      <c r="C282" s="176"/>
      <c r="D282" s="176"/>
      <c r="E282" s="176"/>
      <c r="F282" s="176"/>
      <c r="G282" s="176"/>
      <c r="H282" s="3"/>
    </row>
    <row r="283" spans="1:8" s="4" customFormat="1" ht="25.5">
      <c r="A283" s="235"/>
      <c r="B283" s="78" t="s">
        <v>124</v>
      </c>
      <c r="C283" s="176" t="s">
        <v>125</v>
      </c>
      <c r="D283" s="176">
        <f>E283+F283+G283</f>
        <v>35.25</v>
      </c>
      <c r="E283" s="176">
        <v>11.75</v>
      </c>
      <c r="F283" s="176">
        <v>11.75</v>
      </c>
      <c r="G283" s="176">
        <v>11.75</v>
      </c>
      <c r="H283" s="3"/>
    </row>
    <row r="284" spans="1:8" s="4" customFormat="1" ht="38.25">
      <c r="A284" s="236"/>
      <c r="B284" s="78" t="s">
        <v>271</v>
      </c>
      <c r="C284" s="176" t="s">
        <v>45</v>
      </c>
      <c r="D284" s="176">
        <f>E284+F284+G284</f>
        <v>369</v>
      </c>
      <c r="E284" s="176">
        <v>123</v>
      </c>
      <c r="F284" s="176">
        <v>123</v>
      </c>
      <c r="G284" s="176">
        <v>123</v>
      </c>
      <c r="H284" s="3"/>
    </row>
    <row r="285" spans="1:8" s="4" customFormat="1" ht="12.75" customHeight="1">
      <c r="A285" s="286" t="s">
        <v>352</v>
      </c>
      <c r="B285" s="78"/>
      <c r="C285" s="5"/>
      <c r="D285" s="5"/>
      <c r="E285" s="5"/>
      <c r="F285" s="5"/>
      <c r="G285" s="5"/>
      <c r="H285" s="26"/>
    </row>
    <row r="286" spans="1:8" s="4" customFormat="1" ht="25.5">
      <c r="A286" s="287"/>
      <c r="B286" s="7" t="s">
        <v>162</v>
      </c>
      <c r="C286" s="5" t="s">
        <v>45</v>
      </c>
      <c r="D286" s="151">
        <v>1</v>
      </c>
      <c r="E286" s="151">
        <v>1</v>
      </c>
      <c r="F286" s="5">
        <v>1</v>
      </c>
      <c r="G286" s="5">
        <v>1</v>
      </c>
      <c r="H286" s="68">
        <f>SUM(E286:G286)</f>
        <v>3</v>
      </c>
    </row>
    <row r="287" spans="1:8" s="4" customFormat="1" ht="12.75">
      <c r="A287" s="288"/>
      <c r="B287" s="177" t="s">
        <v>347</v>
      </c>
      <c r="C287" s="91" t="s">
        <v>45</v>
      </c>
      <c r="D287" s="91">
        <v>12</v>
      </c>
      <c r="E287" s="157">
        <v>4</v>
      </c>
      <c r="F287" s="91">
        <v>4</v>
      </c>
      <c r="G287" s="91">
        <v>4</v>
      </c>
      <c r="H287" s="26"/>
    </row>
    <row r="288" spans="1:8" s="4" customFormat="1" ht="37.5" customHeight="1">
      <c r="A288" s="234" t="s">
        <v>222</v>
      </c>
      <c r="B288" s="114"/>
      <c r="C288" s="121"/>
      <c r="D288" s="121"/>
      <c r="E288" s="121"/>
      <c r="F288" s="121"/>
      <c r="G288" s="121"/>
      <c r="H288" s="26"/>
    </row>
    <row r="289" spans="1:8" s="4" customFormat="1" ht="12.75" customHeight="1">
      <c r="A289" s="235"/>
      <c r="B289" s="114"/>
      <c r="C289" s="121"/>
      <c r="D289" s="121"/>
      <c r="E289" s="121"/>
      <c r="F289" s="121"/>
      <c r="G289" s="121"/>
      <c r="H289" s="3"/>
    </row>
    <row r="290" spans="1:8" s="4" customFormat="1" ht="38.25">
      <c r="A290" s="235"/>
      <c r="B290" s="178" t="s">
        <v>273</v>
      </c>
      <c r="C290" s="74" t="s">
        <v>47</v>
      </c>
      <c r="D290" s="121">
        <f>SUM(E290:G290)</f>
        <v>79.41</v>
      </c>
      <c r="E290" s="121">
        <v>26.47</v>
      </c>
      <c r="F290" s="121">
        <v>26.47</v>
      </c>
      <c r="G290" s="121">
        <v>26.47</v>
      </c>
      <c r="H290" s="3"/>
    </row>
    <row r="291" spans="1:7" ht="12" customHeight="1">
      <c r="A291" s="235"/>
      <c r="B291" s="129" t="s">
        <v>268</v>
      </c>
      <c r="C291" s="176" t="s">
        <v>23</v>
      </c>
      <c r="D291" s="121">
        <f>SUM(E291:G291)</f>
        <v>349950</v>
      </c>
      <c r="E291" s="121">
        <v>116650</v>
      </c>
      <c r="F291" s="121">
        <v>116650</v>
      </c>
      <c r="G291" s="121">
        <v>116650</v>
      </c>
    </row>
    <row r="292" spans="1:7" ht="17.25" customHeight="1">
      <c r="A292" s="235"/>
      <c r="B292" s="129" t="s">
        <v>269</v>
      </c>
      <c r="C292" s="26" t="s">
        <v>51</v>
      </c>
      <c r="D292" s="3">
        <f>SUM(E292:G292)</f>
        <v>9168</v>
      </c>
      <c r="E292" s="121">
        <v>3056</v>
      </c>
      <c r="F292" s="121">
        <v>3056</v>
      </c>
      <c r="G292" s="121">
        <v>3056</v>
      </c>
    </row>
    <row r="293" spans="1:7" ht="27.75" customHeight="1">
      <c r="A293" s="235"/>
      <c r="B293" s="178" t="s">
        <v>267</v>
      </c>
      <c r="C293" s="26" t="s">
        <v>45</v>
      </c>
      <c r="D293" s="3">
        <f>SUM(E293:G293)</f>
        <v>126</v>
      </c>
      <c r="E293" s="3">
        <v>42</v>
      </c>
      <c r="F293" s="3">
        <v>42</v>
      </c>
      <c r="G293" s="3">
        <v>42</v>
      </c>
    </row>
    <row r="294" spans="1:7" ht="41.25" customHeight="1">
      <c r="A294" s="234" t="s">
        <v>223</v>
      </c>
      <c r="B294" s="78"/>
      <c r="C294" s="3"/>
      <c r="D294" s="3"/>
      <c r="E294" s="3"/>
      <c r="F294" s="3"/>
      <c r="G294" s="3"/>
    </row>
    <row r="295" spans="1:7" ht="33.75" customHeight="1">
      <c r="A295" s="235"/>
      <c r="B295" s="178" t="s">
        <v>126</v>
      </c>
      <c r="C295" s="26" t="s">
        <v>47</v>
      </c>
      <c r="D295" s="3">
        <f>SUM(E295:G295)</f>
        <v>10.74</v>
      </c>
      <c r="E295" s="3">
        <v>3.58</v>
      </c>
      <c r="F295" s="3">
        <v>3.58</v>
      </c>
      <c r="G295" s="3">
        <v>3.58</v>
      </c>
    </row>
    <row r="296" spans="1:7" ht="25.5">
      <c r="A296" s="235"/>
      <c r="B296" s="178" t="s">
        <v>267</v>
      </c>
      <c r="C296" s="26" t="s">
        <v>45</v>
      </c>
      <c r="D296" s="3">
        <f>SUM(E296:G296)</f>
        <v>1413</v>
      </c>
      <c r="E296" s="3">
        <v>471</v>
      </c>
      <c r="F296" s="3">
        <v>471</v>
      </c>
      <c r="G296" s="3">
        <v>471</v>
      </c>
    </row>
    <row r="297" spans="1:7" ht="12.75">
      <c r="A297" s="216" t="s">
        <v>213</v>
      </c>
      <c r="B297" s="78"/>
      <c r="C297" s="3"/>
      <c r="D297" s="3"/>
      <c r="E297" s="3"/>
      <c r="F297" s="3"/>
      <c r="G297" s="3"/>
    </row>
    <row r="298" spans="1:7" ht="42.75" customHeight="1">
      <c r="A298" s="266"/>
      <c r="B298" s="7" t="s">
        <v>221</v>
      </c>
      <c r="C298" s="5" t="s">
        <v>23</v>
      </c>
      <c r="D298" s="3">
        <f>SUM(E298:G298)</f>
        <v>979534.2000000001</v>
      </c>
      <c r="E298" s="3">
        <v>326511.4</v>
      </c>
      <c r="F298" s="3">
        <v>326511.4</v>
      </c>
      <c r="G298" s="3">
        <v>326511.4</v>
      </c>
    </row>
    <row r="299" spans="1:7" ht="12.75">
      <c r="A299" s="234" t="s">
        <v>78</v>
      </c>
      <c r="B299" s="7"/>
      <c r="C299" s="3"/>
      <c r="D299" s="3"/>
      <c r="E299" s="3"/>
      <c r="F299" s="3"/>
      <c r="G299" s="3"/>
    </row>
    <row r="300" spans="1:7" ht="30.75" customHeight="1">
      <c r="A300" s="235"/>
      <c r="B300" s="177" t="s">
        <v>264</v>
      </c>
      <c r="C300" s="5"/>
      <c r="D300" s="12"/>
      <c r="E300" s="12"/>
      <c r="F300" s="12"/>
      <c r="G300" s="12"/>
    </row>
    <row r="301" spans="1:7" ht="12.75">
      <c r="A301" s="87"/>
      <c r="B301" s="177" t="s">
        <v>359</v>
      </c>
      <c r="C301" s="5" t="s">
        <v>45</v>
      </c>
      <c r="D301" s="12">
        <f>E301+F301+G301</f>
        <v>1650</v>
      </c>
      <c r="E301" s="12">
        <f>528+22</f>
        <v>550</v>
      </c>
      <c r="F301" s="12">
        <v>550</v>
      </c>
      <c r="G301" s="12">
        <v>550</v>
      </c>
    </row>
    <row r="302" spans="1:7" ht="39.75" customHeight="1">
      <c r="A302" s="92"/>
      <c r="B302" s="179" t="s">
        <v>312</v>
      </c>
      <c r="C302" s="5" t="s">
        <v>45</v>
      </c>
      <c r="D302" s="12">
        <v>272</v>
      </c>
      <c r="E302" s="5">
        <v>272</v>
      </c>
      <c r="F302" s="5"/>
      <c r="G302" s="5"/>
    </row>
    <row r="303" spans="1:7" ht="19.5" customHeight="1">
      <c r="A303" s="194" t="s">
        <v>87</v>
      </c>
      <c r="B303" s="194"/>
      <c r="C303" s="194"/>
      <c r="D303" s="194"/>
      <c r="E303" s="194"/>
      <c r="F303" s="194"/>
      <c r="G303" s="194"/>
    </row>
    <row r="304" spans="1:7" ht="26.25" customHeight="1">
      <c r="A304" s="234" t="s">
        <v>63</v>
      </c>
      <c r="B304" s="7"/>
      <c r="C304" s="3"/>
      <c r="D304" s="3"/>
      <c r="E304" s="3"/>
      <c r="F304" s="3"/>
      <c r="G304" s="3"/>
    </row>
    <row r="305" spans="1:8" s="4" customFormat="1" ht="23.25" customHeight="1">
      <c r="A305" s="235"/>
      <c r="B305" s="78" t="s">
        <v>34</v>
      </c>
      <c r="C305" s="5" t="s">
        <v>45</v>
      </c>
      <c r="D305" s="5">
        <f>E305+F305+G305</f>
        <v>12</v>
      </c>
      <c r="E305" s="5">
        <v>4</v>
      </c>
      <c r="F305" s="5">
        <v>4</v>
      </c>
      <c r="G305" s="5">
        <v>4</v>
      </c>
      <c r="H305" s="3"/>
    </row>
    <row r="306" spans="1:8" s="4" customFormat="1" ht="12.75">
      <c r="A306" s="239" t="s">
        <v>73</v>
      </c>
      <c r="B306" s="7"/>
      <c r="C306" s="5"/>
      <c r="D306" s="5"/>
      <c r="E306" s="5"/>
      <c r="F306" s="5"/>
      <c r="G306" s="5"/>
      <c r="H306" s="12">
        <v>150108</v>
      </c>
    </row>
    <row r="307" spans="1:8" s="4" customFormat="1" ht="12.75">
      <c r="A307" s="223"/>
      <c r="B307" s="132" t="s">
        <v>133</v>
      </c>
      <c r="C307" s="5" t="s">
        <v>23</v>
      </c>
      <c r="D307" s="155">
        <f>E307+F307+G307</f>
        <v>8936.099999999999</v>
      </c>
      <c r="E307" s="155">
        <v>2978.7</v>
      </c>
      <c r="F307" s="155">
        <v>2978.7</v>
      </c>
      <c r="G307" s="155">
        <v>2978.7</v>
      </c>
      <c r="H307" s="3"/>
    </row>
    <row r="308" spans="1:8" s="4" customFormat="1" ht="12.75">
      <c r="A308" s="223"/>
      <c r="B308" s="132" t="s">
        <v>197</v>
      </c>
      <c r="C308" s="5" t="s">
        <v>23</v>
      </c>
      <c r="D308" s="155">
        <f>E308+F308+G308</f>
        <v>127290</v>
      </c>
      <c r="E308" s="155">
        <v>42430</v>
      </c>
      <c r="F308" s="155">
        <v>42430</v>
      </c>
      <c r="G308" s="155">
        <v>42430</v>
      </c>
      <c r="H308" s="3"/>
    </row>
    <row r="309" spans="1:8" s="4" customFormat="1" ht="12.75" customHeight="1">
      <c r="A309" s="223"/>
      <c r="B309" s="132" t="s">
        <v>29</v>
      </c>
      <c r="C309" s="5" t="s">
        <v>45</v>
      </c>
      <c r="D309" s="5">
        <f>E309+F309+G309</f>
        <v>726</v>
      </c>
      <c r="E309" s="5">
        <v>242</v>
      </c>
      <c r="F309" s="5">
        <v>242</v>
      </c>
      <c r="G309" s="5">
        <v>242</v>
      </c>
      <c r="H309" s="3"/>
    </row>
    <row r="310" spans="1:8" s="4" customFormat="1" ht="25.5">
      <c r="A310" s="223"/>
      <c r="B310" s="133" t="s">
        <v>134</v>
      </c>
      <c r="C310" s="5" t="s">
        <v>23</v>
      </c>
      <c r="D310" s="5">
        <f>E310+F310+G310</f>
        <v>1752.9299999999998</v>
      </c>
      <c r="E310" s="5">
        <v>584.31</v>
      </c>
      <c r="F310" s="5">
        <v>584.31</v>
      </c>
      <c r="G310" s="5">
        <v>584.31</v>
      </c>
      <c r="H310" s="3"/>
    </row>
    <row r="311" spans="1:8" s="4" customFormat="1" ht="25.5">
      <c r="A311" s="223"/>
      <c r="B311" s="136" t="s">
        <v>340</v>
      </c>
      <c r="C311" s="5" t="s">
        <v>45</v>
      </c>
      <c r="D311" s="5">
        <v>981</v>
      </c>
      <c r="E311" s="5">
        <v>327</v>
      </c>
      <c r="F311" s="5">
        <v>327</v>
      </c>
      <c r="G311" s="5">
        <v>327</v>
      </c>
      <c r="H311" s="3"/>
    </row>
    <row r="312" spans="1:8" s="4" customFormat="1" ht="25.5">
      <c r="A312" s="206"/>
      <c r="B312" s="136" t="s">
        <v>144</v>
      </c>
      <c r="C312" s="5" t="s">
        <v>45</v>
      </c>
      <c r="D312" s="5">
        <v>30</v>
      </c>
      <c r="E312" s="5">
        <v>10</v>
      </c>
      <c r="F312" s="5">
        <v>10</v>
      </c>
      <c r="G312" s="5">
        <v>10</v>
      </c>
      <c r="H312" s="3"/>
    </row>
    <row r="313" spans="1:8" s="4" customFormat="1" ht="12.75">
      <c r="A313" s="234" t="s">
        <v>80</v>
      </c>
      <c r="B313" s="78"/>
      <c r="C313" s="3"/>
      <c r="D313" s="3"/>
      <c r="E313" s="3"/>
      <c r="F313" s="3"/>
      <c r="G313" s="3"/>
      <c r="H313" s="3"/>
    </row>
    <row r="314" spans="1:8" s="4" customFormat="1" ht="25.5">
      <c r="A314" s="235"/>
      <c r="B314" s="78" t="s">
        <v>30</v>
      </c>
      <c r="C314" s="5" t="s">
        <v>50</v>
      </c>
      <c r="D314" s="5">
        <f>E314+F314+G314</f>
        <v>282</v>
      </c>
      <c r="E314" s="5">
        <v>94</v>
      </c>
      <c r="F314" s="5">
        <v>94</v>
      </c>
      <c r="G314" s="5">
        <v>94</v>
      </c>
      <c r="H314" s="3"/>
    </row>
    <row r="315" spans="1:8" s="4" customFormat="1" ht="12.75">
      <c r="A315" s="235"/>
      <c r="B315" s="78" t="s">
        <v>31</v>
      </c>
      <c r="C315" s="5" t="s">
        <v>52</v>
      </c>
      <c r="D315" s="5">
        <f>E315+F315+G315</f>
        <v>1350</v>
      </c>
      <c r="E315" s="5">
        <v>450</v>
      </c>
      <c r="F315" s="5">
        <v>450</v>
      </c>
      <c r="G315" s="5">
        <v>450</v>
      </c>
      <c r="H315" s="3"/>
    </row>
    <row r="316" spans="1:8" s="4" customFormat="1" ht="25.5">
      <c r="A316" s="289"/>
      <c r="B316" s="7" t="s">
        <v>368</v>
      </c>
      <c r="C316" s="5" t="s">
        <v>23</v>
      </c>
      <c r="D316" s="5">
        <v>3240</v>
      </c>
      <c r="E316" s="5">
        <v>3240</v>
      </c>
      <c r="F316" s="5"/>
      <c r="G316" s="5"/>
      <c r="H316" s="3"/>
    </row>
    <row r="317" spans="1:8" s="4" customFormat="1" ht="12.75">
      <c r="A317" s="84"/>
      <c r="B317" s="78"/>
      <c r="C317" s="5"/>
      <c r="D317" s="5"/>
      <c r="E317" s="5"/>
      <c r="F317" s="5"/>
      <c r="G317" s="5"/>
      <c r="H317" s="3"/>
    </row>
    <row r="318" spans="1:8" s="4" customFormat="1" ht="12.75">
      <c r="A318" s="237" t="s">
        <v>79</v>
      </c>
      <c r="B318" s="78"/>
      <c r="C318" s="3"/>
      <c r="D318" s="3"/>
      <c r="E318" s="3"/>
      <c r="F318" s="3"/>
      <c r="G318" s="3"/>
      <c r="H318" s="3"/>
    </row>
    <row r="319" spans="1:8" s="4" customFormat="1" ht="25.5">
      <c r="A319" s="237"/>
      <c r="B319" s="78" t="s">
        <v>37</v>
      </c>
      <c r="C319" s="5" t="s">
        <v>24</v>
      </c>
      <c r="D319" s="5">
        <f>E319+F319+G319</f>
        <v>33.69</v>
      </c>
      <c r="E319" s="5">
        <v>11.23</v>
      </c>
      <c r="F319" s="5">
        <v>11.23</v>
      </c>
      <c r="G319" s="5">
        <v>11.23</v>
      </c>
      <c r="H319" s="3"/>
    </row>
    <row r="320" spans="1:8" s="4" customFormat="1" ht="12.75">
      <c r="A320" s="234" t="s">
        <v>209</v>
      </c>
      <c r="B320" s="78"/>
      <c r="C320" s="5"/>
      <c r="D320" s="5"/>
      <c r="E320" s="6"/>
      <c r="F320" s="6"/>
      <c r="G320" s="6"/>
      <c r="H320" s="3"/>
    </row>
    <row r="321" spans="1:8" s="4" customFormat="1" ht="38.25">
      <c r="A321" s="235"/>
      <c r="B321" s="78" t="s">
        <v>284</v>
      </c>
      <c r="C321" s="5" t="s">
        <v>47</v>
      </c>
      <c r="D321" s="12">
        <f>E321+F321+G321</f>
        <v>69</v>
      </c>
      <c r="E321" s="12">
        <v>23</v>
      </c>
      <c r="F321" s="12">
        <v>23</v>
      </c>
      <c r="G321" s="12">
        <v>23</v>
      </c>
      <c r="H321" s="3"/>
    </row>
    <row r="322" spans="1:8" s="4" customFormat="1" ht="12.75">
      <c r="A322" s="235"/>
      <c r="B322" s="7" t="s">
        <v>224</v>
      </c>
      <c r="C322" s="5" t="s">
        <v>23</v>
      </c>
      <c r="D322" s="137">
        <f>E322+F322+G322</f>
        <v>954600</v>
      </c>
      <c r="E322" s="162">
        <v>318200</v>
      </c>
      <c r="F322" s="162">
        <v>318200</v>
      </c>
      <c r="G322" s="162">
        <v>318200</v>
      </c>
      <c r="H322" s="3"/>
    </row>
    <row r="323" spans="1:8" s="4" customFormat="1" ht="25.5">
      <c r="A323" s="235"/>
      <c r="B323" s="7" t="s">
        <v>225</v>
      </c>
      <c r="C323" s="5" t="s">
        <v>116</v>
      </c>
      <c r="D323" s="12">
        <f>E323+F323+G323</f>
        <v>13695</v>
      </c>
      <c r="E323" s="12">
        <v>4565</v>
      </c>
      <c r="F323" s="12">
        <v>4565</v>
      </c>
      <c r="G323" s="12">
        <v>4565</v>
      </c>
      <c r="H323" s="3"/>
    </row>
    <row r="324" spans="1:8" s="4" customFormat="1" ht="12.75">
      <c r="A324" s="234" t="s">
        <v>274</v>
      </c>
      <c r="B324" s="78"/>
      <c r="C324" s="5"/>
      <c r="D324" s="5"/>
      <c r="E324" s="6"/>
      <c r="F324" s="6"/>
      <c r="G324" s="6"/>
      <c r="H324" s="3"/>
    </row>
    <row r="325" spans="1:7" s="42" customFormat="1" ht="12.75" customHeight="1">
      <c r="A325" s="236"/>
      <c r="B325" s="78" t="s">
        <v>33</v>
      </c>
      <c r="C325" s="5" t="s">
        <v>23</v>
      </c>
      <c r="D325" s="8">
        <f>E325+F325+G325</f>
        <v>680106</v>
      </c>
      <c r="E325" s="154">
        <v>226702</v>
      </c>
      <c r="F325" s="154">
        <v>226702</v>
      </c>
      <c r="G325" s="154">
        <v>226702</v>
      </c>
    </row>
    <row r="326" spans="1:7" s="42" customFormat="1" ht="38.25">
      <c r="A326" s="316" t="s">
        <v>78</v>
      </c>
      <c r="B326" s="7" t="s">
        <v>264</v>
      </c>
      <c r="C326" s="3"/>
      <c r="D326" s="3"/>
      <c r="E326" s="3"/>
      <c r="F326" s="3"/>
      <c r="G326" s="3"/>
    </row>
    <row r="327" spans="1:7" s="42" customFormat="1" ht="12.75">
      <c r="A327" s="317"/>
      <c r="B327" s="7" t="s">
        <v>359</v>
      </c>
      <c r="C327" s="5" t="s">
        <v>45</v>
      </c>
      <c r="D327" s="12">
        <f>E327+F327+G327</f>
        <v>534</v>
      </c>
      <c r="E327" s="12">
        <v>178</v>
      </c>
      <c r="F327" s="12">
        <v>178</v>
      </c>
      <c r="G327" s="12">
        <v>178</v>
      </c>
    </row>
    <row r="328" spans="1:7" s="42" customFormat="1" ht="38.25">
      <c r="A328" s="317"/>
      <c r="B328" s="93" t="s">
        <v>312</v>
      </c>
      <c r="C328" s="5" t="s">
        <v>45</v>
      </c>
      <c r="D328" s="12">
        <f>E328+F328+G328</f>
        <v>262</v>
      </c>
      <c r="E328" s="5">
        <f>133+129</f>
        <v>262</v>
      </c>
      <c r="F328" s="5"/>
      <c r="G328" s="5"/>
    </row>
    <row r="329" spans="1:7" s="42" customFormat="1" ht="38.25">
      <c r="A329" s="85" t="s">
        <v>339</v>
      </c>
      <c r="B329" s="275" t="s">
        <v>337</v>
      </c>
      <c r="C329" s="229" t="s">
        <v>45</v>
      </c>
      <c r="D329" s="314">
        <v>4</v>
      </c>
      <c r="E329" s="229">
        <v>4</v>
      </c>
      <c r="F329" s="229"/>
      <c r="G329" s="229"/>
    </row>
    <row r="330" spans="1:8" s="4" customFormat="1" ht="12.75" customHeight="1">
      <c r="A330" s="92"/>
      <c r="B330" s="226"/>
      <c r="C330" s="230"/>
      <c r="D330" s="315"/>
      <c r="E330" s="230"/>
      <c r="F330" s="230"/>
      <c r="G330" s="230"/>
      <c r="H330" s="3"/>
    </row>
    <row r="331" spans="1:8" s="4" customFormat="1" ht="28.5" customHeight="1">
      <c r="A331" s="92" t="s">
        <v>78</v>
      </c>
      <c r="B331" s="99" t="s">
        <v>56</v>
      </c>
      <c r="C331" s="5" t="s">
        <v>23</v>
      </c>
      <c r="D331" s="180">
        <f>E331</f>
        <v>5068</v>
      </c>
      <c r="E331" s="91">
        <v>5068</v>
      </c>
      <c r="F331" s="91"/>
      <c r="G331" s="91"/>
      <c r="H331" s="3"/>
    </row>
    <row r="332" spans="1:8" s="4" customFormat="1" ht="12.75">
      <c r="A332" s="194" t="s">
        <v>88</v>
      </c>
      <c r="B332" s="194"/>
      <c r="C332" s="194"/>
      <c r="D332" s="194"/>
      <c r="E332" s="194"/>
      <c r="F332" s="194"/>
      <c r="G332" s="194"/>
      <c r="H332" s="12">
        <v>150108</v>
      </c>
    </row>
    <row r="333" spans="1:8" s="4" customFormat="1" ht="49.5" customHeight="1">
      <c r="A333" s="234" t="s">
        <v>63</v>
      </c>
      <c r="B333" s="78"/>
      <c r="C333" s="3"/>
      <c r="D333" s="3"/>
      <c r="E333" s="3"/>
      <c r="F333" s="3"/>
      <c r="G333" s="3"/>
      <c r="H333" s="3"/>
    </row>
    <row r="334" spans="1:8" s="4" customFormat="1" ht="25.5">
      <c r="A334" s="235"/>
      <c r="B334" s="78" t="s">
        <v>33</v>
      </c>
      <c r="C334" s="5" t="s">
        <v>23</v>
      </c>
      <c r="D334" s="151">
        <f>E334+F334+G334</f>
        <v>1068690</v>
      </c>
      <c r="E334" s="151">
        <v>356230</v>
      </c>
      <c r="F334" s="151">
        <v>356230</v>
      </c>
      <c r="G334" s="151">
        <v>356230</v>
      </c>
      <c r="H334" s="3"/>
    </row>
    <row r="335" spans="1:8" s="4" customFormat="1" ht="38.25">
      <c r="A335" s="235"/>
      <c r="B335" s="78" t="s">
        <v>126</v>
      </c>
      <c r="C335" s="5" t="s">
        <v>47</v>
      </c>
      <c r="D335" s="5">
        <f>E335+F335+G335</f>
        <v>47.940999999999995</v>
      </c>
      <c r="E335" s="8">
        <v>16.063</v>
      </c>
      <c r="F335" s="8">
        <v>15.939</v>
      </c>
      <c r="G335" s="8">
        <v>15.939</v>
      </c>
      <c r="H335" s="3"/>
    </row>
    <row r="336" spans="1:8" s="4" customFormat="1" ht="12.75">
      <c r="A336" s="237" t="s">
        <v>73</v>
      </c>
      <c r="B336" s="7"/>
      <c r="C336" s="3"/>
      <c r="D336" s="3"/>
      <c r="E336" s="3"/>
      <c r="F336" s="3"/>
      <c r="G336" s="3"/>
      <c r="H336" s="3"/>
    </row>
    <row r="337" spans="1:8" s="4" customFormat="1" ht="25.5">
      <c r="A337" s="237"/>
      <c r="B337" s="136" t="s">
        <v>39</v>
      </c>
      <c r="C337" s="5" t="s">
        <v>23</v>
      </c>
      <c r="D337" s="137">
        <f>E337+F337+G337</f>
        <v>2393.715</v>
      </c>
      <c r="E337" s="8">
        <v>797.905</v>
      </c>
      <c r="F337" s="8">
        <v>797.905</v>
      </c>
      <c r="G337" s="8">
        <v>797.905</v>
      </c>
      <c r="H337" s="3"/>
    </row>
    <row r="338" spans="1:8" s="4" customFormat="1" ht="12.75" customHeight="1">
      <c r="A338" s="237"/>
      <c r="B338" s="136" t="s">
        <v>117</v>
      </c>
      <c r="C338" s="5" t="s">
        <v>45</v>
      </c>
      <c r="D338" s="12">
        <f>E338+F338+G338</f>
        <v>33</v>
      </c>
      <c r="E338" s="151">
        <v>11</v>
      </c>
      <c r="F338" s="151">
        <v>11</v>
      </c>
      <c r="G338" s="151">
        <v>11</v>
      </c>
      <c r="H338" s="3"/>
    </row>
    <row r="339" spans="1:8" s="4" customFormat="1" ht="12.75">
      <c r="A339" s="237"/>
      <c r="B339" s="136" t="s">
        <v>127</v>
      </c>
      <c r="C339" s="5" t="s">
        <v>23</v>
      </c>
      <c r="D339" s="155">
        <f>E339+F339+G339</f>
        <v>4879.0199999999995</v>
      </c>
      <c r="E339" s="79">
        <v>1626.34</v>
      </c>
      <c r="F339" s="79">
        <v>1626.34</v>
      </c>
      <c r="G339" s="79">
        <v>1626.34</v>
      </c>
      <c r="H339" s="3"/>
    </row>
    <row r="340" spans="1:8" s="4" customFormat="1" ht="25.5">
      <c r="A340" s="237"/>
      <c r="B340" s="136" t="s">
        <v>29</v>
      </c>
      <c r="C340" s="5" t="s">
        <v>23</v>
      </c>
      <c r="D340" s="162">
        <f>E340+F340+G340</f>
        <v>5036.1</v>
      </c>
      <c r="E340" s="154">
        <v>1678.7</v>
      </c>
      <c r="F340" s="154">
        <v>1678.7</v>
      </c>
      <c r="G340" s="154">
        <v>1678.7</v>
      </c>
      <c r="H340" s="3"/>
    </row>
    <row r="341" spans="1:8" s="4" customFormat="1" ht="38.25">
      <c r="A341" s="237"/>
      <c r="B341" s="43" t="s">
        <v>118</v>
      </c>
      <c r="C341" s="167" t="s">
        <v>45</v>
      </c>
      <c r="D341" s="181">
        <f>E341+F341+G341</f>
        <v>5036.1</v>
      </c>
      <c r="E341" s="182">
        <v>1678.7</v>
      </c>
      <c r="F341" s="182">
        <v>1678.7</v>
      </c>
      <c r="G341" s="182">
        <v>1678.7</v>
      </c>
      <c r="H341" s="3"/>
    </row>
    <row r="342" spans="1:8" s="4" customFormat="1" ht="12.75">
      <c r="A342" s="234" t="s">
        <v>80</v>
      </c>
      <c r="B342" s="7"/>
      <c r="C342" s="3"/>
      <c r="D342" s="3"/>
      <c r="E342" s="3"/>
      <c r="F342" s="3"/>
      <c r="G342" s="3"/>
      <c r="H342" s="3"/>
    </row>
    <row r="343" spans="1:8" s="4" customFormat="1" ht="25.5">
      <c r="A343" s="235"/>
      <c r="B343" s="78" t="s">
        <v>30</v>
      </c>
      <c r="C343" s="5" t="s">
        <v>50</v>
      </c>
      <c r="D343" s="5">
        <f>E343+F343+G343</f>
        <v>60</v>
      </c>
      <c r="E343" s="151">
        <v>20</v>
      </c>
      <c r="F343" s="151">
        <v>20</v>
      </c>
      <c r="G343" s="151">
        <v>20</v>
      </c>
      <c r="H343" s="3"/>
    </row>
    <row r="344" spans="1:8" s="4" customFormat="1" ht="12.75">
      <c r="A344" s="235"/>
      <c r="B344" s="78" t="s">
        <v>31</v>
      </c>
      <c r="C344" s="5" t="s">
        <v>51</v>
      </c>
      <c r="D344" s="162">
        <f>E344+F344+G344</f>
        <v>930</v>
      </c>
      <c r="E344" s="154">
        <v>310</v>
      </c>
      <c r="F344" s="154">
        <v>310</v>
      </c>
      <c r="G344" s="154">
        <v>310</v>
      </c>
      <c r="H344" s="3"/>
    </row>
    <row r="345" spans="1:8" s="4" customFormat="1" ht="25.5">
      <c r="A345" s="289"/>
      <c r="B345" s="78" t="s">
        <v>368</v>
      </c>
      <c r="C345" s="5" t="s">
        <v>23</v>
      </c>
      <c r="D345" s="162">
        <f>E345</f>
        <v>1623.3</v>
      </c>
      <c r="E345" s="154">
        <v>1623.3</v>
      </c>
      <c r="F345" s="154"/>
      <c r="G345" s="154"/>
      <c r="H345" s="3"/>
    </row>
    <row r="346" spans="1:8" s="4" customFormat="1" ht="12.75">
      <c r="A346" s="234" t="s">
        <v>79</v>
      </c>
      <c r="B346" s="78"/>
      <c r="C346" s="5"/>
      <c r="D346" s="155"/>
      <c r="E346" s="79"/>
      <c r="F346" s="79"/>
      <c r="G346" s="79"/>
      <c r="H346" s="3"/>
    </row>
    <row r="347" spans="1:8" s="4" customFormat="1" ht="25.5">
      <c r="A347" s="236"/>
      <c r="B347" s="114" t="s">
        <v>37</v>
      </c>
      <c r="C347" s="5" t="s">
        <v>125</v>
      </c>
      <c r="D347" s="137">
        <f>E347+F347+G347</f>
        <v>59.91</v>
      </c>
      <c r="E347" s="8">
        <f>7.3+12.67</f>
        <v>19.97</v>
      </c>
      <c r="F347" s="8">
        <f>7.3+12.67</f>
        <v>19.97</v>
      </c>
      <c r="G347" s="8">
        <f>7.3+12.67</f>
        <v>19.97</v>
      </c>
      <c r="H347" s="3"/>
    </row>
    <row r="348" spans="1:8" s="4" customFormat="1" ht="12.75">
      <c r="A348" s="216" t="s">
        <v>206</v>
      </c>
      <c r="B348" s="78"/>
      <c r="C348" s="5"/>
      <c r="D348" s="5"/>
      <c r="E348" s="6"/>
      <c r="F348" s="6"/>
      <c r="G348" s="6"/>
      <c r="H348" s="3"/>
    </row>
    <row r="349" spans="1:8" s="4" customFormat="1" ht="38.25">
      <c r="A349" s="216"/>
      <c r="B349" s="78" t="s">
        <v>126</v>
      </c>
      <c r="C349" s="5" t="s">
        <v>47</v>
      </c>
      <c r="D349" s="8">
        <f>E349+F349+G349</f>
        <v>47.602</v>
      </c>
      <c r="E349" s="8">
        <v>26.576</v>
      </c>
      <c r="F349" s="8">
        <v>10.513</v>
      </c>
      <c r="G349" s="8">
        <v>10.513</v>
      </c>
      <c r="H349" s="3"/>
    </row>
    <row r="350" spans="1:8" s="4" customFormat="1" ht="38.25">
      <c r="A350" s="266"/>
      <c r="B350" s="7" t="s">
        <v>226</v>
      </c>
      <c r="C350" s="5" t="s">
        <v>23</v>
      </c>
      <c r="D350" s="151">
        <f>E350+F350+G350</f>
        <v>311937</v>
      </c>
      <c r="E350" s="151">
        <v>103979</v>
      </c>
      <c r="F350" s="151">
        <v>103979</v>
      </c>
      <c r="G350" s="151">
        <v>103979</v>
      </c>
      <c r="H350" s="3"/>
    </row>
    <row r="351" spans="1:8" s="4" customFormat="1" ht="12.75">
      <c r="A351" s="216" t="s">
        <v>207</v>
      </c>
      <c r="B351" s="78"/>
      <c r="C351" s="5"/>
      <c r="D351" s="5"/>
      <c r="E351" s="6"/>
      <c r="F351" s="6"/>
      <c r="G351" s="6"/>
      <c r="H351" s="3"/>
    </row>
    <row r="352" spans="1:8" s="4" customFormat="1" ht="38.25">
      <c r="A352" s="216"/>
      <c r="B352" s="7" t="s">
        <v>227</v>
      </c>
      <c r="C352" s="5" t="s">
        <v>23</v>
      </c>
      <c r="D352" s="151">
        <f>E352+F352+G352</f>
        <v>715503</v>
      </c>
      <c r="E352" s="151">
        <v>238501</v>
      </c>
      <c r="F352" s="151">
        <v>238501</v>
      </c>
      <c r="G352" s="151">
        <v>238501</v>
      </c>
      <c r="H352" s="3"/>
    </row>
    <row r="353" spans="1:7" s="1" customFormat="1" ht="42" customHeight="1">
      <c r="A353" s="266"/>
      <c r="B353" s="7" t="s">
        <v>228</v>
      </c>
      <c r="C353" s="5" t="s">
        <v>116</v>
      </c>
      <c r="D353" s="151">
        <f>E353+F353+G353</f>
        <v>618</v>
      </c>
      <c r="E353" s="151">
        <v>206</v>
      </c>
      <c r="F353" s="151">
        <v>206</v>
      </c>
      <c r="G353" s="151">
        <v>206</v>
      </c>
    </row>
    <row r="354" spans="1:7" s="1" customFormat="1" ht="10.5" customHeight="1">
      <c r="A354" s="216" t="s">
        <v>213</v>
      </c>
      <c r="B354" s="78"/>
      <c r="C354" s="5"/>
      <c r="D354" s="5"/>
      <c r="E354" s="6"/>
      <c r="F354" s="6"/>
      <c r="G354" s="6"/>
    </row>
    <row r="355" spans="1:7" s="1" customFormat="1" ht="41.25" customHeight="1">
      <c r="A355" s="216"/>
      <c r="B355" s="78" t="s">
        <v>229</v>
      </c>
      <c r="C355" s="5" t="s">
        <v>23</v>
      </c>
      <c r="D355" s="151">
        <f>E355+F355+G355</f>
        <v>581763</v>
      </c>
      <c r="E355" s="151">
        <v>193921</v>
      </c>
      <c r="F355" s="151">
        <v>193921</v>
      </c>
      <c r="G355" s="151">
        <v>193921</v>
      </c>
    </row>
    <row r="356" spans="1:7" s="1" customFormat="1" ht="41.25" customHeight="1">
      <c r="A356" s="97"/>
      <c r="B356" s="78" t="s">
        <v>347</v>
      </c>
      <c r="C356" s="5" t="s">
        <v>381</v>
      </c>
      <c r="D356" s="151">
        <f>E356+F356+G356</f>
        <v>1380</v>
      </c>
      <c r="E356" s="151">
        <v>460</v>
      </c>
      <c r="F356" s="151">
        <v>460</v>
      </c>
      <c r="G356" s="151">
        <v>460</v>
      </c>
    </row>
    <row r="357" spans="1:7" s="1" customFormat="1" ht="30.75" customHeight="1">
      <c r="A357" s="234" t="s">
        <v>78</v>
      </c>
      <c r="B357" s="7" t="s">
        <v>264</v>
      </c>
      <c r="C357" s="3"/>
      <c r="D357" s="3"/>
      <c r="E357" s="3"/>
      <c r="F357" s="3"/>
      <c r="G357" s="3"/>
    </row>
    <row r="358" spans="1:7" s="1" customFormat="1" ht="17.25" customHeight="1">
      <c r="A358" s="235"/>
      <c r="B358" s="1" t="s">
        <v>359</v>
      </c>
      <c r="C358" s="5" t="s">
        <v>45</v>
      </c>
      <c r="D358" s="12">
        <f>E358+F358+G358</f>
        <v>615</v>
      </c>
      <c r="E358" s="12">
        <v>615</v>
      </c>
      <c r="F358" s="12"/>
      <c r="G358" s="12"/>
    </row>
    <row r="359" spans="1:7" s="1" customFormat="1" ht="28.5" customHeight="1">
      <c r="A359" s="235"/>
      <c r="B359" s="78" t="s">
        <v>349</v>
      </c>
      <c r="C359" s="5" t="s">
        <v>45</v>
      </c>
      <c r="D359" s="12">
        <f>E359+F359+G359</f>
        <v>68</v>
      </c>
      <c r="E359" s="5">
        <v>68</v>
      </c>
      <c r="F359" s="5"/>
      <c r="G359" s="5"/>
    </row>
    <row r="360" spans="1:7" s="1" customFormat="1" ht="38.25" customHeight="1">
      <c r="A360" s="236"/>
      <c r="B360" s="75" t="s">
        <v>348</v>
      </c>
      <c r="C360" s="5" t="s">
        <v>45</v>
      </c>
      <c r="D360" s="12">
        <f>E360+F360+G360</f>
        <v>208</v>
      </c>
      <c r="E360" s="5">
        <v>208</v>
      </c>
      <c r="F360" s="5"/>
      <c r="G360" s="5"/>
    </row>
    <row r="361" spans="1:7" s="1" customFormat="1" ht="21" customHeight="1">
      <c r="A361" s="194" t="s">
        <v>89</v>
      </c>
      <c r="B361" s="194"/>
      <c r="C361" s="194"/>
      <c r="D361" s="194"/>
      <c r="E361" s="194"/>
      <c r="F361" s="194"/>
      <c r="G361" s="194"/>
    </row>
    <row r="362" spans="1:7" s="1" customFormat="1" ht="37.5" customHeight="1">
      <c r="A362" s="234" t="s">
        <v>63</v>
      </c>
      <c r="B362" s="78"/>
      <c r="C362" s="3"/>
      <c r="D362" s="3"/>
      <c r="E362" s="3"/>
      <c r="F362" s="3"/>
      <c r="G362" s="3"/>
    </row>
    <row r="363" spans="1:8" s="4" customFormat="1" ht="12.75" customHeight="1">
      <c r="A363" s="235"/>
      <c r="B363" s="78" t="s">
        <v>42</v>
      </c>
      <c r="C363" s="5" t="s">
        <v>47</v>
      </c>
      <c r="D363" s="5">
        <v>371.259</v>
      </c>
      <c r="E363" s="5">
        <v>123.753</v>
      </c>
      <c r="F363" s="5">
        <v>123.753</v>
      </c>
      <c r="G363" s="5">
        <v>123.753</v>
      </c>
      <c r="H363" s="3"/>
    </row>
    <row r="364" spans="1:8" s="4" customFormat="1" ht="12.75">
      <c r="A364" s="235"/>
      <c r="B364" s="78" t="s">
        <v>128</v>
      </c>
      <c r="C364" s="5" t="s">
        <v>47</v>
      </c>
      <c r="D364" s="155">
        <f>E364+F364+G364</f>
        <v>33.384</v>
      </c>
      <c r="E364" s="5">
        <v>11.128</v>
      </c>
      <c r="F364" s="5">
        <v>11.128</v>
      </c>
      <c r="G364" s="5">
        <v>11.128</v>
      </c>
      <c r="H364" s="12">
        <v>150108</v>
      </c>
    </row>
    <row r="365" spans="1:8" s="4" customFormat="1" ht="25.5">
      <c r="A365" s="235"/>
      <c r="B365" s="78" t="s">
        <v>122</v>
      </c>
      <c r="C365" s="5" t="s">
        <v>45</v>
      </c>
      <c r="D365" s="5">
        <f>E365+F365+G365</f>
        <v>408</v>
      </c>
      <c r="E365" s="5">
        <f>41+95</f>
        <v>136</v>
      </c>
      <c r="F365" s="5">
        <f>41+95</f>
        <v>136</v>
      </c>
      <c r="G365" s="5">
        <f>41+95</f>
        <v>136</v>
      </c>
      <c r="H365" s="3"/>
    </row>
    <row r="366" spans="1:8" s="4" customFormat="1" ht="38.25">
      <c r="A366" s="235"/>
      <c r="B366" s="78" t="s">
        <v>111</v>
      </c>
      <c r="C366" s="5" t="s">
        <v>45</v>
      </c>
      <c r="D366" s="5">
        <f>E366+F366+G366</f>
        <v>18</v>
      </c>
      <c r="E366" s="5">
        <v>6</v>
      </c>
      <c r="F366" s="5">
        <v>6</v>
      </c>
      <c r="G366" s="5">
        <v>6</v>
      </c>
      <c r="H366" s="3"/>
    </row>
    <row r="367" spans="1:8" s="4" customFormat="1" ht="12.75" customHeight="1">
      <c r="A367" s="87"/>
      <c r="B367" s="78" t="s">
        <v>198</v>
      </c>
      <c r="C367" s="5" t="s">
        <v>23</v>
      </c>
      <c r="D367" s="5">
        <f>E367+F367+G367</f>
        <v>134091</v>
      </c>
      <c r="E367" s="5">
        <v>44697</v>
      </c>
      <c r="F367" s="5">
        <v>44697</v>
      </c>
      <c r="G367" s="5">
        <v>44697</v>
      </c>
      <c r="H367" s="3"/>
    </row>
    <row r="368" spans="1:8" s="4" customFormat="1" ht="26.25" customHeight="1">
      <c r="A368" s="87"/>
      <c r="B368" s="78" t="s">
        <v>328</v>
      </c>
      <c r="C368" s="5" t="s">
        <v>330</v>
      </c>
      <c r="D368" s="5">
        <f>E368+F368+G368</f>
        <v>6375</v>
      </c>
      <c r="E368" s="5">
        <f>885+1240</f>
        <v>2125</v>
      </c>
      <c r="F368" s="5">
        <f>885+1240</f>
        <v>2125</v>
      </c>
      <c r="G368" s="5">
        <f>885+1240</f>
        <v>2125</v>
      </c>
      <c r="H368" s="3"/>
    </row>
    <row r="369" spans="1:8" s="4" customFormat="1" ht="12.75">
      <c r="A369" s="234" t="s">
        <v>73</v>
      </c>
      <c r="B369" s="78"/>
      <c r="C369" s="3"/>
      <c r="D369" s="3"/>
      <c r="E369" s="3"/>
      <c r="F369" s="3"/>
      <c r="G369" s="3"/>
      <c r="H369" s="3"/>
    </row>
    <row r="370" spans="1:8" s="4" customFormat="1" ht="27" customHeight="1">
      <c r="A370" s="235"/>
      <c r="B370" s="183" t="s">
        <v>39</v>
      </c>
      <c r="C370" s="5" t="s">
        <v>23</v>
      </c>
      <c r="D370" s="137">
        <f>E370+F370+G370</f>
        <v>1350.006</v>
      </c>
      <c r="E370" s="137">
        <v>450.002</v>
      </c>
      <c r="F370" s="137">
        <v>450.002</v>
      </c>
      <c r="G370" s="137">
        <v>450.002</v>
      </c>
      <c r="H370" s="3"/>
    </row>
    <row r="371" spans="1:8" s="4" customFormat="1" ht="51">
      <c r="A371" s="235"/>
      <c r="B371" s="78" t="s">
        <v>331</v>
      </c>
      <c r="C371" s="5" t="s">
        <v>45</v>
      </c>
      <c r="D371" s="12">
        <f aca="true" t="shared" si="7" ref="D371:D381">E371+F371+G371</f>
        <v>771</v>
      </c>
      <c r="E371" s="5">
        <v>257</v>
      </c>
      <c r="F371" s="5">
        <v>257</v>
      </c>
      <c r="G371" s="5">
        <v>257</v>
      </c>
      <c r="H371" s="3"/>
    </row>
    <row r="372" spans="1:8" s="4" customFormat="1" ht="25.5">
      <c r="A372" s="235"/>
      <c r="B372" s="78" t="s">
        <v>28</v>
      </c>
      <c r="C372" s="5" t="s">
        <v>23</v>
      </c>
      <c r="D372" s="155">
        <f t="shared" si="7"/>
        <v>2550.0299999999997</v>
      </c>
      <c r="E372" s="155">
        <v>850.01</v>
      </c>
      <c r="F372" s="155">
        <v>850.01</v>
      </c>
      <c r="G372" s="155">
        <v>850.01</v>
      </c>
      <c r="H372" s="3"/>
    </row>
    <row r="373" spans="1:8" s="4" customFormat="1" ht="25.5">
      <c r="A373" s="235"/>
      <c r="B373" s="78" t="s">
        <v>29</v>
      </c>
      <c r="C373" s="5" t="s">
        <v>45</v>
      </c>
      <c r="D373" s="12">
        <f t="shared" si="7"/>
        <v>171</v>
      </c>
      <c r="E373" s="12">
        <f>40+17</f>
        <v>57</v>
      </c>
      <c r="F373" s="12">
        <f>40+17</f>
        <v>57</v>
      </c>
      <c r="G373" s="12">
        <f>40+17</f>
        <v>57</v>
      </c>
      <c r="H373" s="3"/>
    </row>
    <row r="374" spans="1:8" s="4" customFormat="1" ht="12.75" customHeight="1">
      <c r="A374" s="235"/>
      <c r="B374" s="78" t="s">
        <v>169</v>
      </c>
      <c r="C374" s="5" t="s">
        <v>130</v>
      </c>
      <c r="D374" s="12">
        <f t="shared" si="7"/>
        <v>3309</v>
      </c>
      <c r="E374" s="12">
        <v>1103</v>
      </c>
      <c r="F374" s="12">
        <v>1103</v>
      </c>
      <c r="G374" s="12">
        <v>1103</v>
      </c>
      <c r="H374" s="3"/>
    </row>
    <row r="375" spans="1:8" s="4" customFormat="1" ht="25.5">
      <c r="A375" s="235"/>
      <c r="B375" s="78" t="s">
        <v>123</v>
      </c>
      <c r="C375" s="5" t="s">
        <v>45</v>
      </c>
      <c r="D375" s="12">
        <f t="shared" si="7"/>
        <v>135</v>
      </c>
      <c r="E375" s="12">
        <v>45</v>
      </c>
      <c r="F375" s="12">
        <v>45</v>
      </c>
      <c r="G375" s="12">
        <v>45</v>
      </c>
      <c r="H375" s="3"/>
    </row>
    <row r="376" spans="1:8" s="4" customFormat="1" ht="12.75">
      <c r="A376" s="236"/>
      <c r="B376" s="78" t="s">
        <v>158</v>
      </c>
      <c r="C376" s="5" t="s">
        <v>47</v>
      </c>
      <c r="D376" s="162">
        <f t="shared" si="7"/>
        <v>0.6000000000000001</v>
      </c>
      <c r="E376" s="5">
        <v>0.2</v>
      </c>
      <c r="F376" s="5">
        <v>0.2</v>
      </c>
      <c r="G376" s="5">
        <v>0.2</v>
      </c>
      <c r="H376" s="3"/>
    </row>
    <row r="377" spans="1:8" s="4" customFormat="1" ht="12.75">
      <c r="A377" s="234" t="s">
        <v>80</v>
      </c>
      <c r="B377" s="7"/>
      <c r="C377" s="3"/>
      <c r="D377" s="3"/>
      <c r="E377" s="3"/>
      <c r="F377" s="3"/>
      <c r="G377" s="3"/>
      <c r="H377" s="3"/>
    </row>
    <row r="378" spans="1:8" s="4" customFormat="1" ht="25.5">
      <c r="A378" s="235"/>
      <c r="B378" s="78" t="s">
        <v>43</v>
      </c>
      <c r="C378" s="5" t="s">
        <v>52</v>
      </c>
      <c r="D378" s="162">
        <f t="shared" si="7"/>
        <v>202.5</v>
      </c>
      <c r="E378" s="5">
        <v>67.5</v>
      </c>
      <c r="F378" s="5">
        <v>67.5</v>
      </c>
      <c r="G378" s="5">
        <v>67.5</v>
      </c>
      <c r="H378" s="3"/>
    </row>
    <row r="379" spans="1:8" s="4" customFormat="1" ht="25.5">
      <c r="A379" s="235"/>
      <c r="B379" s="78" t="s">
        <v>30</v>
      </c>
      <c r="C379" s="5" t="s">
        <v>50</v>
      </c>
      <c r="D379" s="12">
        <f t="shared" si="7"/>
        <v>72</v>
      </c>
      <c r="E379" s="5">
        <v>24</v>
      </c>
      <c r="F379" s="5">
        <v>24</v>
      </c>
      <c r="G379" s="5">
        <v>24</v>
      </c>
      <c r="H379" s="3"/>
    </row>
    <row r="380" spans="1:8" s="4" customFormat="1" ht="12.75">
      <c r="A380" s="235"/>
      <c r="B380" s="78" t="s">
        <v>31</v>
      </c>
      <c r="C380" s="5" t="s">
        <v>116</v>
      </c>
      <c r="D380" s="12">
        <f t="shared" si="7"/>
        <v>1455</v>
      </c>
      <c r="E380" s="5">
        <v>485</v>
      </c>
      <c r="F380" s="5">
        <v>485</v>
      </c>
      <c r="G380" s="5">
        <v>485</v>
      </c>
      <c r="H380" s="3"/>
    </row>
    <row r="381" spans="1:8" s="4" customFormat="1" ht="25.5">
      <c r="A381" s="87"/>
      <c r="B381" s="113" t="s">
        <v>368</v>
      </c>
      <c r="C381" s="5" t="s">
        <v>23</v>
      </c>
      <c r="D381" s="12">
        <f t="shared" si="7"/>
        <v>21739.12</v>
      </c>
      <c r="E381" s="5">
        <v>21739.12</v>
      </c>
      <c r="F381" s="5"/>
      <c r="G381" s="5"/>
      <c r="H381" s="3"/>
    </row>
    <row r="382" spans="1:8" s="4" customFormat="1" ht="12.75">
      <c r="A382" s="237" t="s">
        <v>68</v>
      </c>
      <c r="B382" s="7"/>
      <c r="C382" s="3"/>
      <c r="D382" s="3"/>
      <c r="E382" s="3"/>
      <c r="F382" s="3"/>
      <c r="G382" s="3"/>
      <c r="H382" s="3"/>
    </row>
    <row r="383" spans="1:8" s="4" customFormat="1" ht="12.75" customHeight="1">
      <c r="A383" s="237"/>
      <c r="B383" s="7" t="s">
        <v>44</v>
      </c>
      <c r="C383" s="5" t="s">
        <v>52</v>
      </c>
      <c r="D383" s="137">
        <f>E383+F383+G383</f>
        <v>505.572</v>
      </c>
      <c r="E383" s="137">
        <v>168.524</v>
      </c>
      <c r="F383" s="5">
        <v>168.524</v>
      </c>
      <c r="G383" s="5">
        <v>168.524</v>
      </c>
      <c r="H383" s="3"/>
    </row>
    <row r="384" spans="1:8" s="4" customFormat="1" ht="12.75">
      <c r="A384" s="234" t="s">
        <v>79</v>
      </c>
      <c r="B384" s="78"/>
      <c r="C384" s="5"/>
      <c r="D384" s="5"/>
      <c r="E384" s="5"/>
      <c r="F384" s="5"/>
      <c r="G384" s="5"/>
      <c r="H384" s="3"/>
    </row>
    <row r="385" spans="1:8" s="4" customFormat="1" ht="12.75">
      <c r="A385" s="235"/>
      <c r="B385" s="114" t="s">
        <v>129</v>
      </c>
      <c r="C385" s="5" t="s">
        <v>125</v>
      </c>
      <c r="D385" s="5">
        <f aca="true" t="shared" si="8" ref="D385:D390">E385+F385+G385</f>
        <v>16.23</v>
      </c>
      <c r="E385" s="5">
        <v>5.41</v>
      </c>
      <c r="F385" s="5">
        <v>5.41</v>
      </c>
      <c r="G385" s="5">
        <v>5.41</v>
      </c>
      <c r="H385" s="3"/>
    </row>
    <row r="386" spans="1:8" s="4" customFormat="1" ht="25.5">
      <c r="A386" s="235"/>
      <c r="B386" s="114" t="s">
        <v>155</v>
      </c>
      <c r="C386" s="5" t="s">
        <v>45</v>
      </c>
      <c r="D386" s="5">
        <f t="shared" si="8"/>
        <v>9</v>
      </c>
      <c r="E386" s="5">
        <v>3</v>
      </c>
      <c r="F386" s="5">
        <v>3</v>
      </c>
      <c r="G386" s="5">
        <v>3</v>
      </c>
      <c r="H386" s="3"/>
    </row>
    <row r="387" spans="1:8" s="4" customFormat="1" ht="12.75">
      <c r="A387" s="236"/>
      <c r="B387" s="7" t="s">
        <v>171</v>
      </c>
      <c r="C387" s="5" t="s">
        <v>45</v>
      </c>
      <c r="D387" s="5">
        <f t="shared" si="8"/>
        <v>6</v>
      </c>
      <c r="E387" s="5">
        <v>2</v>
      </c>
      <c r="F387" s="5">
        <v>2</v>
      </c>
      <c r="G387" s="5">
        <v>2</v>
      </c>
      <c r="H387" s="3"/>
    </row>
    <row r="388" spans="1:8" s="4" customFormat="1" ht="25.5">
      <c r="A388" s="234" t="s">
        <v>253</v>
      </c>
      <c r="B388" s="184" t="s">
        <v>42</v>
      </c>
      <c r="C388" s="5" t="s">
        <v>47</v>
      </c>
      <c r="D388" s="137">
        <f t="shared" si="8"/>
        <v>50.82000000000001</v>
      </c>
      <c r="E388" s="137">
        <v>16.94</v>
      </c>
      <c r="F388" s="137">
        <v>16.94</v>
      </c>
      <c r="G388" s="137">
        <v>16.94</v>
      </c>
      <c r="H388" s="5">
        <v>168.42</v>
      </c>
    </row>
    <row r="389" spans="1:8" s="4" customFormat="1" ht="12.75" customHeight="1">
      <c r="A389" s="235"/>
      <c r="B389" s="184" t="s">
        <v>128</v>
      </c>
      <c r="C389" s="5" t="s">
        <v>47</v>
      </c>
      <c r="D389" s="137">
        <f t="shared" si="8"/>
        <v>50.82000000000001</v>
      </c>
      <c r="E389" s="137">
        <v>16.94</v>
      </c>
      <c r="F389" s="137">
        <v>16.94</v>
      </c>
      <c r="G389" s="137">
        <v>16.94</v>
      </c>
      <c r="H389" s="5"/>
    </row>
    <row r="390" spans="1:8" s="4" customFormat="1" ht="12.75">
      <c r="A390" s="236"/>
      <c r="B390" s="184" t="s">
        <v>31</v>
      </c>
      <c r="C390" s="5" t="s">
        <v>116</v>
      </c>
      <c r="D390" s="12">
        <f t="shared" si="8"/>
        <v>3150</v>
      </c>
      <c r="E390" s="12">
        <v>1050</v>
      </c>
      <c r="F390" s="12">
        <v>1050</v>
      </c>
      <c r="G390" s="12">
        <v>1050</v>
      </c>
      <c r="H390" s="5"/>
    </row>
    <row r="391" spans="1:8" s="4" customFormat="1" ht="63.75">
      <c r="A391" s="97" t="s">
        <v>276</v>
      </c>
      <c r="B391" s="185" t="s">
        <v>231</v>
      </c>
      <c r="C391" s="3" t="s">
        <v>45</v>
      </c>
      <c r="D391" s="158">
        <f>SUM(E391:G391)</f>
        <v>312</v>
      </c>
      <c r="E391" s="158">
        <v>104</v>
      </c>
      <c r="F391" s="158">
        <v>104</v>
      </c>
      <c r="G391" s="158">
        <v>104</v>
      </c>
      <c r="H391" s="5"/>
    </row>
    <row r="392" spans="1:8" s="4" customFormat="1" ht="63.75">
      <c r="A392" s="97" t="s">
        <v>259</v>
      </c>
      <c r="B392" s="186" t="s">
        <v>233</v>
      </c>
      <c r="C392" s="187" t="s">
        <v>23</v>
      </c>
      <c r="D392" s="12">
        <f>SUM(E392:G392)</f>
        <v>683202</v>
      </c>
      <c r="E392" s="12">
        <v>227734</v>
      </c>
      <c r="F392" s="12">
        <v>227734</v>
      </c>
      <c r="G392" s="12">
        <v>227734</v>
      </c>
      <c r="H392" s="5"/>
    </row>
    <row r="393" spans="1:8" s="4" customFormat="1" ht="30" customHeight="1">
      <c r="A393" s="112" t="s">
        <v>277</v>
      </c>
      <c r="B393" s="188" t="s">
        <v>234</v>
      </c>
      <c r="C393" s="5" t="s">
        <v>23</v>
      </c>
      <c r="D393" s="12">
        <f>SUM(E393:G393)</f>
        <v>8550</v>
      </c>
      <c r="E393" s="12">
        <v>2850</v>
      </c>
      <c r="F393" s="12">
        <v>2850</v>
      </c>
      <c r="G393" s="12">
        <v>2850</v>
      </c>
      <c r="H393" s="25"/>
    </row>
    <row r="394" spans="1:8" s="4" customFormat="1" ht="27.75" customHeight="1">
      <c r="A394" s="219" t="s">
        <v>78</v>
      </c>
      <c r="B394" s="188" t="s">
        <v>264</v>
      </c>
      <c r="C394" s="5"/>
      <c r="D394" s="12"/>
      <c r="E394" s="12"/>
      <c r="F394" s="12"/>
      <c r="G394" s="12"/>
      <c r="H394" s="25"/>
    </row>
    <row r="395" spans="1:8" s="4" customFormat="1" ht="24" customHeight="1">
      <c r="A395" s="276"/>
      <c r="B395" s="73" t="s">
        <v>359</v>
      </c>
      <c r="C395" s="5" t="s">
        <v>45</v>
      </c>
      <c r="D395" s="12">
        <f>SUM(E395:G395)</f>
        <v>1581</v>
      </c>
      <c r="E395" s="12">
        <v>527</v>
      </c>
      <c r="F395" s="12">
        <v>527</v>
      </c>
      <c r="G395" s="12">
        <v>527</v>
      </c>
      <c r="H395" s="25"/>
    </row>
    <row r="396" spans="1:8" s="4" customFormat="1" ht="29.25" customHeight="1">
      <c r="A396" s="220"/>
      <c r="B396" s="93" t="s">
        <v>312</v>
      </c>
      <c r="C396" s="5" t="s">
        <v>45</v>
      </c>
      <c r="D396" s="12">
        <f>E396+F396+G396</f>
        <v>230</v>
      </c>
      <c r="E396" s="5">
        <v>230</v>
      </c>
      <c r="F396" s="5"/>
      <c r="G396" s="5"/>
      <c r="H396" s="25"/>
    </row>
    <row r="397" spans="1:8" s="4" customFormat="1" ht="12.75">
      <c r="A397" s="302" t="s">
        <v>83</v>
      </c>
      <c r="B397" s="302"/>
      <c r="C397" s="302"/>
      <c r="D397" s="302"/>
      <c r="E397" s="302"/>
      <c r="F397" s="302"/>
      <c r="G397" s="302"/>
      <c r="H397" s="25"/>
    </row>
    <row r="398" spans="1:8" s="4" customFormat="1" ht="12.75">
      <c r="A398" s="242" t="s">
        <v>299</v>
      </c>
      <c r="B398" s="242"/>
      <c r="C398" s="242"/>
      <c r="D398" s="242"/>
      <c r="E398" s="242"/>
      <c r="F398" s="242"/>
      <c r="G398" s="242"/>
      <c r="H398" s="25"/>
    </row>
    <row r="399" spans="1:8" s="4" customFormat="1" ht="12.75">
      <c r="A399" s="301" t="s">
        <v>84</v>
      </c>
      <c r="B399" s="44"/>
      <c r="C399" s="45"/>
      <c r="D399" s="46"/>
      <c r="E399" s="46"/>
      <c r="F399" s="46"/>
      <c r="G399" s="46"/>
      <c r="H399" s="25"/>
    </row>
    <row r="400" spans="1:8" s="4" customFormat="1" ht="36">
      <c r="A400" s="301"/>
      <c r="B400" s="47" t="s">
        <v>85</v>
      </c>
      <c r="C400" s="45" t="s">
        <v>45</v>
      </c>
      <c r="D400" s="45">
        <v>1</v>
      </c>
      <c r="E400" s="45">
        <v>1</v>
      </c>
      <c r="F400" s="45">
        <v>1</v>
      </c>
      <c r="G400" s="45">
        <v>1</v>
      </c>
      <c r="H400" s="25"/>
    </row>
    <row r="401" spans="1:8" s="4" customFormat="1" ht="12.75" customHeight="1">
      <c r="A401" s="253" t="s">
        <v>323</v>
      </c>
      <c r="B401" s="254"/>
      <c r="C401" s="254"/>
      <c r="D401" s="254"/>
      <c r="E401" s="254"/>
      <c r="F401" s="254"/>
      <c r="G401" s="254"/>
      <c r="H401" s="255"/>
    </row>
    <row r="402" spans="1:8" s="4" customFormat="1" ht="12.75" customHeight="1">
      <c r="A402" s="234" t="s">
        <v>324</v>
      </c>
      <c r="B402" s="40"/>
      <c r="C402" s="229" t="s">
        <v>96</v>
      </c>
      <c r="D402" s="7"/>
      <c r="E402" s="45"/>
      <c r="F402" s="45"/>
      <c r="G402" s="45"/>
      <c r="H402" s="6">
        <f>SUM(H403:H403)</f>
        <v>0</v>
      </c>
    </row>
    <row r="403" spans="1:8" s="4" customFormat="1" ht="42.75" customHeight="1">
      <c r="A403" s="235"/>
      <c r="B403" s="7" t="s">
        <v>325</v>
      </c>
      <c r="C403" s="238"/>
      <c r="D403" s="45">
        <v>1</v>
      </c>
      <c r="E403" s="45">
        <v>1</v>
      </c>
      <c r="F403" s="45"/>
      <c r="G403" s="8"/>
      <c r="H403" s="8"/>
    </row>
    <row r="404" spans="1:8" s="4" customFormat="1" ht="12.75">
      <c r="A404" s="302" t="s">
        <v>151</v>
      </c>
      <c r="B404" s="302"/>
      <c r="C404" s="302"/>
      <c r="D404" s="302"/>
      <c r="E404" s="302"/>
      <c r="F404" s="302"/>
      <c r="G404" s="302"/>
      <c r="H404" s="3"/>
    </row>
    <row r="405" spans="1:8" s="1" customFormat="1" ht="12.75">
      <c r="A405" s="242" t="s">
        <v>299</v>
      </c>
      <c r="B405" s="242"/>
      <c r="C405" s="242"/>
      <c r="D405" s="242"/>
      <c r="E405" s="242"/>
      <c r="F405" s="242"/>
      <c r="G405" s="242"/>
      <c r="H405" s="7"/>
    </row>
    <row r="406" spans="1:8" s="1" customFormat="1" ht="60">
      <c r="A406" s="48" t="s">
        <v>150</v>
      </c>
      <c r="B406" s="47" t="s">
        <v>81</v>
      </c>
      <c r="C406" s="45" t="s">
        <v>53</v>
      </c>
      <c r="D406" s="45">
        <f>E406+F406+G406</f>
        <v>830</v>
      </c>
      <c r="E406" s="45">
        <v>300</v>
      </c>
      <c r="F406" s="45">
        <v>265</v>
      </c>
      <c r="G406" s="45">
        <v>265</v>
      </c>
      <c r="H406" s="7"/>
    </row>
    <row r="407" spans="1:8" s="1" customFormat="1" ht="12.75" customHeight="1">
      <c r="A407" s="302" t="s">
        <v>152</v>
      </c>
      <c r="B407" s="302"/>
      <c r="C407" s="302"/>
      <c r="D407" s="302"/>
      <c r="E407" s="302"/>
      <c r="F407" s="302"/>
      <c r="G407" s="302"/>
      <c r="H407" s="7"/>
    </row>
    <row r="408" spans="1:8" s="1" customFormat="1" ht="12.75">
      <c r="A408" s="242" t="s">
        <v>299</v>
      </c>
      <c r="B408" s="242"/>
      <c r="C408" s="242"/>
      <c r="D408" s="242"/>
      <c r="E408" s="242"/>
      <c r="F408" s="242"/>
      <c r="G408" s="242"/>
      <c r="H408" s="7"/>
    </row>
    <row r="409" spans="1:8" ht="24">
      <c r="A409" s="48" t="s">
        <v>149</v>
      </c>
      <c r="B409" s="47" t="s">
        <v>121</v>
      </c>
      <c r="C409" s="45" t="s">
        <v>53</v>
      </c>
      <c r="D409" s="45">
        <f>E409+F409+G409</f>
        <v>15</v>
      </c>
      <c r="E409" s="49">
        <v>5</v>
      </c>
      <c r="F409" s="49">
        <v>5</v>
      </c>
      <c r="G409" s="49">
        <v>5</v>
      </c>
      <c r="H409" s="19"/>
    </row>
    <row r="410" spans="1:8" ht="12.75">
      <c r="A410" s="189"/>
      <c r="B410" s="190"/>
      <c r="C410" s="191"/>
      <c r="D410" s="192"/>
      <c r="E410" s="192"/>
      <c r="F410" s="192"/>
      <c r="G410" s="192"/>
      <c r="H410" s="19"/>
    </row>
    <row r="411" spans="1:8" ht="41.25" customHeight="1">
      <c r="A411" s="193" t="s">
        <v>94</v>
      </c>
      <c r="B411" s="193"/>
      <c r="C411" s="193"/>
      <c r="D411" s="193"/>
      <c r="E411" s="193"/>
      <c r="F411" s="300" t="s">
        <v>172</v>
      </c>
      <c r="G411" s="300"/>
      <c r="H411" s="20"/>
    </row>
    <row r="412" ht="12.75">
      <c r="H412" s="20"/>
    </row>
    <row r="413" ht="12.75">
      <c r="H413" s="20"/>
    </row>
    <row r="414" ht="12.75">
      <c r="H414" s="20"/>
    </row>
    <row r="415" ht="12.75">
      <c r="H415" s="23"/>
    </row>
    <row r="416" spans="1:7" s="17" customFormat="1" ht="18.75" customHeight="1">
      <c r="A416" s="38"/>
      <c r="B416" s="18"/>
      <c r="C416" s="4"/>
      <c r="D416" s="18"/>
      <c r="E416" s="18"/>
      <c r="F416" s="18"/>
      <c r="G416" s="18"/>
    </row>
    <row r="417" spans="1:7" s="4" customFormat="1" ht="25.5" customHeight="1">
      <c r="A417" s="38"/>
      <c r="B417" s="18"/>
      <c r="D417" s="18"/>
      <c r="E417" s="18"/>
      <c r="F417" s="18"/>
      <c r="G417" s="18"/>
    </row>
    <row r="418" spans="1:7" s="4" customFormat="1" ht="17.25" customHeight="1">
      <c r="A418" s="38"/>
      <c r="B418" s="18"/>
      <c r="D418" s="18"/>
      <c r="E418" s="18"/>
      <c r="F418" s="18"/>
      <c r="G418" s="18"/>
    </row>
    <row r="419" spans="1:7" s="4" customFormat="1" ht="12.75">
      <c r="A419" s="38"/>
      <c r="B419" s="18"/>
      <c r="D419" s="18"/>
      <c r="E419" s="18"/>
      <c r="F419" s="18"/>
      <c r="G419" s="18"/>
    </row>
  </sheetData>
  <sheetProtection/>
  <mergeCells count="157">
    <mergeCell ref="A394:A396"/>
    <mergeCell ref="C329:C330"/>
    <mergeCell ref="D329:D330"/>
    <mergeCell ref="A320:A323"/>
    <mergeCell ref="A332:G332"/>
    <mergeCell ref="A326:A328"/>
    <mergeCell ref="B329:B330"/>
    <mergeCell ref="A336:A341"/>
    <mergeCell ref="G329:G330"/>
    <mergeCell ref="E329:E330"/>
    <mergeCell ref="A197:A198"/>
    <mergeCell ref="C151:C152"/>
    <mergeCell ref="A179:A191"/>
    <mergeCell ref="A62:A63"/>
    <mergeCell ref="A156:A159"/>
    <mergeCell ref="A64:H64"/>
    <mergeCell ref="A65:G65"/>
    <mergeCell ref="A168:A172"/>
    <mergeCell ref="A126:A127"/>
    <mergeCell ref="A166:A167"/>
    <mergeCell ref="B151:B152"/>
    <mergeCell ref="A174:G174"/>
    <mergeCell ref="A149:A150"/>
    <mergeCell ref="A134:A135"/>
    <mergeCell ref="A143:A146"/>
    <mergeCell ref="E151:E152"/>
    <mergeCell ref="F151:F152"/>
    <mergeCell ref="G151:G152"/>
    <mergeCell ref="A31:G31"/>
    <mergeCell ref="A27:H27"/>
    <mergeCell ref="A125:G125"/>
    <mergeCell ref="A129:A133"/>
    <mergeCell ref="A18:G18"/>
    <mergeCell ref="A19:G19"/>
    <mergeCell ref="A20:A23"/>
    <mergeCell ref="A24:A25"/>
    <mergeCell ref="A50:A51"/>
    <mergeCell ref="A52:H52"/>
    <mergeCell ref="A53:G53"/>
    <mergeCell ref="A54:A55"/>
    <mergeCell ref="A56:G56"/>
    <mergeCell ref="A57:G57"/>
    <mergeCell ref="A60:G60"/>
    <mergeCell ref="A69:G69"/>
    <mergeCell ref="A61:G61"/>
    <mergeCell ref="A66:A67"/>
    <mergeCell ref="G115:G117"/>
    <mergeCell ref="A151:A152"/>
    <mergeCell ref="F115:F117"/>
    <mergeCell ref="A58:A59"/>
    <mergeCell ref="A87:A92"/>
    <mergeCell ref="E115:E117"/>
    <mergeCell ref="A113:A124"/>
    <mergeCell ref="B115:B117"/>
    <mergeCell ref="A71:A86"/>
    <mergeCell ref="A93:A97"/>
    <mergeCell ref="A266:G266"/>
    <mergeCell ref="F329:F330"/>
    <mergeCell ref="A257:A261"/>
    <mergeCell ref="A324:A325"/>
    <mergeCell ref="A297:A298"/>
    <mergeCell ref="A288:A293"/>
    <mergeCell ref="D115:D117"/>
    <mergeCell ref="A212:A213"/>
    <mergeCell ref="A128:G128"/>
    <mergeCell ref="A254:A256"/>
    <mergeCell ref="A250:A253"/>
    <mergeCell ref="B126:B127"/>
    <mergeCell ref="A160:A165"/>
    <mergeCell ref="B177:B178"/>
    <mergeCell ref="A147:A148"/>
    <mergeCell ref="A192:A195"/>
    <mergeCell ref="A245:A246"/>
    <mergeCell ref="A239:A244"/>
    <mergeCell ref="C115:C117"/>
    <mergeCell ref="A294:A296"/>
    <mergeCell ref="A201:A210"/>
    <mergeCell ref="A222:A223"/>
    <mergeCell ref="A224:A238"/>
    <mergeCell ref="A247:A249"/>
    <mergeCell ref="A175:A178"/>
    <mergeCell ref="B137:B138"/>
    <mergeCell ref="A398:G398"/>
    <mergeCell ref="A348:A350"/>
    <mergeCell ref="A136:A142"/>
    <mergeCell ref="A216:G216"/>
    <mergeCell ref="A397:G397"/>
    <mergeCell ref="A361:G361"/>
    <mergeCell ref="A362:A366"/>
    <mergeCell ref="A369:A376"/>
    <mergeCell ref="A384:A387"/>
    <mergeCell ref="A217:A218"/>
    <mergeCell ref="F411:G411"/>
    <mergeCell ref="A405:G405"/>
    <mergeCell ref="A399:A400"/>
    <mergeCell ref="A404:G404"/>
    <mergeCell ref="A408:G408"/>
    <mergeCell ref="A407:G407"/>
    <mergeCell ref="A402:A403"/>
    <mergeCell ref="C402:C403"/>
    <mergeCell ref="A401:H401"/>
    <mergeCell ref="A10:G10"/>
    <mergeCell ref="A40:H40"/>
    <mergeCell ref="E1:F1"/>
    <mergeCell ref="B14:B16"/>
    <mergeCell ref="E6:G6"/>
    <mergeCell ref="E7:G7"/>
    <mergeCell ref="A11:G11"/>
    <mergeCell ref="C14:C16"/>
    <mergeCell ref="D14:G14"/>
    <mergeCell ref="E15:G15"/>
    <mergeCell ref="A14:A16"/>
    <mergeCell ref="A42:A43"/>
    <mergeCell ref="A44:H44"/>
    <mergeCell ref="D15:D16"/>
    <mergeCell ref="A26:H26"/>
    <mergeCell ref="A32:G32"/>
    <mergeCell ref="A28:A29"/>
    <mergeCell ref="A36:H36"/>
    <mergeCell ref="A41:G41"/>
    <mergeCell ref="A38:A39"/>
    <mergeCell ref="A262:A263"/>
    <mergeCell ref="A33:A35"/>
    <mergeCell ref="A70:G70"/>
    <mergeCell ref="A99:A110"/>
    <mergeCell ref="A46:A47"/>
    <mergeCell ref="A199:A200"/>
    <mergeCell ref="A220:A221"/>
    <mergeCell ref="A49:G49"/>
    <mergeCell ref="A48:H48"/>
    <mergeCell ref="A37:G37"/>
    <mergeCell ref="A45:G45"/>
    <mergeCell ref="A377:A380"/>
    <mergeCell ref="A382:A383"/>
    <mergeCell ref="D151:D152"/>
    <mergeCell ref="A153:A155"/>
    <mergeCell ref="A351:A353"/>
    <mergeCell ref="A299:A300"/>
    <mergeCell ref="A267:A271"/>
    <mergeCell ref="A282:A284"/>
    <mergeCell ref="A346:A347"/>
    <mergeCell ref="A306:A312"/>
    <mergeCell ref="A277:A281"/>
    <mergeCell ref="A313:A316"/>
    <mergeCell ref="A388:A390"/>
    <mergeCell ref="A303:G303"/>
    <mergeCell ref="A304:A305"/>
    <mergeCell ref="E4:G4"/>
    <mergeCell ref="E2:G2"/>
    <mergeCell ref="E3:G3"/>
    <mergeCell ref="A357:A360"/>
    <mergeCell ref="A272:A276"/>
    <mergeCell ref="A333:A335"/>
    <mergeCell ref="A354:A355"/>
    <mergeCell ref="A285:A287"/>
    <mergeCell ref="A342:A345"/>
    <mergeCell ref="A318:A319"/>
  </mergeCells>
  <printOptions horizontalCentered="1"/>
  <pageMargins left="0.8661417322834646" right="0.3937007874015748" top="1.1811023622047245" bottom="0.3937007874015748" header="0.35433070866141736" footer="0"/>
  <pageSetup fitToHeight="7" horizontalDpi="600" verticalDpi="600" orientation="landscape" paperSize="9" scale="90" r:id="rId1"/>
  <headerFooter alignWithMargins="0">
    <oddHeader>&amp;C&amp;P</oddHeader>
  </headerFooter>
  <rowBreaks count="3" manualBreakCount="3">
    <brk id="289" max="6" man="1"/>
    <brk id="345" max="6" man="1"/>
    <brk id="3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2016-08-31T14:23:27Z</cp:lastPrinted>
  <dcterms:created xsi:type="dcterms:W3CDTF">1996-10-08T23:32:33Z</dcterms:created>
  <dcterms:modified xsi:type="dcterms:W3CDTF">2016-09-02T09:29:07Z</dcterms:modified>
  <cp:category/>
  <cp:version/>
  <cp:contentType/>
  <cp:contentStatus/>
</cp:coreProperties>
</file>