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'лист'!$A$10:$O$392</definedName>
    <definedName name="_xlnm.Print_Area" localSheetId="2">'в т.ч.погашення'!$A$1:$G$319</definedName>
    <definedName name="_xlnm.Print_Area" localSheetId="1">'власні надходж'!$A$1:$H$329</definedName>
    <definedName name="_xlnm.Print_Area" localSheetId="0">'лист'!$A$1:$H$395</definedName>
  </definedNames>
  <calcPr fullCalcOnLoad="1"/>
</workbook>
</file>

<file path=xl/sharedStrings.xml><?xml version="1.0" encoding="utf-8"?>
<sst xmlns="http://schemas.openxmlformats.org/spreadsheetml/2006/main" count="2485" uniqueCount="679">
  <si>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</si>
  <si>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</si>
  <si>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</si>
  <si>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</si>
  <si>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</si>
  <si>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</si>
  <si>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</si>
  <si>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</si>
  <si>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</si>
  <si>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</si>
  <si>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</si>
  <si>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</si>
  <si>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</si>
  <si>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</si>
  <si>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ліквідація надзвичайних ситуацій</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</si>
  <si>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</si>
  <si>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</si>
  <si>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</si>
  <si>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</si>
  <si>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</si>
  <si>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</si>
  <si>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</si>
  <si>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</si>
  <si>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</si>
  <si>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</si>
  <si>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</si>
  <si>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</si>
  <si>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</si>
  <si>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</si>
  <si>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</si>
  <si>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</si>
  <si>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</si>
  <si>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</si>
  <si>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</si>
  <si>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</si>
  <si>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</si>
  <si>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</si>
  <si>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</si>
  <si>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</si>
  <si>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</si>
  <si>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</si>
  <si>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</si>
  <si>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</si>
  <si>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</si>
  <si>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</si>
  <si>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</si>
  <si>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</si>
  <si>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</si>
  <si>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</si>
  <si>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</si>
  <si>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</si>
  <si>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</si>
  <si>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</si>
  <si>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</si>
  <si>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</si>
  <si>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</si>
  <si>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</si>
  <si>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</si>
  <si>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</si>
  <si>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</si>
  <si>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</si>
  <si>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</si>
  <si>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</si>
  <si>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</si>
  <si>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</si>
  <si>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</si>
  <si>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</si>
  <si>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</si>
  <si>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</si>
  <si>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</si>
  <si>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</si>
  <si>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</si>
  <si>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</si>
  <si>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</si>
  <si>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</si>
  <si>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</si>
  <si>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</si>
  <si>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</si>
  <si>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</si>
  <si>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</si>
  <si>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</si>
  <si>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</si>
  <si>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</si>
  <si>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</si>
  <si>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</si>
  <si>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</si>
  <si>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</si>
  <si>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</si>
  <si>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</si>
  <si>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</si>
  <si>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</si>
  <si>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</si>
  <si>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</si>
  <si>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</si>
  <si>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</si>
  <si>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</si>
  <si>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</si>
  <si>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</si>
  <si>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</si>
  <si>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</si>
  <si>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</si>
  <si>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</si>
  <si>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</si>
  <si>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</si>
  <si>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</si>
  <si>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</si>
  <si>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</si>
  <si>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</si>
  <si>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</si>
  <si>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</si>
  <si>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</si>
  <si>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</si>
  <si>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</si>
  <si>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</si>
  <si>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</si>
  <si>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</si>
  <si>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</si>
  <si>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</si>
  <si>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</si>
  <si>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</si>
  <si>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</si>
  <si>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</si>
  <si>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</si>
  <si>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</si>
  <si>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</si>
  <si>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</si>
  <si>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</si>
  <si>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</si>
  <si>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</si>
  <si>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</si>
  <si>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</si>
  <si>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</si>
  <si>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</si>
  <si>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</si>
  <si>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</si>
  <si>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</si>
  <si>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</si>
  <si>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</si>
  <si>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</si>
  <si>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</si>
  <si>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</si>
  <si>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</si>
  <si>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</si>
  <si>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</si>
  <si>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</si>
  <si>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</si>
  <si>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</si>
  <si>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</si>
  <si>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</si>
  <si>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</si>
  <si>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</si>
  <si>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</si>
  <si>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</si>
  <si>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</si>
  <si>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</si>
  <si>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</si>
  <si>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</si>
  <si>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</si>
  <si>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</si>
  <si>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</si>
  <si>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</si>
  <si>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</si>
  <si>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</si>
  <si>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</si>
  <si>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</si>
  <si>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</si>
  <si>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</si>
  <si>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</si>
  <si>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</si>
  <si>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</si>
  <si>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</si>
  <si>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</si>
  <si>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</si>
  <si>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</si>
  <si>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</si>
  <si>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</si>
  <si>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</si>
  <si>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</si>
  <si>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</si>
  <si>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</si>
  <si>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</si>
  <si>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</si>
  <si>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</si>
  <si>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</si>
  <si>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</si>
  <si>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</si>
  <si>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</si>
  <si>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</si>
  <si>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</si>
  <si>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</si>
  <si>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</si>
  <si>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</si>
  <si>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</si>
  <si>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</si>
  <si>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</si>
  <si>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</si>
  <si>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</si>
  <si>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</si>
  <si>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</si>
  <si>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</si>
  <si>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</si>
  <si>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</si>
  <si>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</si>
  <si>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</si>
  <si>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</si>
  <si>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</si>
  <si>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</si>
  <si>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</si>
  <si>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</si>
  <si>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</si>
  <si>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</si>
  <si>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</si>
  <si>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</si>
  <si>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</si>
  <si>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</si>
  <si>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</si>
  <si>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</si>
  <si>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</si>
  <si>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</si>
  <si>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</si>
  <si>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</si>
  <si>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</si>
  <si>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</si>
  <si>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</si>
  <si>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</si>
  <si>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</si>
  <si>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</si>
  <si>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</si>
  <si>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</si>
  <si>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</si>
  <si>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</si>
  <si>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</si>
  <si>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</si>
  <si>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</si>
  <si>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</si>
  <si>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</si>
  <si>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</si>
  <si>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</si>
  <si>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</si>
  <si>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</si>
  <si>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</si>
  <si>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</si>
  <si>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</si>
  <si>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</si>
  <si>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</si>
  <si>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</si>
  <si>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</si>
  <si>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</si>
  <si>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</si>
  <si>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</si>
  <si>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</si>
  <si>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</si>
  <si>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</si>
  <si>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</si>
  <si>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</si>
  <si>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</si>
  <si>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</si>
  <si>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</si>
  <si>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</si>
  <si>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</si>
  <si>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</si>
  <si>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</si>
  <si>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</si>
  <si>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</si>
  <si>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</si>
  <si>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</si>
  <si>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</si>
  <si>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</si>
  <si>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</si>
  <si>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</si>
  <si>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</si>
  <si>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</si>
  <si>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</si>
  <si>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</si>
  <si>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</si>
  <si>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</si>
  <si>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</si>
  <si>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</si>
  <si>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</si>
  <si>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</si>
  <si>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</si>
  <si>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</si>
  <si>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</si>
  <si>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деп.фонд пот.</t>
  </si>
  <si>
    <t>деп.фонд кред.заб.</t>
  </si>
  <si>
    <t>Екон.і соц.розвиток</t>
  </si>
  <si>
    <t>газета ЗАПОРІЗЬКА СІЧ</t>
  </si>
  <si>
    <t>цільовий фонд</t>
  </si>
  <si>
    <t>РОЗВИТОК ЖКГ</t>
  </si>
  <si>
    <t>ОСВІТА</t>
  </si>
  <si>
    <t>Оздор.та відпочинок</t>
  </si>
  <si>
    <t>Підтримки сім"ї та молоді</t>
  </si>
  <si>
    <t>Фіз.культ.і спорт</t>
  </si>
  <si>
    <t>Розвиток туризму</t>
  </si>
  <si>
    <t>Ціл.компл.прогр.заб.молоді житлом</t>
  </si>
  <si>
    <t>Зайнятість</t>
  </si>
  <si>
    <t>Оцінка вартості пам"яток історії</t>
  </si>
  <si>
    <t>реконст.ринку Соцміста</t>
  </si>
  <si>
    <t>Ярмарка</t>
  </si>
  <si>
    <t>сприяння розвитку малого та серед.підпр.-ва</t>
  </si>
  <si>
    <t>Міська прогр.на первинний внесок</t>
  </si>
  <si>
    <t>Рац.вик-ня та містобуд.розв.</t>
  </si>
  <si>
    <t>Аукціони</t>
  </si>
  <si>
    <t>розв.Земел.відносин</t>
  </si>
  <si>
    <t>Запоріжелектротранс</t>
  </si>
  <si>
    <t>Аеропорт</t>
  </si>
  <si>
    <t>Буд.та лікв.авар.стану об"єктів</t>
  </si>
  <si>
    <t>Муніц.кредит.рейт.</t>
  </si>
  <si>
    <t>Підтримки самоорган.насел.</t>
  </si>
  <si>
    <t>Дератизація та дезінсекція</t>
  </si>
  <si>
    <t>Призов</t>
  </si>
  <si>
    <t>Орг.та пров.зах.щодо свят</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</si>
  <si>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</si>
  <si>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</si>
  <si>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РАЗОМ</t>
  </si>
  <si>
    <t>власні надходження бюджетних установ</t>
  </si>
  <si>
    <t>розв ОХОРОНИ ЗДОРОВ"Я</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</si>
  <si>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</si>
  <si>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</si>
  <si>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</si>
  <si>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</si>
  <si>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</si>
  <si>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</si>
  <si>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</si>
  <si>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</si>
  <si>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</si>
  <si>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</si>
  <si>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</si>
  <si>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</si>
  <si>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</si>
  <si>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</si>
  <si>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</si>
  <si>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</si>
  <si>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</si>
  <si>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</si>
  <si>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</si>
  <si>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</si>
  <si>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</si>
  <si>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</si>
  <si>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</si>
  <si>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</si>
  <si>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</si>
  <si>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</si>
  <si>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</si>
  <si>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</si>
  <si>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</si>
  <si>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</si>
  <si>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</si>
  <si>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</si>
  <si>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</si>
  <si>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</si>
  <si>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</si>
  <si>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</si>
  <si>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</si>
  <si>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</si>
  <si>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</si>
  <si>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</si>
  <si>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</si>
  <si>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</si>
  <si>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</si>
  <si>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</si>
  <si>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</si>
  <si>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</si>
  <si>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</si>
  <si>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</si>
  <si>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</si>
  <si>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</si>
  <si>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</si>
  <si>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</si>
  <si>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</si>
  <si>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</si>
  <si>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</si>
  <si>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</si>
  <si>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</si>
  <si>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</si>
  <si>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</si>
  <si>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</si>
  <si>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</si>
  <si>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</si>
  <si>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</si>
  <si>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</si>
  <si>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</si>
  <si>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</si>
  <si>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</si>
  <si>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</si>
  <si>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</si>
  <si>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</si>
  <si>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</si>
  <si>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</si>
  <si>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</si>
  <si>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</si>
  <si>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</si>
  <si>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</si>
  <si>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</si>
  <si>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</si>
  <si>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</si>
  <si>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</si>
  <si>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</si>
  <si>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</si>
  <si>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</si>
  <si>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</si>
  <si>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</si>
  <si>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</si>
  <si>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</si>
  <si>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</si>
  <si>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</si>
  <si>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</si>
  <si>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</si>
  <si>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</si>
  <si>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</si>
  <si>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</si>
  <si>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</si>
  <si>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</si>
  <si>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</si>
  <si>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</si>
  <si>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</si>
  <si>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</si>
  <si>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</si>
  <si>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</si>
  <si>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</si>
  <si>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</si>
  <si>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</si>
  <si>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</si>
  <si>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</si>
  <si>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</si>
  <si>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</si>
  <si>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</si>
  <si>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</si>
  <si>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</si>
  <si>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</si>
  <si>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</si>
  <si>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</si>
  <si>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</si>
  <si>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</si>
  <si>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</si>
  <si>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</si>
  <si>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</si>
  <si>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</si>
  <si>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</si>
  <si>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</si>
  <si>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</si>
  <si>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</si>
  <si>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</si>
  <si>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</si>
  <si>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</si>
  <si>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</si>
  <si>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</si>
  <si>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</si>
  <si>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</si>
  <si>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</si>
  <si>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</si>
  <si>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</si>
  <si>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</si>
  <si>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</si>
  <si>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</si>
  <si>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</si>
  <si>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</si>
  <si>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</si>
  <si>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</si>
  <si>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</si>
  <si>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</si>
  <si>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</si>
  <si>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</si>
  <si>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</si>
  <si>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</si>
  <si>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</si>
  <si>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</si>
  <si>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</si>
  <si>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</si>
  <si>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</si>
  <si>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</si>
  <si>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</si>
  <si>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</si>
  <si>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</si>
  <si>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</si>
  <si>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</si>
  <si>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</si>
  <si>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</si>
  <si>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</si>
  <si>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</si>
  <si>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</si>
  <si>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</si>
  <si>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</si>
  <si>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</si>
  <si>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</si>
  <si>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</si>
  <si>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</si>
  <si>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</si>
  <si>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</si>
  <si>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</si>
  <si>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Держ.пам"ятні дати у 2015</t>
  </si>
  <si>
    <t>Разом</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</si>
  <si>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</si>
  <si>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</si>
  <si>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</si>
  <si>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91103+091102</t>
  </si>
  <si>
    <t>10116 з.ф. інвентаризація</t>
  </si>
  <si>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</si>
  <si>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Про вирішення невідкладних проблемних питань оборони комунального підприємства Міжнародний аеропорт Запоріжжя</t>
  </si>
  <si>
    <t>Нове будівництво інформаційних систем та телекомунікаційних мереж в м. Запоріжжі</t>
  </si>
  <si>
    <t xml:space="preserve">Фін. допомога КП "Управління капітального будівництва" у 2015 </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</si>
  <si>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</si>
  <si>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</si>
  <si>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</si>
  <si>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</si>
  <si>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</si>
  <si>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</si>
  <si>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</si>
  <si>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</si>
  <si>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</si>
  <si>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</si>
  <si>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</si>
  <si>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</si>
  <si>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</si>
  <si>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</si>
  <si>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</si>
  <si>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</si>
  <si>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</si>
  <si>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</si>
  <si>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</si>
  <si>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</si>
  <si>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</si>
  <si>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</si>
  <si>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</si>
  <si>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</si>
  <si>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</si>
  <si>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</si>
  <si>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</si>
  <si>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</si>
  <si>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</si>
  <si>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</si>
  <si>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</si>
  <si>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</si>
  <si>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</si>
  <si>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</si>
  <si>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</si>
  <si>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</si>
  <si>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</si>
  <si>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</si>
  <si>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</si>
  <si>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</si>
  <si>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Створення філій Центру надання адміністративних послуг у м. Запоріжжі</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</si>
  <si>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</si>
  <si>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</si>
  <si>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</si>
  <si>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</si>
  <si>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</si>
  <si>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</si>
  <si>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</si>
  <si>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підтр.призову та забезп.тер.оборони міста на 2014 рік</t>
  </si>
  <si>
    <t>Управління та забезпечення збереження майна комунальної власності на 2015 рік"</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</si>
  <si>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</si>
  <si>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 xml:space="preserve">Відшкодування відсоткових ставок за залученими в кредитно-фінансових установах короткостроковими кредитами, </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</si>
  <si>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</si>
  <si>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Створення статутного капіталу комунального підприємства "Запорізьке енергетичне агентство</t>
  </si>
  <si>
    <t>Преса</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</si>
  <si>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</si>
  <si>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Фінансова допомога комунальному підприємству "Запорізьке енергетичне агентство</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</si>
  <si>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</si>
  <si>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</si>
  <si>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Заміна технол.обладн. в харчоблоках та пральнях ЗОШ та ДНЗ</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</si>
  <si>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</si>
  <si>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</si>
  <si>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</si>
  <si>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</si>
  <si>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</si>
  <si>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</si>
  <si>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</si>
  <si>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Фін.підтримка Дніпр.металург (Кап ремонт покрівлі по вул Антенна,4)</t>
  </si>
  <si>
    <t>Р.О.Пидорич</t>
  </si>
  <si>
    <t>10116 с.ф.</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</si>
  <si>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</si>
  <si>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</si>
  <si>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</si>
  <si>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</si>
  <si>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</si>
  <si>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</si>
  <si>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</si>
  <si>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</si>
  <si>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</si>
  <si>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</si>
  <si>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</si>
  <si>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</si>
  <si>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професійно-технічна освіта</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</si>
  <si>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</si>
  <si>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</si>
  <si>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</si>
  <si>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</si>
  <si>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</si>
  <si>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</si>
  <si>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</si>
  <si>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</si>
  <si>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</si>
  <si>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</si>
  <si>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</si>
  <si>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</si>
  <si>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</si>
  <si>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</si>
  <si>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</si>
  <si>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Розвитку первинної медико-санітарної допомоги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</si>
  <si>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</si>
  <si>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</si>
  <si>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</si>
  <si>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</si>
  <si>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</si>
  <si>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</si>
  <si>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</si>
  <si>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матеріально-технічного забезпечення військових комісаріатів, частин Збройних сил України та Національної гвардії України, підрозділів Служби Безпеки України</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</si>
  <si>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</si>
  <si>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</si>
  <si>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</si>
  <si>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</si>
  <si>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</si>
  <si>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</si>
  <si>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</si>
  <si>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</si>
  <si>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</si>
  <si>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</si>
  <si>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</si>
  <si>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</si>
  <si>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</si>
  <si>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</si>
  <si>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</si>
  <si>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</si>
  <si>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</si>
  <si>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</si>
  <si>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</si>
  <si>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</si>
  <si>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</si>
  <si>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</si>
  <si>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</si>
  <si>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</si>
  <si>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</si>
  <si>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</si>
  <si>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</si>
  <si>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</si>
  <si>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</si>
  <si>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</si>
  <si>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</si>
  <si>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комплексного благоустрою території та розвитку інфраструктури міста Запоріжжя</t>
  </si>
  <si>
    <t xml:space="preserve"> проведення капітального ремонту багатоквартирних житлових будинків житлово-будівельних кооперативів в м. Запоріжжя </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</si>
  <si>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</si>
  <si>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</si>
  <si>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</si>
  <si>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t>
  </si>
  <si>
    <t>Програма  розвитку інфраструктури та комплексного благоустрою міста Запоріжжя на 2016-2018 роки, затверджена рішенням міської ради від 25.05.2016 № 37</t>
  </si>
  <si>
    <t>Міська цільова програма "Нове будівництво інформаційних систем та телекомунікаційних мереж в м. Запоріжжі", затверджена рішенням від 25.03.2015 № 21 (зі змінами)</t>
  </si>
  <si>
    <t>130113</t>
  </si>
  <si>
    <t>Департамент правового забезпечення Запорізької міської ради</t>
  </si>
  <si>
    <t>Департамент освіти і науки Запорізької міської ради</t>
  </si>
  <si>
    <t xml:space="preserve">Міська цільова програма "Проведення комплексного обстеження пасожиропотоків на маршрутах міського пасажирського транспорту загального користування в м. Запоріжжі", затверджена рішенням міської ради від __________ № </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</si>
  <si>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</si>
  <si>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</si>
  <si>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</si>
  <si>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</si>
  <si>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</si>
  <si>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</si>
  <si>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Дитячі будинки (в т.ч.сімейного типу, прийомні сім'ї)</t>
  </si>
  <si>
    <t xml:space="preserve">Інші програми соціального захисту дітей
</t>
  </si>
  <si>
    <t>Міська цільао програма  "Запорізька Муніципальна Інтегрована Система Обробки Інформації"</t>
  </si>
  <si>
    <t>Міська цільова програма  "Запорізька Муніципальна Інтегрована Система Обробки Інформації", затверджена рішенням міської ради від 30.06.2016 № 45</t>
  </si>
  <si>
    <t>Програма "Забезпечення дитячих будинків сімейного типу необхідними меблями, побутовою технікою та іншими предметами тривалого вжитку на 2016 -2018 роки"</t>
  </si>
  <si>
    <t xml:space="preserve">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</si>
  <si>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</si>
  <si>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Фінансова допомога комунальному підприємству "Мрія"</t>
  </si>
  <si>
    <t xml:space="preserve">Програма "Фінансова прідтримка комунального науково-виробничого підприємства "Екоцентр" на 2016 рік, затверджена рішенням від              № </t>
  </si>
  <si>
    <t>фінпідтримка Екоцентра</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</si>
  <si>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 (зі змінами)</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</si>
  <si>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</si>
  <si>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</si>
  <si>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</si>
  <si>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"Фінансова підтримка комунального підприємства "Мрія" на 2016 рік", заатверджена рішенням міської ради від 25.08.2016   № 40</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</si>
  <si>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</si>
  <si>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</si>
  <si>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Програма економічного і соціального розвитку м.Запоріжжя на 2016 рік, затверджена рішенням міської ради від 30.03.2016 № 5 (зі змінами)</t>
  </si>
  <si>
    <t>з теплом до людей</t>
  </si>
  <si>
    <t xml:space="preserve">Програма соціального захисту населення міста Запоряжжя "З теплом до людей" на 2016-2017 роки, затверджена рішенням міської ради від   № </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</si>
  <si>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</si>
  <si>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28.09.2016 №43</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</si>
</sst>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9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sz val="12"/>
      <color indexed="48"/>
      <name val="Times New Roman"/>
      <family val="1"/>
    </font>
    <font>
      <sz val="12"/>
      <color indexed="8"/>
      <name val="Times New Roman"/>
      <family val="1"/>
    </font>
    <font>
      <sz val="12"/>
      <color indexed="9"/>
      <name val="Times New Roman"/>
      <family val="1"/>
    </font>
    <font>
      <b/>
      <sz val="12"/>
      <color indexed="9"/>
      <name val="Times New Roman"/>
      <family val="1"/>
    </font>
    <font>
      <b/>
      <sz val="14"/>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sz val="12"/>
      <color rgb="FF008000"/>
      <name val="Times New Roman"/>
      <family val="1"/>
    </font>
    <font>
      <b/>
      <sz val="12"/>
      <color rgb="FF006600"/>
      <name val="Times New Roman"/>
      <family val="1"/>
    </font>
    <font>
      <sz val="12"/>
      <color rgb="FF006600"/>
      <name val="Times New Roman"/>
      <family val="1"/>
    </font>
    <font>
      <sz val="12"/>
      <color rgb="FFFF0000"/>
      <name val="Times New Roman"/>
      <family val="1"/>
    </font>
    <font>
      <b/>
      <sz val="12"/>
      <color rgb="FFFF0000"/>
      <name val="Times New Roman"/>
      <family val="1"/>
    </font>
    <font>
      <sz val="12"/>
      <color rgb="FF3333FF"/>
      <name val="Times New Roman"/>
      <family val="1"/>
    </font>
    <font>
      <sz val="12"/>
      <color theme="1"/>
      <name val="Times New Roman"/>
      <family val="1"/>
    </font>
    <font>
      <sz val="12"/>
      <color theme="0"/>
      <name val="Times New Roman"/>
      <family val="1"/>
    </font>
    <font>
      <b/>
      <sz val="12"/>
      <color theme="0"/>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4" fillId="32" borderId="0" applyNumberFormat="0" applyBorder="0" applyAlignment="0" applyProtection="0"/>
  </cellStyleXfs>
  <cellXfs count="438">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0" fontId="1" fillId="35" borderId="10" xfId="0" applyFont="1" applyFill="1" applyBorder="1" applyAlignment="1">
      <alignment horizontal="right" vertical="center" wrapText="1"/>
    </xf>
    <xf numFmtId="0" fontId="1" fillId="35" borderId="10" xfId="0" applyFont="1" applyFill="1" applyBorder="1" applyAlignment="1">
      <alignment horizontal="right" vertical="center"/>
    </xf>
    <xf numFmtId="1" fontId="2" fillId="35" borderId="10" xfId="0" applyNumberFormat="1" applyFont="1" applyFill="1" applyBorder="1" applyAlignment="1">
      <alignment horizontal="right" vertical="center" wrapText="1"/>
    </xf>
    <xf numFmtId="1" fontId="26" fillId="35" borderId="10" xfId="0" applyNumberFormat="1" applyFont="1" applyFill="1" applyBorder="1" applyAlignment="1">
      <alignment horizontal="righ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1" fillId="35" borderId="10" xfId="0" applyFont="1" applyFill="1" applyBorder="1" applyAlignment="1">
      <alignment vertical="center" wrapText="1"/>
    </xf>
    <xf numFmtId="0" fontId="26" fillId="35" borderId="10" xfId="0" applyFont="1" applyFill="1" applyBorder="1" applyAlignment="1">
      <alignment horizontal="righ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xf>
    <xf numFmtId="1" fontId="85" fillId="35" borderId="10" xfId="0" applyNumberFormat="1" applyFont="1" applyFill="1" applyBorder="1" applyAlignment="1">
      <alignment vertical="center" wrapText="1"/>
    </xf>
    <xf numFmtId="0" fontId="85" fillId="35" borderId="10" xfId="0" applyFont="1" applyFill="1" applyBorder="1" applyAlignment="1">
      <alignment horizontal="right" vertical="center" wrapText="1"/>
    </xf>
    <xf numFmtId="1" fontId="85" fillId="35" borderId="10" xfId="0" applyNumberFormat="1" applyFont="1" applyFill="1" applyBorder="1" applyAlignment="1">
      <alignment horizontal="righ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0" fontId="29" fillId="35" borderId="10" xfId="0"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32" fillId="35" borderId="10" xfId="0" applyFont="1" applyFill="1" applyBorder="1" applyAlignment="1">
      <alignment wrapText="1"/>
    </xf>
    <xf numFmtId="1" fontId="32" fillId="35" borderId="10" xfId="0" applyNumberFormat="1" applyFont="1" applyFill="1" applyBorder="1" applyAlignment="1">
      <alignment wrapText="1"/>
    </xf>
    <xf numFmtId="0" fontId="31" fillId="35" borderId="10" xfId="0" applyFont="1" applyFill="1" applyBorder="1" applyAlignment="1">
      <alignment wrapText="1"/>
    </xf>
    <xf numFmtId="0" fontId="15" fillId="35" borderId="10" xfId="0" applyFont="1" applyFill="1" applyBorder="1" applyAlignment="1">
      <alignment wrapText="1"/>
    </xf>
    <xf numFmtId="0" fontId="39" fillId="35" borderId="10" xfId="0" applyFont="1" applyFill="1" applyBorder="1" applyAlignment="1">
      <alignment wrapText="1"/>
    </xf>
    <xf numFmtId="0" fontId="1" fillId="35" borderId="0" xfId="0" applyFont="1" applyFill="1" applyAlignment="1">
      <alignment wrapText="1"/>
    </xf>
    <xf numFmtId="1" fontId="86"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1" fontId="26"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0" fontId="1" fillId="35" borderId="10" xfId="0" applyFont="1" applyFill="1" applyBorder="1" applyAlignment="1">
      <alignment vertical="center"/>
    </xf>
    <xf numFmtId="49" fontId="1" fillId="35" borderId="10" xfId="0" applyNumberFormat="1" applyFont="1" applyFill="1" applyBorder="1" applyAlignment="1">
      <alignment horizontal="center" vertical="center"/>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49" fontId="1" fillId="35" borderId="13" xfId="0" applyNumberFormat="1" applyFont="1" applyFill="1" applyBorder="1" applyAlignment="1">
      <alignment vertical="center" wrapText="1"/>
    </xf>
    <xf numFmtId="49" fontId="2" fillId="35" borderId="13"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1" fontId="1" fillId="35" borderId="11" xfId="0" applyNumberFormat="1" applyFont="1" applyFill="1" applyBorder="1" applyAlignment="1">
      <alignment vertical="center" wrapText="1"/>
    </xf>
    <xf numFmtId="0" fontId="1" fillId="35" borderId="0" xfId="0" applyFont="1" applyFill="1" applyAlignment="1">
      <alignment horizontal="center" vertical="center" wrapText="1"/>
    </xf>
    <xf numFmtId="0" fontId="85" fillId="35" borderId="14" xfId="0" applyFont="1" applyFill="1" applyBorder="1" applyAlignment="1">
      <alignment horizontal="center" vertical="center" wrapText="1"/>
    </xf>
    <xf numFmtId="0" fontId="2" fillId="35" borderId="0" xfId="0" applyFont="1" applyFill="1" applyAlignment="1">
      <alignment horizontal="center" vertical="center" wrapText="1"/>
    </xf>
    <xf numFmtId="0" fontId="1" fillId="35" borderId="14" xfId="0" applyFont="1" applyFill="1" applyBorder="1" applyAlignment="1">
      <alignment vertical="center" wrapText="1"/>
    </xf>
    <xf numFmtId="0" fontId="38" fillId="35" borderId="0" xfId="0" applyFont="1" applyFill="1" applyAlignment="1">
      <alignment/>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1" fillId="35" borderId="0" xfId="0" applyFont="1" applyFill="1" applyAlignment="1">
      <alignment horizontal="righ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87" fillId="35" borderId="0" xfId="0" applyNumberFormat="1" applyFont="1" applyFill="1" applyAlignment="1">
      <alignment horizontal="center" vertical="center" wrapText="1"/>
    </xf>
    <xf numFmtId="0" fontId="85" fillId="35" borderId="0" xfId="0" applyFont="1" applyFill="1" applyAlignment="1">
      <alignment horizontal="center" vertical="center" wrapText="1"/>
    </xf>
    <xf numFmtId="1" fontId="85" fillId="35" borderId="0" xfId="0" applyNumberFormat="1" applyFont="1" applyFill="1" applyAlignment="1">
      <alignment horizontal="center" vertical="center" wrapText="1"/>
    </xf>
    <xf numFmtId="0" fontId="85"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6" fillId="35" borderId="0" xfId="0" applyFont="1" applyFill="1" applyAlignment="1">
      <alignment/>
    </xf>
    <xf numFmtId="0" fontId="37" fillId="35" borderId="0" xfId="0" applyFont="1" applyFill="1" applyAlignment="1">
      <alignment/>
    </xf>
    <xf numFmtId="0" fontId="36" fillId="35" borderId="0" xfId="0" applyFont="1" applyFill="1" applyBorder="1" applyAlignment="1">
      <alignment/>
    </xf>
    <xf numFmtId="1" fontId="31" fillId="35" borderId="0" xfId="0" applyNumberFormat="1" applyFont="1" applyFill="1" applyAlignment="1">
      <alignment wrapText="1"/>
    </xf>
    <xf numFmtId="1" fontId="31" fillId="35" borderId="0" xfId="0" applyNumberFormat="1" applyFont="1" applyFill="1" applyAlignment="1">
      <alignment vertical="center" wrapText="1"/>
    </xf>
    <xf numFmtId="1" fontId="40" fillId="35" borderId="0" xfId="0" applyNumberFormat="1" applyFont="1" applyFill="1" applyAlignment="1">
      <alignment wrapText="1"/>
    </xf>
    <xf numFmtId="0" fontId="33"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4" fillId="35" borderId="0" xfId="0" applyFont="1" applyFill="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32" fillId="35" borderId="0" xfId="0" applyFont="1" applyFill="1" applyAlignment="1">
      <alignment wrapText="1"/>
    </xf>
    <xf numFmtId="0" fontId="32" fillId="35" borderId="0" xfId="0" applyFont="1" applyFill="1" applyBorder="1" applyAlignment="1">
      <alignment wrapText="1"/>
    </xf>
    <xf numFmtId="1" fontId="88" fillId="35" borderId="10" xfId="0" applyNumberFormat="1" applyFont="1" applyFill="1" applyBorder="1" applyAlignment="1">
      <alignment horizontal="right" vertical="center" wrapText="1"/>
    </xf>
    <xf numFmtId="1" fontId="88" fillId="35" borderId="10" xfId="0" applyNumberFormat="1" applyFont="1" applyFill="1" applyBorder="1" applyAlignment="1">
      <alignment vertical="center" wrapText="1"/>
    </xf>
    <xf numFmtId="1" fontId="88" fillId="35" borderId="11" xfId="0" applyNumberFormat="1" applyFont="1" applyFill="1" applyBorder="1" applyAlignment="1">
      <alignment horizontal="right" vertical="center"/>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90" fillId="35" borderId="0" xfId="0" applyFont="1" applyFill="1" applyAlignment="1">
      <alignment horizontal="center" vertical="center" wrapText="1"/>
    </xf>
    <xf numFmtId="0" fontId="90" fillId="35" borderId="0" xfId="0" applyFont="1" applyFill="1" applyBorder="1" applyAlignment="1">
      <alignment horizontal="center" vertical="center" wrapText="1"/>
    </xf>
    <xf numFmtId="1" fontId="90" fillId="35" borderId="10" xfId="0" applyNumberFormat="1" applyFont="1" applyFill="1" applyBorder="1" applyAlignment="1">
      <alignment vertical="center" wrapText="1"/>
    </xf>
    <xf numFmtId="49" fontId="90" fillId="35" borderId="10" xfId="0" applyNumberFormat="1"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89"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13" xfId="0" applyNumberFormat="1" applyFont="1" applyFill="1" applyBorder="1" applyAlignment="1">
      <alignment horizontal="right" vertical="center" wrapText="1"/>
    </xf>
    <xf numFmtId="1" fontId="1" fillId="35" borderId="13"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0" fontId="28" fillId="35" borderId="0" xfId="0" applyFont="1" applyFill="1" applyBorder="1" applyAlignment="1">
      <alignment horizontal="right" vertical="center" wrapText="1"/>
    </xf>
    <xf numFmtId="1" fontId="87" fillId="35" borderId="0" xfId="0" applyNumberFormat="1" applyFont="1" applyFill="1" applyBorder="1" applyAlignment="1">
      <alignment horizontal="right" vertical="center" wrapText="1"/>
    </xf>
    <xf numFmtId="1" fontId="89" fillId="35" borderId="0" xfId="0" applyNumberFormat="1" applyFont="1" applyFill="1" applyBorder="1" applyAlignment="1">
      <alignment horizontal="right" vertical="center" wrapText="1"/>
    </xf>
    <xf numFmtId="0" fontId="89" fillId="35" borderId="0" xfId="0" applyFont="1" applyFill="1" applyBorder="1" applyAlignment="1">
      <alignment horizontal="right" vertical="center" wrapText="1"/>
    </xf>
    <xf numFmtId="1" fontId="37"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3" fillId="35" borderId="0" xfId="0" applyFont="1" applyFill="1" applyBorder="1" applyAlignment="1">
      <alignment horizontal="right" wrapText="1"/>
    </xf>
    <xf numFmtId="0" fontId="34" fillId="35" borderId="0" xfId="0" applyFont="1" applyFill="1" applyBorder="1" applyAlignment="1">
      <alignment horizontal="right" wrapText="1"/>
    </xf>
    <xf numFmtId="0" fontId="32"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1" fontId="91" fillId="35" borderId="13" xfId="0" applyNumberFormat="1" applyFont="1" applyFill="1" applyBorder="1" applyAlignment="1">
      <alignment vertical="center"/>
    </xf>
    <xf numFmtId="0" fontId="1" fillId="35" borderId="17" xfId="0" applyFont="1" applyFill="1" applyBorder="1" applyAlignment="1">
      <alignment horizontal="center" vertical="center"/>
    </xf>
    <xf numFmtId="1" fontId="1" fillId="35" borderId="11" xfId="0" applyNumberFormat="1" applyFont="1" applyFill="1" applyBorder="1" applyAlignment="1">
      <alignment horizontal="right" vertical="center" wrapText="1"/>
    </xf>
    <xf numFmtId="1" fontId="1" fillId="35" borderId="11" xfId="0" applyNumberFormat="1" applyFont="1" applyFill="1" applyBorder="1" applyAlignment="1">
      <alignment horizontal="center" vertical="center" wrapText="1"/>
    </xf>
    <xf numFmtId="49" fontId="1" fillId="35" borderId="18" xfId="0" applyNumberFormat="1" applyFont="1" applyFill="1" applyBorder="1" applyAlignment="1">
      <alignment horizontal="center" vertical="center" wrapText="1"/>
    </xf>
    <xf numFmtId="0" fontId="1" fillId="35" borderId="14" xfId="0" applyFont="1" applyFill="1" applyBorder="1" applyAlignment="1">
      <alignment horizontal="center" vertical="center"/>
    </xf>
    <xf numFmtId="0" fontId="1" fillId="35" borderId="11" xfId="0" applyFont="1" applyFill="1" applyBorder="1" applyAlignment="1">
      <alignment vertical="center" wrapText="1"/>
    </xf>
    <xf numFmtId="1" fontId="1" fillId="35" borderId="13" xfId="0" applyNumberFormat="1" applyFont="1" applyFill="1" applyBorder="1" applyAlignment="1">
      <alignment horizontal="right" vertical="center"/>
    </xf>
    <xf numFmtId="0" fontId="91" fillId="35" borderId="10" xfId="0" applyFont="1" applyFill="1" applyBorder="1" applyAlignment="1">
      <alignment horizontal="right" vertical="center" wrapText="1"/>
    </xf>
    <xf numFmtId="49" fontId="91" fillId="35" borderId="10" xfId="0" applyNumberFormat="1" applyFont="1" applyFill="1" applyBorder="1" applyAlignment="1">
      <alignment horizontal="center" vertical="center" wrapText="1"/>
    </xf>
    <xf numFmtId="0" fontId="92" fillId="35" borderId="0" xfId="0" applyFont="1" applyFill="1" applyBorder="1" applyAlignment="1">
      <alignment horizontal="right" vertical="center" wrapText="1"/>
    </xf>
    <xf numFmtId="0" fontId="92" fillId="35" borderId="0" xfId="0" applyFont="1" applyFill="1" applyAlignment="1">
      <alignment horizontal="center" vertical="center" wrapText="1"/>
    </xf>
    <xf numFmtId="0" fontId="91" fillId="35" borderId="0" xfId="0" applyFont="1" applyFill="1" applyAlignment="1">
      <alignment horizontal="center" vertical="center" wrapText="1"/>
    </xf>
    <xf numFmtId="0" fontId="91" fillId="35" borderId="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41" fillId="35" borderId="19" xfId="0" applyFont="1" applyFill="1" applyBorder="1" applyAlignment="1">
      <alignment horizontal="left"/>
    </xf>
    <xf numFmtId="0" fontId="93"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vertical="center" wrapText="1"/>
    </xf>
    <xf numFmtId="0" fontId="1" fillId="35" borderId="20" xfId="0" applyFont="1" applyFill="1" applyBorder="1" applyAlignment="1">
      <alignment horizontal="center" vertical="center"/>
    </xf>
    <xf numFmtId="0" fontId="1" fillId="35" borderId="13" xfId="0" applyFont="1" applyFill="1" applyBorder="1" applyAlignment="1">
      <alignment horizontal="center" vertical="center"/>
    </xf>
    <xf numFmtId="49" fontId="1" fillId="35" borderId="2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49" fontId="1" fillId="35" borderId="23" xfId="0" applyNumberFormat="1"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93" fillId="35" borderId="10" xfId="0" applyFont="1" applyFill="1" applyBorder="1" applyAlignment="1">
      <alignment horizontal="right" vertical="center" wrapText="1"/>
    </xf>
    <xf numFmtId="49" fontId="1" fillId="35" borderId="13"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Border="1" applyAlignment="1">
      <alignment horizontal="right" vertical="center" wrapText="1"/>
    </xf>
    <xf numFmtId="49" fontId="1" fillId="35" borderId="2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0" fontId="1" fillId="35" borderId="10" xfId="0" applyFont="1" applyFill="1" applyBorder="1" applyAlignment="1">
      <alignment horizontal="center" vertical="center" wrapText="1"/>
    </xf>
    <xf numFmtId="1" fontId="1" fillId="35" borderId="0" xfId="0" applyNumberFormat="1" applyFont="1" applyFill="1" applyAlignment="1">
      <alignment wrapText="1"/>
    </xf>
    <xf numFmtId="49" fontId="1" fillId="35" borderId="1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1" fontId="94" fillId="35" borderId="10" xfId="0" applyNumberFormat="1" applyFont="1" applyFill="1" applyBorder="1" applyAlignment="1">
      <alignment horizontal="right" vertical="center" wrapText="1"/>
    </xf>
    <xf numFmtId="1" fontId="94" fillId="35" borderId="10" xfId="0" applyNumberFormat="1"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2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1" fillId="35" borderId="13" xfId="0" applyNumberFormat="1" applyFont="1" applyFill="1" applyBorder="1" applyAlignment="1">
      <alignment horizontal="right" vertical="center" wrapText="1"/>
    </xf>
    <xf numFmtId="0" fontId="11" fillId="35" borderId="13" xfId="0" applyFont="1" applyFill="1" applyBorder="1" applyAlignment="1">
      <alignment horizontal="right" vertical="center" wrapText="1"/>
    </xf>
    <xf numFmtId="0" fontId="2" fillId="35" borderId="13" xfId="0" applyFont="1" applyFill="1" applyBorder="1" applyAlignment="1">
      <alignment vertical="center" wrapText="1"/>
    </xf>
    <xf numFmtId="1" fontId="30" fillId="35" borderId="0" xfId="0" applyNumberFormat="1" applyFont="1" applyFill="1" applyAlignment="1">
      <alignment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95" fillId="35" borderId="0" xfId="0" applyNumberFormat="1" applyFont="1" applyFill="1" applyAlignment="1">
      <alignment wrapText="1"/>
    </xf>
    <xf numFmtId="0" fontId="96" fillId="35" borderId="0" xfId="0" applyFont="1" applyFill="1" applyBorder="1" applyAlignment="1">
      <alignment horizontal="right" wrapText="1"/>
    </xf>
    <xf numFmtId="0" fontId="95" fillId="35" borderId="0" xfId="0" applyFont="1" applyFill="1" applyAlignment="1">
      <alignment wrapText="1"/>
    </xf>
    <xf numFmtId="0" fontId="1" fillId="35" borderId="14" xfId="0"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15" fillId="36" borderId="10" xfId="0" applyNumberFormat="1" applyFont="1" applyFill="1" applyBorder="1" applyAlignment="1">
      <alignment wrapText="1"/>
    </xf>
    <xf numFmtId="0" fontId="1" fillId="35" borderId="11" xfId="0" applyFont="1" applyFill="1" applyBorder="1" applyAlignment="1">
      <alignment horizontal="center" vertical="center" wrapText="1"/>
    </xf>
    <xf numFmtId="0" fontId="0" fillId="35" borderId="13"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0" fillId="35" borderId="13"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0" fontId="94"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Border="1" applyAlignment="1">
      <alignment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4" xfId="0" applyFont="1" applyFill="1" applyBorder="1" applyAlignment="1">
      <alignment horizontal="center" vertical="center" wrapText="1"/>
    </xf>
    <xf numFmtId="49" fontId="1" fillId="35" borderId="21" xfId="0" applyNumberFormat="1"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97" fillId="35" borderId="10" xfId="0" applyNumberFormat="1" applyFont="1" applyFill="1" applyBorder="1" applyAlignment="1">
      <alignment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2" fontId="1" fillId="35" borderId="10" xfId="0" applyNumberFormat="1" applyFont="1" applyFill="1" applyBorder="1" applyAlignment="1">
      <alignment vertical="center" wrapText="1"/>
    </xf>
    <xf numFmtId="2" fontId="1" fillId="35" borderId="10" xfId="0" applyNumberFormat="1" applyFont="1" applyFill="1" applyBorder="1" applyAlignment="1">
      <alignment horizontal="right" vertical="center" wrapText="1"/>
    </xf>
    <xf numFmtId="2" fontId="93" fillId="35" borderId="10" xfId="0" applyNumberFormat="1" applyFont="1" applyFill="1" applyBorder="1" applyAlignment="1">
      <alignment horizontal="right" vertical="center" wrapText="1"/>
    </xf>
    <xf numFmtId="2" fontId="26" fillId="35" borderId="10" xfId="0" applyNumberFormat="1" applyFont="1" applyFill="1" applyBorder="1" applyAlignment="1">
      <alignment vertical="center" wrapText="1"/>
    </xf>
    <xf numFmtId="49" fontId="1" fillId="35" borderId="10" xfId="0" applyNumberFormat="1" applyFont="1" applyFill="1" applyBorder="1" applyAlignment="1">
      <alignment vertical="center"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right" vertical="center" wrapText="1"/>
    </xf>
    <xf numFmtId="49" fontId="1" fillId="35" borderId="11" xfId="0" applyNumberFormat="1" applyFont="1" applyFill="1" applyBorder="1" applyAlignment="1">
      <alignment horizontal="center" vertical="center" wrapText="1"/>
    </xf>
    <xf numFmtId="0" fontId="0" fillId="35" borderId="13" xfId="0"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3" xfId="0" applyFont="1" applyFill="1" applyBorder="1" applyAlignment="1">
      <alignment horizontal="center" vertical="center"/>
    </xf>
    <xf numFmtId="0" fontId="0" fillId="35" borderId="13" xfId="0"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ill="1" applyBorder="1" applyAlignment="1">
      <alignment wrapText="1"/>
    </xf>
    <xf numFmtId="49" fontId="1" fillId="35" borderId="22" xfId="0" applyNumberFormat="1"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49" fontId="1" fillId="35" borderId="21"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0" fontId="1" fillId="35" borderId="20" xfId="0" applyFont="1" applyFill="1" applyBorder="1" applyAlignment="1">
      <alignment horizontal="center" vertical="center"/>
    </xf>
    <xf numFmtId="49" fontId="1" fillId="35" borderId="0" xfId="0" applyNumberFormat="1" applyFont="1" applyFill="1" applyBorder="1" applyAlignment="1">
      <alignment horizontal="center" vertical="center" wrapText="1"/>
    </xf>
    <xf numFmtId="0" fontId="19" fillId="35" borderId="0" xfId="0" applyFont="1" applyFill="1" applyAlignment="1">
      <alignment horizontal="center" wrapText="1"/>
    </xf>
    <xf numFmtId="49" fontId="1" fillId="35" borderId="23" xfId="0" applyNumberFormat="1" applyFont="1" applyFill="1" applyBorder="1" applyAlignment="1">
      <alignment horizontal="center" vertical="center" wrapText="1"/>
    </xf>
    <xf numFmtId="0" fontId="0" fillId="35" borderId="25" xfId="0"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5" xfId="0" applyFill="1" applyBorder="1" applyAlignment="1">
      <alignment horizontal="center" vertical="center" wrapText="1"/>
    </xf>
    <xf numFmtId="0" fontId="1" fillId="35"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67" fillId="35" borderId="0" xfId="0"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22"/>
  <sheetViews>
    <sheetView showZeros="0" tabSelected="1" view="pageBreakPreview" zoomScale="80" zoomScaleSheetLayoutView="80" zoomScalePageLayoutView="0" workbookViewId="0" topLeftCell="A1">
      <selection activeCell="F4" sqref="F4"/>
    </sheetView>
  </sheetViews>
  <sheetFormatPr defaultColWidth="9.140625" defaultRowHeight="12.75"/>
  <cols>
    <col min="1" max="1" width="10.8515625" style="108" customWidth="1"/>
    <col min="2" max="2" width="10.57421875" style="108" customWidth="1"/>
    <col min="3" max="3" width="12.140625" style="108" customWidth="1"/>
    <col min="4" max="4" width="51.28125" style="108" customWidth="1"/>
    <col min="5" max="5" width="67.140625" style="108" customWidth="1"/>
    <col min="6" max="6" width="20.28125" style="108" customWidth="1"/>
    <col min="7" max="7" width="23.421875" style="108" customWidth="1"/>
    <col min="8" max="8" width="23.7109375" style="108" customWidth="1"/>
    <col min="9" max="9" width="18.28125" style="187" customWidth="1"/>
    <col min="10" max="10" width="14.421875" style="130" customWidth="1"/>
    <col min="11" max="11" width="12.140625" style="108" customWidth="1"/>
    <col min="12" max="12" width="13.7109375" style="108" customWidth="1"/>
    <col min="13" max="13" width="11.57421875" style="131" customWidth="1"/>
    <col min="14" max="14" width="12.7109375" style="108" customWidth="1"/>
    <col min="15" max="16384" width="9.140625" style="108" customWidth="1"/>
  </cols>
  <sheetData>
    <row r="1" spans="6:9" ht="41.25" customHeight="1">
      <c r="F1" s="217" t="s">
        <v>134</v>
      </c>
      <c r="G1" s="129"/>
      <c r="H1" s="129"/>
      <c r="I1" s="184"/>
    </row>
    <row r="2" spans="6:9" ht="30" customHeight="1">
      <c r="F2" s="217" t="s">
        <v>133</v>
      </c>
      <c r="G2" s="129"/>
      <c r="H2" s="129"/>
      <c r="I2" s="185"/>
    </row>
    <row r="3" spans="6:9" ht="28.5" customHeight="1">
      <c r="F3" s="437" t="s">
        <v>678</v>
      </c>
      <c r="G3" s="129"/>
      <c r="H3" s="129"/>
      <c r="I3" s="185"/>
    </row>
    <row r="4" spans="5:9" ht="27" customHeight="1">
      <c r="E4" s="200"/>
      <c r="H4" s="129"/>
      <c r="I4" s="185"/>
    </row>
    <row r="6" spans="1:13" s="133" customFormat="1" ht="51.75" customHeight="1">
      <c r="A6" s="410" t="s">
        <v>558</v>
      </c>
      <c r="B6" s="410"/>
      <c r="C6" s="410"/>
      <c r="D6" s="410"/>
      <c r="E6" s="410"/>
      <c r="F6" s="410"/>
      <c r="G6" s="410"/>
      <c r="H6" s="410"/>
      <c r="I6" s="186"/>
      <c r="J6" s="132"/>
      <c r="M6" s="134"/>
    </row>
    <row r="7" ht="20.25" customHeight="1"/>
    <row r="8" ht="16.5" customHeight="1">
      <c r="H8" s="135" t="s">
        <v>626</v>
      </c>
    </row>
    <row r="9" spans="1:13" s="125" customFormat="1" ht="98.25" customHeight="1">
      <c r="A9" s="136" t="s">
        <v>127</v>
      </c>
      <c r="B9" s="136" t="s">
        <v>128</v>
      </c>
      <c r="C9" s="136" t="s">
        <v>129</v>
      </c>
      <c r="D9" s="216" t="s">
        <v>130</v>
      </c>
      <c r="E9" s="219" t="s">
        <v>131</v>
      </c>
      <c r="F9" s="128" t="s">
        <v>64</v>
      </c>
      <c r="G9" s="128" t="s">
        <v>67</v>
      </c>
      <c r="H9" s="216" t="s">
        <v>132</v>
      </c>
      <c r="I9" s="183" t="s">
        <v>315</v>
      </c>
      <c r="M9" s="200"/>
    </row>
    <row r="10" spans="1:13" s="125" customFormat="1" ht="16.5" customHeight="1">
      <c r="A10" s="215">
        <v>1</v>
      </c>
      <c r="B10" s="216">
        <v>2</v>
      </c>
      <c r="C10" s="216">
        <v>3</v>
      </c>
      <c r="D10" s="216">
        <v>4</v>
      </c>
      <c r="E10" s="219">
        <v>5</v>
      </c>
      <c r="F10" s="216">
        <v>6</v>
      </c>
      <c r="G10" s="216">
        <v>7</v>
      </c>
      <c r="H10" s="216">
        <v>8</v>
      </c>
      <c r="I10" s="183"/>
      <c r="J10" s="127"/>
      <c r="M10" s="200"/>
    </row>
    <row r="11" spans="1:13" s="125" customFormat="1" ht="15.75">
      <c r="A11" s="110"/>
      <c r="B11" s="110" t="s">
        <v>148</v>
      </c>
      <c r="C11" s="110"/>
      <c r="D11" s="113" t="s">
        <v>630</v>
      </c>
      <c r="E11" s="234"/>
      <c r="F11" s="85">
        <f>F12+F14+F15+F16+F17+F18+F19+F20+F21+F22+F23+F13</f>
        <v>13305126</v>
      </c>
      <c r="G11" s="85">
        <f>G12+G14+G15+G16+G17+G18+G19+G20+G21+G22+G23+G13</f>
        <v>11476683</v>
      </c>
      <c r="H11" s="85">
        <f>H12+H14+H15+H16+H17+H18+H19+H20+H21+H22+H23+H13</f>
        <v>24781809</v>
      </c>
      <c r="I11" s="181">
        <f>I12+I14+I15+I16+I17+I18+I19+I20+I21</f>
        <v>0</v>
      </c>
      <c r="J11" s="137"/>
      <c r="M11" s="200"/>
    </row>
    <row r="12" spans="1:13" s="125" customFormat="1" ht="48" customHeight="1">
      <c r="A12" s="110"/>
      <c r="B12" s="227" t="s">
        <v>180</v>
      </c>
      <c r="C12" s="227" t="s">
        <v>501</v>
      </c>
      <c r="D12" s="230" t="s">
        <v>181</v>
      </c>
      <c r="E12" s="377" t="s">
        <v>674</v>
      </c>
      <c r="F12" s="85"/>
      <c r="G12" s="75">
        <f>2257571+180000-16431-343413+9631826+308000-64137-5000000</f>
        <v>6953416</v>
      </c>
      <c r="H12" s="75">
        <f>G12+F12</f>
        <v>6953416</v>
      </c>
      <c r="I12" s="181"/>
      <c r="J12" s="137"/>
      <c r="M12" s="200"/>
    </row>
    <row r="13" spans="1:14" s="125" customFormat="1" ht="69" customHeight="1">
      <c r="A13" s="226"/>
      <c r="B13" s="226" t="s">
        <v>35</v>
      </c>
      <c r="C13" s="226" t="s">
        <v>502</v>
      </c>
      <c r="D13" s="234" t="s">
        <v>36</v>
      </c>
      <c r="E13" s="353" t="s">
        <v>653</v>
      </c>
      <c r="F13" s="81">
        <f>300000+300000+2182559+617664+1055094-55000</f>
        <v>4400317</v>
      </c>
      <c r="G13" s="75">
        <f>1039450+282336+414386+55000</f>
        <v>1791172</v>
      </c>
      <c r="H13" s="81">
        <f>F13+G13</f>
        <v>6191489</v>
      </c>
      <c r="I13" s="183"/>
      <c r="J13" s="137"/>
      <c r="M13" s="138"/>
      <c r="N13" s="139"/>
    </row>
    <row r="14" spans="1:13" s="125" customFormat="1" ht="63">
      <c r="A14" s="226"/>
      <c r="B14" s="226" t="s">
        <v>82</v>
      </c>
      <c r="C14" s="226" t="s">
        <v>502</v>
      </c>
      <c r="D14" s="234" t="s">
        <v>108</v>
      </c>
      <c r="E14" s="360" t="s">
        <v>663</v>
      </c>
      <c r="F14" s="81">
        <f>200000+678904</f>
        <v>878904</v>
      </c>
      <c r="G14" s="81"/>
      <c r="H14" s="75">
        <f aca="true" t="shared" si="0" ref="H14:H23">G14+F14</f>
        <v>878904</v>
      </c>
      <c r="I14" s="183"/>
      <c r="J14" s="127"/>
      <c r="M14" s="200"/>
    </row>
    <row r="15" spans="1:13" s="125" customFormat="1" ht="63.75" customHeight="1">
      <c r="A15" s="226"/>
      <c r="B15" s="226" t="s">
        <v>102</v>
      </c>
      <c r="C15" s="226" t="s">
        <v>503</v>
      </c>
      <c r="D15" s="234" t="s">
        <v>242</v>
      </c>
      <c r="E15" s="357" t="s">
        <v>660</v>
      </c>
      <c r="F15" s="81"/>
      <c r="G15" s="75">
        <v>2208000</v>
      </c>
      <c r="H15" s="83">
        <f t="shared" si="0"/>
        <v>2208000</v>
      </c>
      <c r="I15" s="183"/>
      <c r="J15" s="137"/>
      <c r="M15" s="200"/>
    </row>
    <row r="16" spans="1:13" s="125" customFormat="1" ht="66" customHeight="1">
      <c r="A16" s="233"/>
      <c r="B16" s="233">
        <v>240900</v>
      </c>
      <c r="C16" s="226" t="s">
        <v>504</v>
      </c>
      <c r="D16" s="234" t="s">
        <v>239</v>
      </c>
      <c r="E16" s="328" t="s">
        <v>641</v>
      </c>
      <c r="F16" s="84"/>
      <c r="G16" s="75">
        <f>160000+104095-15000</f>
        <v>249095</v>
      </c>
      <c r="H16" s="75">
        <f t="shared" si="0"/>
        <v>249095</v>
      </c>
      <c r="I16" s="183"/>
      <c r="J16" s="137"/>
      <c r="M16" s="200"/>
    </row>
    <row r="17" spans="1:14" s="125" customFormat="1" ht="48.75" customHeight="1">
      <c r="A17" s="397"/>
      <c r="B17" s="397">
        <v>250404</v>
      </c>
      <c r="C17" s="392" t="s">
        <v>504</v>
      </c>
      <c r="D17" s="390" t="s">
        <v>96</v>
      </c>
      <c r="E17" s="253" t="s">
        <v>585</v>
      </c>
      <c r="F17" s="208">
        <v>364797</v>
      </c>
      <c r="G17" s="201"/>
      <c r="H17" s="180">
        <f t="shared" si="0"/>
        <v>364797</v>
      </c>
      <c r="I17" s="183"/>
      <c r="J17" s="127"/>
      <c r="M17" s="138"/>
      <c r="N17" s="139"/>
    </row>
    <row r="18" spans="1:13" s="125" customFormat="1" ht="47.25">
      <c r="A18" s="408"/>
      <c r="B18" s="408"/>
      <c r="C18" s="396"/>
      <c r="D18" s="401"/>
      <c r="E18" s="255" t="s">
        <v>586</v>
      </c>
      <c r="F18" s="81">
        <v>320052</v>
      </c>
      <c r="G18" s="81"/>
      <c r="H18" s="75">
        <f t="shared" si="0"/>
        <v>320052</v>
      </c>
      <c r="I18" s="183"/>
      <c r="J18" s="127"/>
      <c r="M18" s="200"/>
    </row>
    <row r="19" spans="1:13" s="125" customFormat="1" ht="70.5" customHeight="1">
      <c r="A19" s="408"/>
      <c r="B19" s="408"/>
      <c r="C19" s="396"/>
      <c r="D19" s="401"/>
      <c r="E19" s="255" t="s">
        <v>588</v>
      </c>
      <c r="F19" s="81">
        <f>5944170-242900-555800</f>
        <v>5145470</v>
      </c>
      <c r="G19" s="81"/>
      <c r="H19" s="75">
        <f t="shared" si="0"/>
        <v>5145470</v>
      </c>
      <c r="I19" s="183"/>
      <c r="J19" s="127"/>
      <c r="M19" s="200"/>
    </row>
    <row r="20" spans="1:13" s="125" customFormat="1" ht="55.5" customHeight="1" hidden="1">
      <c r="A20" s="408"/>
      <c r="B20" s="408"/>
      <c r="C20" s="396"/>
      <c r="D20" s="401"/>
      <c r="E20" s="234" t="s">
        <v>473</v>
      </c>
      <c r="F20" s="81"/>
      <c r="G20" s="75"/>
      <c r="H20" s="75">
        <f t="shared" si="0"/>
        <v>0</v>
      </c>
      <c r="I20" s="183"/>
      <c r="J20" s="127"/>
      <c r="M20" s="200"/>
    </row>
    <row r="21" spans="1:13" s="125" customFormat="1" ht="55.5" customHeight="1">
      <c r="A21" s="408"/>
      <c r="B21" s="408"/>
      <c r="C21" s="396"/>
      <c r="D21" s="401"/>
      <c r="E21" s="255" t="s">
        <v>587</v>
      </c>
      <c r="F21" s="81">
        <v>49800</v>
      </c>
      <c r="G21" s="75"/>
      <c r="H21" s="75">
        <f t="shared" si="0"/>
        <v>49800</v>
      </c>
      <c r="I21" s="183"/>
      <c r="J21" s="127"/>
      <c r="M21" s="200"/>
    </row>
    <row r="22" spans="1:13" s="125" customFormat="1" ht="55.5" customHeight="1">
      <c r="A22" s="408"/>
      <c r="B22" s="408"/>
      <c r="C22" s="396"/>
      <c r="D22" s="401"/>
      <c r="E22" s="255" t="s">
        <v>597</v>
      </c>
      <c r="F22" s="81">
        <v>240000</v>
      </c>
      <c r="G22" s="75">
        <v>275000</v>
      </c>
      <c r="H22" s="75">
        <f t="shared" si="0"/>
        <v>515000</v>
      </c>
      <c r="I22" s="183"/>
      <c r="J22" s="127"/>
      <c r="M22" s="200"/>
    </row>
    <row r="23" spans="1:13" s="125" customFormat="1" ht="55.5" customHeight="1">
      <c r="A23" s="398"/>
      <c r="B23" s="398"/>
      <c r="C23" s="393"/>
      <c r="D23" s="391"/>
      <c r="E23" s="357" t="s">
        <v>660</v>
      </c>
      <c r="F23" s="81">
        <f>2305786-400000</f>
        <v>1905786</v>
      </c>
      <c r="G23" s="75"/>
      <c r="H23" s="75">
        <f t="shared" si="0"/>
        <v>1905786</v>
      </c>
      <c r="I23" s="183"/>
      <c r="J23" s="127"/>
      <c r="M23" s="200"/>
    </row>
    <row r="24" spans="1:13" s="125" customFormat="1" ht="31.5">
      <c r="A24" s="112"/>
      <c r="B24" s="112" t="s">
        <v>156</v>
      </c>
      <c r="C24" s="112"/>
      <c r="D24" s="113" t="s">
        <v>649</v>
      </c>
      <c r="E24" s="234"/>
      <c r="F24" s="85">
        <f>F26+F27+F29+F30+F31+F33+F34+F35+F36+F38+F39+F40+F41+F47+F48+F49+F50+F52+F53+F54+F55+F56+F58+F59+F60+F61+F62+F64+F65+F66+F68+F69+F28+F32+F37++F63+F43+F44+F51+F45+F46+F67</f>
        <v>177868988</v>
      </c>
      <c r="G24" s="85">
        <f>G26+G27+G29+G30+G31+G33+G34+G35+G36+G38+G39+G40+G41+G47+G48+G49+G50+G52+G53+G54+G55+G56+G58+G59+G60+G61+G62+G64+G65+G66+G68+G69+G28+G32+G37++G63+G43+G44+G51+G45+G46+G67</f>
        <v>163245320</v>
      </c>
      <c r="H24" s="85">
        <f>H26+H27+H29+H30+H31+H33+H34+H35+H36+H38+H39+H40+H41+H47+H48+H49+H50+H52+H53+H54+H55+H56+H58+H59+H60+H61+H62+H64+H65+H66+H68+H69+H28+H32+H37++H63+H43+H44+H51+H45+H46+H67</f>
        <v>341114308</v>
      </c>
      <c r="I24" s="181">
        <f>I26+I27+I29+I30+I31+I33+I34+I35+I36+I38+I39+I40+I41+I47+I48+I49+I50+I52+I53+I54+I55+I56+I58+I59+I60+I61+I62+I64+I65+I66+I68+I69</f>
        <v>554177</v>
      </c>
      <c r="J24" s="137"/>
      <c r="M24" s="200"/>
    </row>
    <row r="25" spans="1:13" s="125" customFormat="1" ht="43.5" customHeight="1" hidden="1">
      <c r="A25" s="182"/>
      <c r="B25" s="182" t="s">
        <v>180</v>
      </c>
      <c r="C25" s="227"/>
      <c r="D25" s="390" t="s">
        <v>181</v>
      </c>
      <c r="E25" s="229" t="s">
        <v>135</v>
      </c>
      <c r="F25" s="81"/>
      <c r="G25" s="75"/>
      <c r="H25" s="75">
        <f aca="true" t="shared" si="1" ref="H25:H82">F25+G25</f>
        <v>0</v>
      </c>
      <c r="I25" s="183"/>
      <c r="J25" s="127"/>
      <c r="M25" s="200"/>
    </row>
    <row r="26" spans="1:13" s="125" customFormat="1" ht="51.75" customHeight="1">
      <c r="A26" s="225"/>
      <c r="B26" s="301" t="s">
        <v>180</v>
      </c>
      <c r="C26" s="245" t="s">
        <v>501</v>
      </c>
      <c r="D26" s="391"/>
      <c r="E26" s="283" t="s">
        <v>604</v>
      </c>
      <c r="F26" s="81"/>
      <c r="G26" s="83">
        <f>90000-16400</f>
        <v>73600</v>
      </c>
      <c r="H26" s="75">
        <f t="shared" si="1"/>
        <v>73600</v>
      </c>
      <c r="I26" s="183"/>
      <c r="J26" s="137"/>
      <c r="M26" s="200"/>
    </row>
    <row r="27" spans="1:13" s="125" customFormat="1" ht="33" customHeight="1">
      <c r="A27" s="400"/>
      <c r="B27" s="404" t="s">
        <v>71</v>
      </c>
      <c r="C27" s="392" t="s">
        <v>505</v>
      </c>
      <c r="D27" s="416" t="s">
        <v>111</v>
      </c>
      <c r="E27" s="283" t="s">
        <v>604</v>
      </c>
      <c r="F27" s="81">
        <f>32782294+819641+1433539+42024+74500+5280129-829189+3314683+403230+129181</f>
        <v>43450032</v>
      </c>
      <c r="G27" s="81">
        <f>3907580+19960709+3393363-554020+657290-74500+8741787+829189+4854244-5880-687397-6600833+776781-300000</f>
        <v>34898313</v>
      </c>
      <c r="H27" s="75">
        <f t="shared" si="1"/>
        <v>78348345</v>
      </c>
      <c r="I27" s="181"/>
      <c r="J27" s="137"/>
      <c r="L27" s="139"/>
      <c r="M27" s="138"/>
    </row>
    <row r="28" spans="1:13" s="125" customFormat="1" ht="70.5" customHeight="1" hidden="1">
      <c r="A28" s="400"/>
      <c r="B28" s="411"/>
      <c r="C28" s="396"/>
      <c r="D28" s="416"/>
      <c r="E28" s="234" t="s">
        <v>559</v>
      </c>
      <c r="F28" s="81"/>
      <c r="G28" s="81"/>
      <c r="H28" s="75">
        <f t="shared" si="1"/>
        <v>0</v>
      </c>
      <c r="I28" s="181"/>
      <c r="J28" s="137"/>
      <c r="L28" s="139"/>
      <c r="M28" s="138"/>
    </row>
    <row r="29" spans="1:13" s="125" customFormat="1" ht="47.25">
      <c r="A29" s="400"/>
      <c r="B29" s="411"/>
      <c r="C29" s="396"/>
      <c r="D29" s="416"/>
      <c r="E29" s="114" t="s">
        <v>612</v>
      </c>
      <c r="F29" s="86">
        <f>107000+51500+20000+2000+14000+19000+76000+4500+10000+19890+178522+10000+21000+3000+5000+22000+46404+53000+718695+373405+65000</f>
        <v>1819916</v>
      </c>
      <c r="G29" s="86">
        <f>36000+37300+9000+9000+47000+9000+13000+37000+10000+7599+61000-2404-1000+250650+111200+30000</f>
        <v>664345</v>
      </c>
      <c r="H29" s="86">
        <f t="shared" si="1"/>
        <v>2484261</v>
      </c>
      <c r="I29" s="183"/>
      <c r="J29" s="127"/>
      <c r="M29" s="200"/>
    </row>
    <row r="30" spans="1:13" s="125" customFormat="1" ht="36.75" customHeight="1">
      <c r="A30" s="400"/>
      <c r="B30" s="392" t="s">
        <v>72</v>
      </c>
      <c r="C30" s="392" t="s">
        <v>506</v>
      </c>
      <c r="D30" s="395" t="s">
        <v>112</v>
      </c>
      <c r="E30" s="283" t="s">
        <v>604</v>
      </c>
      <c r="F30" s="81">
        <f>59625947+720875+1150221+177854+1436419-77800+1248228+179207+402200+51509+189453</f>
        <v>65104113</v>
      </c>
      <c r="G30" s="81">
        <f>6431668+302811+8291922+7846611+554020-262229+1561893+19909582-42+2269300+170489+267800+6848371-179207+450386-833118-50000</f>
        <v>53580257</v>
      </c>
      <c r="H30" s="75">
        <f t="shared" si="1"/>
        <v>118684370</v>
      </c>
      <c r="I30" s="181">
        <v>302811</v>
      </c>
      <c r="J30" s="137"/>
      <c r="K30" s="139"/>
      <c r="L30" s="139"/>
      <c r="M30" s="200"/>
    </row>
    <row r="31" spans="1:13" s="125" customFormat="1" ht="45" customHeight="1">
      <c r="A31" s="400"/>
      <c r="B31" s="396"/>
      <c r="C31" s="396"/>
      <c r="D31" s="395"/>
      <c r="E31" s="255" t="s">
        <v>589</v>
      </c>
      <c r="F31" s="81">
        <v>773619</v>
      </c>
      <c r="G31" s="75">
        <v>169486</v>
      </c>
      <c r="H31" s="75">
        <f t="shared" si="1"/>
        <v>943105</v>
      </c>
      <c r="I31" s="183">
        <v>169486</v>
      </c>
      <c r="J31" s="127"/>
      <c r="M31" s="200"/>
    </row>
    <row r="32" spans="1:13" s="125" customFormat="1" ht="75.75" customHeight="1" hidden="1">
      <c r="A32" s="400"/>
      <c r="B32" s="396"/>
      <c r="C32" s="396"/>
      <c r="D32" s="395"/>
      <c r="E32" s="242" t="s">
        <v>559</v>
      </c>
      <c r="F32" s="81"/>
      <c r="G32" s="75"/>
      <c r="H32" s="75">
        <f t="shared" si="1"/>
        <v>0</v>
      </c>
      <c r="I32" s="183"/>
      <c r="J32" s="127"/>
      <c r="M32" s="200"/>
    </row>
    <row r="33" spans="1:13" s="125" customFormat="1" ht="47.25">
      <c r="A33" s="400"/>
      <c r="B33" s="393"/>
      <c r="C33" s="393"/>
      <c r="D33" s="395"/>
      <c r="E33" s="114" t="s">
        <v>612</v>
      </c>
      <c r="F33" s="86">
        <f>159500+60000+10000+53165+11000+111500+176000+85000+1000+3000+10000+50000+196635+50000+193000+19000+104087+12026+29000+9500+27000+32559+6000+1632173+485950+31070</f>
        <v>3558165</v>
      </c>
      <c r="G33" s="116">
        <f>49500+123000+20000+7000+30000+102400+21000+9000+20000+5000-35635+56000+38879+103000+58000+24161+566014+194800+72000</f>
        <v>1464119</v>
      </c>
      <c r="H33" s="75">
        <f>F33+G33</f>
        <v>5022284</v>
      </c>
      <c r="I33" s="183"/>
      <c r="J33" s="127"/>
      <c r="M33" s="200"/>
    </row>
    <row r="34" spans="1:13" s="125" customFormat="1" ht="35.25" customHeight="1">
      <c r="A34" s="182"/>
      <c r="B34" s="392" t="s">
        <v>73</v>
      </c>
      <c r="C34" s="392" t="s">
        <v>506</v>
      </c>
      <c r="D34" s="390" t="s">
        <v>113</v>
      </c>
      <c r="E34" s="283" t="s">
        <v>604</v>
      </c>
      <c r="F34" s="81">
        <f>39268+12213-10603</f>
        <v>40878</v>
      </c>
      <c r="G34" s="75">
        <f>29500-29500+150042+20630</f>
        <v>170672</v>
      </c>
      <c r="H34" s="75">
        <f t="shared" si="1"/>
        <v>211550</v>
      </c>
      <c r="I34" s="181"/>
      <c r="J34" s="137"/>
      <c r="L34" s="139"/>
      <c r="M34" s="200"/>
    </row>
    <row r="35" spans="1:13" s="125" customFormat="1" ht="47.25" customHeight="1">
      <c r="A35" s="121"/>
      <c r="B35" s="393"/>
      <c r="C35" s="393"/>
      <c r="D35" s="391"/>
      <c r="E35" s="114" t="s">
        <v>612</v>
      </c>
      <c r="F35" s="86">
        <f>5000+7000</f>
        <v>12000</v>
      </c>
      <c r="G35" s="116">
        <f>20000+10000</f>
        <v>30000</v>
      </c>
      <c r="H35" s="75">
        <f t="shared" si="1"/>
        <v>42000</v>
      </c>
      <c r="I35" s="181"/>
      <c r="J35" s="137"/>
      <c r="M35" s="200"/>
    </row>
    <row r="36" spans="1:13" s="125" customFormat="1" ht="39" customHeight="1">
      <c r="A36" s="395"/>
      <c r="B36" s="392" t="s">
        <v>30</v>
      </c>
      <c r="C36" s="392" t="s">
        <v>507</v>
      </c>
      <c r="D36" s="402" t="s">
        <v>31</v>
      </c>
      <c r="E36" s="283" t="s">
        <v>604</v>
      </c>
      <c r="F36" s="81">
        <f>876904+70400+384900+129000</f>
        <v>1461204</v>
      </c>
      <c r="G36" s="81">
        <f>27600-27600+1018376</f>
        <v>1018376</v>
      </c>
      <c r="H36" s="75">
        <f t="shared" si="1"/>
        <v>2479580</v>
      </c>
      <c r="I36" s="181"/>
      <c r="J36" s="137"/>
      <c r="M36" s="200"/>
    </row>
    <row r="37" spans="1:13" s="125" customFormat="1" ht="72" customHeight="1" hidden="1">
      <c r="A37" s="395"/>
      <c r="B37" s="396"/>
      <c r="C37" s="396"/>
      <c r="D37" s="402"/>
      <c r="E37" s="234" t="s">
        <v>559</v>
      </c>
      <c r="F37" s="81"/>
      <c r="G37" s="81"/>
      <c r="H37" s="75">
        <f t="shared" si="1"/>
        <v>0</v>
      </c>
      <c r="I37" s="181"/>
      <c r="J37" s="137"/>
      <c r="M37" s="200"/>
    </row>
    <row r="38" spans="1:14" s="125" customFormat="1" ht="47.25">
      <c r="A38" s="395"/>
      <c r="B38" s="396"/>
      <c r="C38" s="396"/>
      <c r="D38" s="402"/>
      <c r="E38" s="114" t="s">
        <v>612</v>
      </c>
      <c r="F38" s="94">
        <f>1000+2000+7000+7900+10000+7000+12000+126000</f>
        <v>172900</v>
      </c>
      <c r="G38" s="94">
        <f>1000+1000+4900+4000-7900+20000+9000</f>
        <v>32000</v>
      </c>
      <c r="H38" s="75">
        <f t="shared" si="1"/>
        <v>204900</v>
      </c>
      <c r="I38" s="183"/>
      <c r="J38" s="127"/>
      <c r="M38" s="138"/>
      <c r="N38" s="139"/>
    </row>
    <row r="39" spans="1:14" s="125" customFormat="1" ht="54.75" customHeight="1" hidden="1">
      <c r="A39" s="395"/>
      <c r="B39" s="393"/>
      <c r="C39" s="393"/>
      <c r="D39" s="402"/>
      <c r="E39" s="234" t="s">
        <v>17</v>
      </c>
      <c r="F39" s="75"/>
      <c r="G39" s="173"/>
      <c r="H39" s="75">
        <f t="shared" si="1"/>
        <v>0</v>
      </c>
      <c r="I39" s="183"/>
      <c r="J39" s="127"/>
      <c r="M39" s="138"/>
      <c r="N39" s="139"/>
    </row>
    <row r="40" spans="1:13" s="125" customFormat="1" ht="33" customHeight="1" hidden="1">
      <c r="A40" s="226"/>
      <c r="B40" s="227" t="s">
        <v>326</v>
      </c>
      <c r="C40" s="227" t="s">
        <v>508</v>
      </c>
      <c r="D40" s="230" t="s">
        <v>325</v>
      </c>
      <c r="E40" s="234" t="s">
        <v>563</v>
      </c>
      <c r="F40" s="83"/>
      <c r="G40" s="75"/>
      <c r="H40" s="75">
        <f t="shared" si="1"/>
        <v>0</v>
      </c>
      <c r="I40" s="183"/>
      <c r="J40" s="137"/>
      <c r="M40" s="200"/>
    </row>
    <row r="41" spans="1:13" s="125" customFormat="1" ht="39" customHeight="1" hidden="1">
      <c r="A41" s="392"/>
      <c r="B41" s="392" t="s">
        <v>419</v>
      </c>
      <c r="C41" s="227" t="s">
        <v>508</v>
      </c>
      <c r="D41" s="390" t="s">
        <v>486</v>
      </c>
      <c r="E41" s="234" t="s">
        <v>563</v>
      </c>
      <c r="F41" s="75"/>
      <c r="G41" s="75"/>
      <c r="H41" s="75">
        <f t="shared" si="1"/>
        <v>0</v>
      </c>
      <c r="I41" s="183"/>
      <c r="J41" s="137"/>
      <c r="M41" s="200"/>
    </row>
    <row r="42" spans="1:13" s="125" customFormat="1" ht="63.75" customHeight="1" hidden="1">
      <c r="A42" s="393"/>
      <c r="B42" s="393"/>
      <c r="C42" s="225"/>
      <c r="D42" s="391"/>
      <c r="E42" s="234" t="s">
        <v>125</v>
      </c>
      <c r="F42" s="75"/>
      <c r="G42" s="75"/>
      <c r="H42" s="75">
        <f t="shared" si="1"/>
        <v>0</v>
      </c>
      <c r="I42" s="183"/>
      <c r="J42" s="127"/>
      <c r="M42" s="200"/>
    </row>
    <row r="43" spans="1:13" s="125" customFormat="1" ht="49.5" customHeight="1">
      <c r="A43" s="392"/>
      <c r="B43" s="395" t="s">
        <v>580</v>
      </c>
      <c r="C43" s="395" t="s">
        <v>581</v>
      </c>
      <c r="D43" s="402" t="s">
        <v>582</v>
      </c>
      <c r="E43" s="379" t="s">
        <v>606</v>
      </c>
      <c r="F43" s="75">
        <v>50289342</v>
      </c>
      <c r="G43" s="75"/>
      <c r="H43" s="75">
        <f t="shared" si="1"/>
        <v>50289342</v>
      </c>
      <c r="I43" s="183"/>
      <c r="J43" s="127"/>
      <c r="M43" s="200"/>
    </row>
    <row r="44" spans="1:13" s="125" customFormat="1" ht="48" customHeight="1">
      <c r="A44" s="393"/>
      <c r="B44" s="395"/>
      <c r="C44" s="395"/>
      <c r="D44" s="402"/>
      <c r="E44" s="114" t="s">
        <v>612</v>
      </c>
      <c r="F44" s="94">
        <f>35000+21000+81000+19900</f>
        <v>156900</v>
      </c>
      <c r="G44" s="94">
        <f>25000+7000+4000-11000+22000+70000+35100</f>
        <v>152100</v>
      </c>
      <c r="H44" s="94">
        <f t="shared" si="1"/>
        <v>309000</v>
      </c>
      <c r="I44" s="183"/>
      <c r="J44" s="127"/>
      <c r="M44" s="200"/>
    </row>
    <row r="45" spans="1:13" s="125" customFormat="1" ht="41.25" customHeight="1">
      <c r="A45" s="279"/>
      <c r="B45" s="279" t="s">
        <v>326</v>
      </c>
      <c r="C45" s="278" t="s">
        <v>508</v>
      </c>
      <c r="D45" s="281" t="s">
        <v>325</v>
      </c>
      <c r="E45" s="283" t="s">
        <v>604</v>
      </c>
      <c r="F45" s="75"/>
      <c r="G45" s="75">
        <f>23961-23961+118531</f>
        <v>118531</v>
      </c>
      <c r="H45" s="75">
        <f t="shared" si="1"/>
        <v>118531</v>
      </c>
      <c r="I45" s="183"/>
      <c r="J45" s="127"/>
      <c r="M45" s="200"/>
    </row>
    <row r="46" spans="1:13" s="125" customFormat="1" ht="41.25" customHeight="1">
      <c r="A46" s="282"/>
      <c r="B46" s="282" t="s">
        <v>419</v>
      </c>
      <c r="C46" s="278" t="s">
        <v>508</v>
      </c>
      <c r="D46" s="283" t="s">
        <v>486</v>
      </c>
      <c r="E46" s="283" t="s">
        <v>604</v>
      </c>
      <c r="F46" s="75"/>
      <c r="G46" s="75">
        <f>54000-54000+50799</f>
        <v>50799</v>
      </c>
      <c r="H46" s="75">
        <f t="shared" si="1"/>
        <v>50799</v>
      </c>
      <c r="I46" s="183"/>
      <c r="J46" s="127"/>
      <c r="M46" s="200"/>
    </row>
    <row r="47" spans="1:13" s="125" customFormat="1" ht="31.5" customHeight="1">
      <c r="A47" s="227"/>
      <c r="B47" s="227" t="s">
        <v>333</v>
      </c>
      <c r="C47" s="227" t="s">
        <v>508</v>
      </c>
      <c r="D47" s="230" t="s">
        <v>334</v>
      </c>
      <c r="E47" s="283" t="s">
        <v>604</v>
      </c>
      <c r="F47" s="75">
        <f>199900+17900+110976+51237+16000</f>
        <v>396013</v>
      </c>
      <c r="G47" s="75">
        <f>598910-17900-110976-51237+525856</f>
        <v>944653</v>
      </c>
      <c r="H47" s="75">
        <f t="shared" si="1"/>
        <v>1340666</v>
      </c>
      <c r="I47" s="181"/>
      <c r="J47" s="137"/>
      <c r="L47" s="139"/>
      <c r="M47" s="200"/>
    </row>
    <row r="48" spans="1:13" s="125" customFormat="1" ht="36" customHeight="1">
      <c r="A48" s="228"/>
      <c r="B48" s="226" t="s">
        <v>327</v>
      </c>
      <c r="C48" s="226" t="s">
        <v>508</v>
      </c>
      <c r="D48" s="234" t="s">
        <v>328</v>
      </c>
      <c r="E48" s="283" t="s">
        <v>604</v>
      </c>
      <c r="F48" s="75">
        <f>39497+193314+190064</f>
        <v>422875</v>
      </c>
      <c r="G48" s="75">
        <f>16000+260000-260000</f>
        <v>16000</v>
      </c>
      <c r="H48" s="75">
        <f t="shared" si="1"/>
        <v>438875</v>
      </c>
      <c r="I48" s="183">
        <v>16000</v>
      </c>
      <c r="J48" s="127"/>
      <c r="M48" s="200"/>
    </row>
    <row r="49" spans="1:13" s="125" customFormat="1" ht="33.75" customHeight="1">
      <c r="A49" s="263"/>
      <c r="B49" s="406" t="s">
        <v>136</v>
      </c>
      <c r="C49" s="392" t="s">
        <v>508</v>
      </c>
      <c r="D49" s="390" t="s">
        <v>123</v>
      </c>
      <c r="E49" s="283" t="s">
        <v>604</v>
      </c>
      <c r="F49" s="75">
        <v>153000</v>
      </c>
      <c r="G49" s="75">
        <v>15020</v>
      </c>
      <c r="H49" s="75">
        <f t="shared" si="1"/>
        <v>168020</v>
      </c>
      <c r="I49" s="183"/>
      <c r="J49" s="127"/>
      <c r="M49" s="200"/>
    </row>
    <row r="50" spans="1:13" s="125" customFormat="1" ht="51" customHeight="1" hidden="1">
      <c r="A50" s="224"/>
      <c r="B50" s="409"/>
      <c r="C50" s="396"/>
      <c r="D50" s="401"/>
      <c r="E50" s="114" t="s">
        <v>544</v>
      </c>
      <c r="F50" s="75"/>
      <c r="G50" s="94"/>
      <c r="H50" s="75">
        <f t="shared" si="1"/>
        <v>0</v>
      </c>
      <c r="I50" s="183"/>
      <c r="J50" s="127"/>
      <c r="M50" s="200"/>
    </row>
    <row r="51" spans="1:13" s="125" customFormat="1" ht="51" customHeight="1">
      <c r="A51" s="262"/>
      <c r="B51" s="263" t="s">
        <v>600</v>
      </c>
      <c r="C51" s="263" t="s">
        <v>601</v>
      </c>
      <c r="D51" s="264" t="s">
        <v>602</v>
      </c>
      <c r="E51" s="268" t="s">
        <v>17</v>
      </c>
      <c r="F51" s="75">
        <v>61873</v>
      </c>
      <c r="G51" s="94"/>
      <c r="H51" s="75">
        <f t="shared" si="1"/>
        <v>61873</v>
      </c>
      <c r="I51" s="183"/>
      <c r="J51" s="127"/>
      <c r="M51" s="200"/>
    </row>
    <row r="52" spans="1:13" s="125" customFormat="1" ht="31.5" hidden="1">
      <c r="A52" s="118"/>
      <c r="B52" s="118" t="s">
        <v>85</v>
      </c>
      <c r="C52" s="118" t="s">
        <v>509</v>
      </c>
      <c r="D52" s="234" t="s">
        <v>32</v>
      </c>
      <c r="E52" s="255" t="s">
        <v>590</v>
      </c>
      <c r="F52" s="80"/>
      <c r="G52" s="80"/>
      <c r="H52" s="75">
        <f t="shared" si="1"/>
        <v>0</v>
      </c>
      <c r="I52" s="183"/>
      <c r="J52" s="127"/>
      <c r="M52" s="200"/>
    </row>
    <row r="53" spans="1:14" s="125" customFormat="1" ht="78.75">
      <c r="A53" s="226"/>
      <c r="B53" s="226" t="s">
        <v>74</v>
      </c>
      <c r="C53" s="226" t="s">
        <v>509</v>
      </c>
      <c r="D53" s="234" t="s">
        <v>107</v>
      </c>
      <c r="E53" s="255" t="s">
        <v>589</v>
      </c>
      <c r="F53" s="81">
        <v>9996158</v>
      </c>
      <c r="G53" s="89"/>
      <c r="H53" s="75">
        <f t="shared" si="1"/>
        <v>9996158</v>
      </c>
      <c r="I53" s="183"/>
      <c r="J53" s="127"/>
      <c r="M53" s="138"/>
      <c r="N53" s="139"/>
    </row>
    <row r="54" spans="1:13" s="125" customFormat="1" ht="47.25" hidden="1">
      <c r="A54" s="227"/>
      <c r="B54" s="223" t="s">
        <v>172</v>
      </c>
      <c r="C54" s="227" t="s">
        <v>510</v>
      </c>
      <c r="D54" s="237" t="s">
        <v>173</v>
      </c>
      <c r="E54" s="330" t="s">
        <v>643</v>
      </c>
      <c r="F54" s="81"/>
      <c r="G54" s="89"/>
      <c r="H54" s="75">
        <f t="shared" si="1"/>
        <v>0</v>
      </c>
      <c r="I54" s="183"/>
      <c r="J54" s="127"/>
      <c r="M54" s="200"/>
    </row>
    <row r="55" spans="1:13" s="125" customFormat="1" ht="47.25" hidden="1">
      <c r="A55" s="226"/>
      <c r="B55" s="226" t="s">
        <v>256</v>
      </c>
      <c r="C55" s="226" t="s">
        <v>510</v>
      </c>
      <c r="D55" s="234" t="s">
        <v>257</v>
      </c>
      <c r="E55" s="330" t="s">
        <v>643</v>
      </c>
      <c r="F55" s="81"/>
      <c r="G55" s="75"/>
      <c r="H55" s="75">
        <f t="shared" si="1"/>
        <v>0</v>
      </c>
      <c r="I55" s="183"/>
      <c r="J55" s="127"/>
      <c r="M55" s="200"/>
    </row>
    <row r="56" spans="1:13" s="125" customFormat="1" ht="48.75" customHeight="1" hidden="1">
      <c r="A56" s="396"/>
      <c r="B56" s="227">
        <v>130107</v>
      </c>
      <c r="C56" s="227" t="s">
        <v>510</v>
      </c>
      <c r="D56" s="207" t="s">
        <v>206</v>
      </c>
      <c r="E56" s="330" t="s">
        <v>643</v>
      </c>
      <c r="F56" s="81"/>
      <c r="G56" s="81"/>
      <c r="H56" s="75">
        <f t="shared" si="1"/>
        <v>0</v>
      </c>
      <c r="I56" s="183"/>
      <c r="J56" s="137"/>
      <c r="L56" s="139"/>
      <c r="M56" s="200"/>
    </row>
    <row r="57" spans="1:13" s="125" customFormat="1" ht="45" customHeight="1" hidden="1">
      <c r="A57" s="393"/>
      <c r="B57" s="121"/>
      <c r="C57" s="121"/>
      <c r="D57" s="220"/>
      <c r="E57" s="114" t="s">
        <v>493</v>
      </c>
      <c r="F57" s="82"/>
      <c r="G57" s="82"/>
      <c r="H57" s="82"/>
      <c r="I57" s="181"/>
      <c r="J57" s="137"/>
      <c r="M57" s="200"/>
    </row>
    <row r="58" spans="1:13" s="125" customFormat="1" ht="47.25" hidden="1">
      <c r="A58" s="226"/>
      <c r="B58" s="226" t="s">
        <v>170</v>
      </c>
      <c r="C58" s="226" t="s">
        <v>510</v>
      </c>
      <c r="D58" s="234" t="s">
        <v>171</v>
      </c>
      <c r="E58" s="330" t="s">
        <v>643</v>
      </c>
      <c r="F58" s="81"/>
      <c r="G58" s="75"/>
      <c r="H58" s="75">
        <f>F58+G58</f>
        <v>0</v>
      </c>
      <c r="I58" s="183"/>
      <c r="J58" s="127"/>
      <c r="M58" s="200"/>
    </row>
    <row r="59" spans="1:13" s="125" customFormat="1" ht="51.75" customHeight="1" hidden="1">
      <c r="A59" s="233"/>
      <c r="B59" s="206">
        <v>130112</v>
      </c>
      <c r="C59" s="226" t="s">
        <v>510</v>
      </c>
      <c r="D59" s="234" t="s">
        <v>96</v>
      </c>
      <c r="E59" s="330" t="s">
        <v>643</v>
      </c>
      <c r="F59" s="80"/>
      <c r="G59" s="80"/>
      <c r="H59" s="75">
        <f t="shared" si="1"/>
        <v>0</v>
      </c>
      <c r="I59" s="243">
        <v>65880</v>
      </c>
      <c r="J59" s="137"/>
      <c r="M59" s="200"/>
    </row>
    <row r="60" spans="1:13" s="125" customFormat="1" ht="34.5" customHeight="1">
      <c r="A60" s="392"/>
      <c r="B60" s="406" t="s">
        <v>88</v>
      </c>
      <c r="C60" s="392" t="s">
        <v>503</v>
      </c>
      <c r="D60" s="417" t="s">
        <v>89</v>
      </c>
      <c r="E60" s="331" t="s">
        <v>604</v>
      </c>
      <c r="F60" s="83"/>
      <c r="G60" s="93">
        <f>39202905+6220254-578+20094271-13860467-745237-5060000+5131625+5902540-1472916+406942-1699167-824573-970000</f>
        <v>52325599</v>
      </c>
      <c r="H60" s="75">
        <f t="shared" si="1"/>
        <v>52325599</v>
      </c>
      <c r="I60" s="181"/>
      <c r="J60" s="137"/>
      <c r="M60" s="200"/>
    </row>
    <row r="61" spans="1:13" s="125" customFormat="1" ht="52.5" customHeight="1" hidden="1">
      <c r="A61" s="396"/>
      <c r="B61" s="409"/>
      <c r="C61" s="396"/>
      <c r="D61" s="421"/>
      <c r="E61" s="349" t="s">
        <v>643</v>
      </c>
      <c r="F61" s="83"/>
      <c r="G61" s="83"/>
      <c r="H61" s="75">
        <f t="shared" si="1"/>
        <v>0</v>
      </c>
      <c r="I61" s="183"/>
      <c r="J61" s="127"/>
      <c r="M61" s="200"/>
    </row>
    <row r="62" spans="1:13" s="125" customFormat="1" ht="54" customHeight="1">
      <c r="A62" s="226"/>
      <c r="B62" s="226" t="s">
        <v>539</v>
      </c>
      <c r="C62" s="226" t="s">
        <v>506</v>
      </c>
      <c r="D62" s="234" t="s">
        <v>540</v>
      </c>
      <c r="E62" s="283" t="s">
        <v>604</v>
      </c>
      <c r="F62" s="83"/>
      <c r="G62" s="83">
        <f>20487424-2250000+2250000+999545-13797470-2722882-108000</f>
        <v>4858617</v>
      </c>
      <c r="H62" s="75">
        <f>G62+F62</f>
        <v>4858617</v>
      </c>
      <c r="I62" s="183"/>
      <c r="J62" s="127"/>
      <c r="M62" s="200"/>
    </row>
    <row r="63" spans="1:13" s="213" customFormat="1" ht="58.5" customHeight="1">
      <c r="A63" s="210"/>
      <c r="B63" s="226" t="s">
        <v>566</v>
      </c>
      <c r="C63" s="226" t="s">
        <v>507</v>
      </c>
      <c r="D63" s="234" t="s">
        <v>567</v>
      </c>
      <c r="E63" s="283" t="s">
        <v>604</v>
      </c>
      <c r="F63" s="209"/>
      <c r="G63" s="83">
        <f>6407552-4407552</f>
        <v>2000000</v>
      </c>
      <c r="H63" s="75">
        <f>G63+F63</f>
        <v>2000000</v>
      </c>
      <c r="I63" s="211"/>
      <c r="J63" s="212"/>
      <c r="M63" s="214"/>
    </row>
    <row r="64" spans="1:13" s="125" customFormat="1" ht="52.5" customHeight="1" hidden="1">
      <c r="A64" s="226"/>
      <c r="B64" s="226" t="s">
        <v>222</v>
      </c>
      <c r="C64" s="226" t="s">
        <v>511</v>
      </c>
      <c r="D64" s="234" t="s">
        <v>223</v>
      </c>
      <c r="E64" s="229" t="s">
        <v>489</v>
      </c>
      <c r="F64" s="83"/>
      <c r="G64" s="83"/>
      <c r="H64" s="75">
        <f t="shared" si="1"/>
        <v>0</v>
      </c>
      <c r="I64" s="183"/>
      <c r="J64" s="127"/>
      <c r="M64" s="200"/>
    </row>
    <row r="65" spans="1:13" s="125" customFormat="1" ht="52.5" customHeight="1" hidden="1">
      <c r="A65" s="234"/>
      <c r="B65" s="234">
        <v>200700</v>
      </c>
      <c r="C65" s="226" t="s">
        <v>512</v>
      </c>
      <c r="D65" s="234" t="s">
        <v>141</v>
      </c>
      <c r="E65" s="234" t="s">
        <v>546</v>
      </c>
      <c r="F65" s="83"/>
      <c r="G65" s="81"/>
      <c r="H65" s="75">
        <f t="shared" si="1"/>
        <v>0</v>
      </c>
      <c r="I65" s="181"/>
      <c r="J65" s="137"/>
      <c r="M65" s="200"/>
    </row>
    <row r="66" spans="1:13" s="125" customFormat="1" ht="52.5" customHeight="1">
      <c r="A66" s="231"/>
      <c r="B66" s="231">
        <v>240601</v>
      </c>
      <c r="C66" s="226" t="s">
        <v>513</v>
      </c>
      <c r="D66" s="231" t="s">
        <v>110</v>
      </c>
      <c r="E66" s="293" t="s">
        <v>616</v>
      </c>
      <c r="F66" s="83"/>
      <c r="G66" s="81">
        <f>70000+856110-856110+98000+758110</f>
        <v>926110</v>
      </c>
      <c r="H66" s="75">
        <f t="shared" si="1"/>
        <v>926110</v>
      </c>
      <c r="I66" s="181"/>
      <c r="J66" s="137"/>
      <c r="M66" s="200"/>
    </row>
    <row r="67" spans="1:13" s="125" customFormat="1" ht="52.5" customHeight="1">
      <c r="A67" s="355"/>
      <c r="B67" s="355">
        <v>240900</v>
      </c>
      <c r="C67" s="358" t="s">
        <v>504</v>
      </c>
      <c r="D67" s="375" t="s">
        <v>239</v>
      </c>
      <c r="E67" s="357" t="s">
        <v>641</v>
      </c>
      <c r="F67" s="83"/>
      <c r="G67" s="81">
        <v>9736723</v>
      </c>
      <c r="H67" s="75">
        <f t="shared" si="1"/>
        <v>9736723</v>
      </c>
      <c r="I67" s="181"/>
      <c r="J67" s="137"/>
      <c r="M67" s="200"/>
    </row>
    <row r="68" spans="1:13" s="125" customFormat="1" ht="47.25" hidden="1">
      <c r="A68" s="118"/>
      <c r="B68" s="118" t="s">
        <v>28</v>
      </c>
      <c r="C68" s="118" t="s">
        <v>514</v>
      </c>
      <c r="D68" s="234" t="s">
        <v>29</v>
      </c>
      <c r="E68" s="390" t="s">
        <v>617</v>
      </c>
      <c r="F68" s="84"/>
      <c r="G68" s="117"/>
      <c r="H68" s="75">
        <f t="shared" si="1"/>
        <v>0</v>
      </c>
      <c r="I68" s="183"/>
      <c r="J68" s="127"/>
      <c r="M68" s="200"/>
    </row>
    <row r="69" spans="1:14" s="125" customFormat="1" ht="63" hidden="1">
      <c r="A69" s="118"/>
      <c r="B69" s="118" t="s">
        <v>352</v>
      </c>
      <c r="C69" s="118" t="s">
        <v>514</v>
      </c>
      <c r="D69" s="234" t="s">
        <v>353</v>
      </c>
      <c r="E69" s="391"/>
      <c r="F69" s="84"/>
      <c r="G69" s="117"/>
      <c r="H69" s="75">
        <f t="shared" si="1"/>
        <v>0</v>
      </c>
      <c r="I69" s="183"/>
      <c r="J69" s="127"/>
      <c r="M69" s="138"/>
      <c r="N69" s="139"/>
    </row>
    <row r="70" spans="1:14" s="125" customFormat="1" ht="31.5">
      <c r="A70" s="118"/>
      <c r="B70" s="112" t="s">
        <v>651</v>
      </c>
      <c r="C70" s="118"/>
      <c r="D70" s="113" t="s">
        <v>631</v>
      </c>
      <c r="E70" s="357"/>
      <c r="F70" s="85">
        <f>F71+F79+F72+F73+F75+F77+F78+F74+F80+F81+F82+F76</f>
        <v>12321382</v>
      </c>
      <c r="G70" s="85">
        <f>G71+G79+G72+G73+G75+G77+G78+G74+G80+G81+G82+G76</f>
        <v>8956859</v>
      </c>
      <c r="H70" s="85">
        <f>H71+H79+H72+H73+H75+H77+H78+H74+H80+H81+H82+H76</f>
        <v>21278241</v>
      </c>
      <c r="I70" s="183"/>
      <c r="J70" s="127"/>
      <c r="M70" s="138"/>
      <c r="N70" s="139"/>
    </row>
    <row r="71" spans="1:14" s="125" customFormat="1" ht="47.25">
      <c r="A71" s="118"/>
      <c r="B71" s="118" t="s">
        <v>180</v>
      </c>
      <c r="C71" s="118" t="s">
        <v>501</v>
      </c>
      <c r="D71" s="308" t="s">
        <v>181</v>
      </c>
      <c r="E71" s="338" t="s">
        <v>643</v>
      </c>
      <c r="F71" s="84"/>
      <c r="G71" s="117">
        <f>124340-124340+100200</f>
        <v>100200</v>
      </c>
      <c r="H71" s="75">
        <f t="shared" si="1"/>
        <v>100200</v>
      </c>
      <c r="I71" s="183"/>
      <c r="J71" s="127"/>
      <c r="M71" s="138"/>
      <c r="N71" s="139"/>
    </row>
    <row r="72" spans="1:14" s="125" customFormat="1" ht="31.5">
      <c r="A72" s="118"/>
      <c r="B72" s="118" t="s">
        <v>85</v>
      </c>
      <c r="C72" s="118" t="s">
        <v>509</v>
      </c>
      <c r="D72" s="344" t="s">
        <v>32</v>
      </c>
      <c r="E72" s="344" t="s">
        <v>590</v>
      </c>
      <c r="F72" s="80">
        <f>441109+129000</f>
        <v>570109</v>
      </c>
      <c r="G72" s="80"/>
      <c r="H72" s="75">
        <f t="shared" si="1"/>
        <v>570109</v>
      </c>
      <c r="I72" s="183"/>
      <c r="J72" s="127"/>
      <c r="M72" s="138"/>
      <c r="N72" s="139"/>
    </row>
    <row r="73" spans="1:13" s="125" customFormat="1" ht="47.25">
      <c r="A73" s="342"/>
      <c r="B73" s="347" t="s">
        <v>172</v>
      </c>
      <c r="C73" s="342" t="s">
        <v>510</v>
      </c>
      <c r="D73" s="348" t="s">
        <v>173</v>
      </c>
      <c r="E73" s="346" t="s">
        <v>643</v>
      </c>
      <c r="F73" s="81">
        <f>221182+201978-201978+157631</f>
        <v>378813</v>
      </c>
      <c r="G73" s="89"/>
      <c r="H73" s="75">
        <f aca="true" t="shared" si="2" ref="H73:H78">F73+G73</f>
        <v>378813</v>
      </c>
      <c r="I73" s="183"/>
      <c r="J73" s="127"/>
      <c r="M73" s="200"/>
    </row>
    <row r="74" spans="1:13" s="125" customFormat="1" ht="47.25">
      <c r="A74" s="343"/>
      <c r="B74" s="343" t="s">
        <v>256</v>
      </c>
      <c r="C74" s="343" t="s">
        <v>510</v>
      </c>
      <c r="D74" s="344" t="s">
        <v>257</v>
      </c>
      <c r="E74" s="346" t="s">
        <v>643</v>
      </c>
      <c r="F74" s="81">
        <f>73322+63267-63267+43578</f>
        <v>116900</v>
      </c>
      <c r="G74" s="75"/>
      <c r="H74" s="75">
        <f t="shared" si="2"/>
        <v>116900</v>
      </c>
      <c r="I74" s="183"/>
      <c r="J74" s="127"/>
      <c r="M74" s="200"/>
    </row>
    <row r="75" spans="1:13" s="125" customFormat="1" ht="48.75" customHeight="1">
      <c r="A75" s="396"/>
      <c r="B75" s="392">
        <v>130107</v>
      </c>
      <c r="C75" s="392" t="s">
        <v>510</v>
      </c>
      <c r="D75" s="390" t="s">
        <v>206</v>
      </c>
      <c r="E75" s="346" t="s">
        <v>643</v>
      </c>
      <c r="F75" s="81">
        <f>645610+687463+76270+971759+117295+707404-47179-637765+606522</f>
        <v>3127379</v>
      </c>
      <c r="G75" s="81">
        <f>522008+3358128-117295+144090+95198</f>
        <v>4002129</v>
      </c>
      <c r="H75" s="75">
        <f t="shared" si="2"/>
        <v>7129508</v>
      </c>
      <c r="I75" s="183"/>
      <c r="J75" s="137"/>
      <c r="L75" s="139"/>
      <c r="M75" s="200"/>
    </row>
    <row r="76" spans="1:13" s="125" customFormat="1" ht="45" customHeight="1">
      <c r="A76" s="393"/>
      <c r="B76" s="393"/>
      <c r="C76" s="393"/>
      <c r="D76" s="391"/>
      <c r="E76" s="114" t="s">
        <v>612</v>
      </c>
      <c r="F76" s="82">
        <f>21440+3000+10000</f>
        <v>34440</v>
      </c>
      <c r="G76" s="82">
        <v>36000</v>
      </c>
      <c r="H76" s="75">
        <f t="shared" si="2"/>
        <v>70440</v>
      </c>
      <c r="I76" s="181"/>
      <c r="J76" s="137"/>
      <c r="M76" s="200"/>
    </row>
    <row r="77" spans="1:13" s="125" customFormat="1" ht="47.25">
      <c r="A77" s="343"/>
      <c r="B77" s="343" t="s">
        <v>170</v>
      </c>
      <c r="C77" s="343" t="s">
        <v>510</v>
      </c>
      <c r="D77" s="344" t="s">
        <v>171</v>
      </c>
      <c r="E77" s="346" t="s">
        <v>643</v>
      </c>
      <c r="F77" s="81">
        <f>1367676+193827-250518+19889-25270</f>
        <v>1305604</v>
      </c>
      <c r="G77" s="75">
        <v>1260000</v>
      </c>
      <c r="H77" s="75">
        <f t="shared" si="2"/>
        <v>2565604</v>
      </c>
      <c r="I77" s="183"/>
      <c r="J77" s="127"/>
      <c r="M77" s="200"/>
    </row>
    <row r="78" spans="1:13" s="125" customFormat="1" ht="51.75" customHeight="1">
      <c r="A78" s="345"/>
      <c r="B78" s="206">
        <v>130112</v>
      </c>
      <c r="C78" s="343" t="s">
        <v>510</v>
      </c>
      <c r="D78" s="344" t="s">
        <v>96</v>
      </c>
      <c r="E78" s="346" t="s">
        <v>643</v>
      </c>
      <c r="F78" s="80">
        <f>80000+2643200+605445</f>
        <v>3328645</v>
      </c>
      <c r="G78" s="80">
        <v>65880</v>
      </c>
      <c r="H78" s="75">
        <f t="shared" si="2"/>
        <v>3394525</v>
      </c>
      <c r="I78" s="243">
        <v>65880</v>
      </c>
      <c r="J78" s="137"/>
      <c r="M78" s="200"/>
    </row>
    <row r="79" spans="1:14" s="125" customFormat="1" ht="47.25">
      <c r="A79" s="118"/>
      <c r="B79" s="118" t="s">
        <v>647</v>
      </c>
      <c r="C79" s="118" t="s">
        <v>510</v>
      </c>
      <c r="D79" s="340" t="s">
        <v>26</v>
      </c>
      <c r="E79" s="338" t="s">
        <v>643</v>
      </c>
      <c r="F79" s="84"/>
      <c r="G79" s="117">
        <v>104000</v>
      </c>
      <c r="H79" s="75">
        <f t="shared" si="1"/>
        <v>104000</v>
      </c>
      <c r="I79" s="183"/>
      <c r="J79" s="127"/>
      <c r="M79" s="138"/>
      <c r="N79" s="139"/>
    </row>
    <row r="80" spans="1:14" s="125" customFormat="1" ht="49.5" customHeight="1">
      <c r="A80" s="118"/>
      <c r="B80" s="118" t="s">
        <v>88</v>
      </c>
      <c r="C80" s="118" t="s">
        <v>503</v>
      </c>
      <c r="D80" s="350" t="s">
        <v>89</v>
      </c>
      <c r="E80" s="349" t="s">
        <v>643</v>
      </c>
      <c r="F80" s="84"/>
      <c r="G80" s="83">
        <f>2393223+578+30000000-10000000-20000000+158110-124410+655420</f>
        <v>3082921</v>
      </c>
      <c r="H80" s="75">
        <f t="shared" si="1"/>
        <v>3082921</v>
      </c>
      <c r="I80" s="183"/>
      <c r="J80" s="127"/>
      <c r="M80" s="138"/>
      <c r="N80" s="139"/>
    </row>
    <row r="81" spans="1:14" s="125" customFormat="1" ht="49.5" customHeight="1">
      <c r="A81" s="118"/>
      <c r="B81" s="118" t="s">
        <v>28</v>
      </c>
      <c r="C81" s="118" t="s">
        <v>514</v>
      </c>
      <c r="D81" s="351" t="s">
        <v>29</v>
      </c>
      <c r="E81" s="390" t="s">
        <v>617</v>
      </c>
      <c r="F81" s="84">
        <v>3347492</v>
      </c>
      <c r="G81" s="117">
        <f>128259+177470</f>
        <v>305729</v>
      </c>
      <c r="H81" s="75">
        <f t="shared" si="1"/>
        <v>3653221</v>
      </c>
      <c r="I81" s="183"/>
      <c r="J81" s="127"/>
      <c r="M81" s="138"/>
      <c r="N81" s="139"/>
    </row>
    <row r="82" spans="1:14" s="125" customFormat="1" ht="49.5" customHeight="1">
      <c r="A82" s="118"/>
      <c r="B82" s="118" t="s">
        <v>352</v>
      </c>
      <c r="C82" s="118" t="s">
        <v>514</v>
      </c>
      <c r="D82" s="351" t="s">
        <v>353</v>
      </c>
      <c r="E82" s="391"/>
      <c r="F82" s="84">
        <v>112000</v>
      </c>
      <c r="G82" s="117"/>
      <c r="H82" s="75">
        <f t="shared" si="1"/>
        <v>112000</v>
      </c>
      <c r="I82" s="183"/>
      <c r="J82" s="127"/>
      <c r="M82" s="138"/>
      <c r="N82" s="139"/>
    </row>
    <row r="83" spans="1:13" s="125" customFormat="1" ht="46.5" customHeight="1">
      <c r="A83" s="112"/>
      <c r="B83" s="112" t="s">
        <v>157</v>
      </c>
      <c r="C83" s="112"/>
      <c r="D83" s="113" t="s">
        <v>632</v>
      </c>
      <c r="E83" s="234"/>
      <c r="F83" s="85">
        <f>F84+F85+F87+F88+F89+F90+F92+F93+F95+F96+F101+F100+F86+F102+F98+F99</f>
        <v>97998160</v>
      </c>
      <c r="G83" s="85">
        <f>G84+G85+G87+G88+G89+G90+G92+G93+G95+G96+G101+G100+G86+G102+G98+G99</f>
        <v>136740961</v>
      </c>
      <c r="H83" s="85">
        <f>H84+H85+H87+H88+H89+H90+H92+H93+H95+H96+H101+H100+H86+H102+H98+H99</f>
        <v>234739121</v>
      </c>
      <c r="I83" s="181">
        <f>I84+I85+I87+I88+I89+I90+I92+I93+I95+I96+I101</f>
        <v>2126849</v>
      </c>
      <c r="J83" s="137"/>
      <c r="M83" s="200"/>
    </row>
    <row r="84" spans="1:13" s="125" customFormat="1" ht="48" customHeight="1">
      <c r="A84" s="227"/>
      <c r="B84" s="227" t="s">
        <v>180</v>
      </c>
      <c r="C84" s="227" t="s">
        <v>501</v>
      </c>
      <c r="D84" s="230" t="s">
        <v>181</v>
      </c>
      <c r="E84" s="293" t="s">
        <v>625</v>
      </c>
      <c r="F84" s="85"/>
      <c r="G84" s="75">
        <f>112054+88380-83434+177602+980000-5382</f>
        <v>1269220</v>
      </c>
      <c r="H84" s="75">
        <f>G84+F84</f>
        <v>1269220</v>
      </c>
      <c r="I84" s="181"/>
      <c r="J84" s="137"/>
      <c r="M84" s="200"/>
    </row>
    <row r="85" spans="1:13" s="125" customFormat="1" ht="52.5" customHeight="1">
      <c r="A85" s="395"/>
      <c r="B85" s="400" t="s">
        <v>76</v>
      </c>
      <c r="C85" s="392" t="s">
        <v>515</v>
      </c>
      <c r="D85" s="416" t="s">
        <v>23</v>
      </c>
      <c r="E85" s="293" t="s">
        <v>625</v>
      </c>
      <c r="F85" s="81">
        <f>27068643+1988626-686574+1510860+171000+6112742-424784+130000+1906604-381321+759962</f>
        <v>38155758</v>
      </c>
      <c r="G85" s="81">
        <f>5498507+1101562+35355288-2608567-1999900+247000+9248177-130000-263419-990000+331600+22253092-925347-224589-300000-127828-705881</f>
        <v>65759695</v>
      </c>
      <c r="H85" s="75">
        <f>G85+F85</f>
        <v>103915453</v>
      </c>
      <c r="I85" s="181">
        <v>1101562</v>
      </c>
      <c r="J85" s="137"/>
      <c r="K85" s="139"/>
      <c r="L85" s="139"/>
      <c r="M85" s="200"/>
    </row>
    <row r="86" spans="1:13" s="125" customFormat="1" ht="52.5" customHeight="1">
      <c r="A86" s="395"/>
      <c r="B86" s="400"/>
      <c r="C86" s="396"/>
      <c r="D86" s="416"/>
      <c r="E86" s="293" t="s">
        <v>619</v>
      </c>
      <c r="F86" s="81">
        <f>332535+686574+3800+4662+15585+68501+391167</f>
        <v>1502824</v>
      </c>
      <c r="G86" s="81">
        <f>280256-3800-15585-88868+514100-8600</f>
        <v>677503</v>
      </c>
      <c r="H86" s="75">
        <f aca="true" t="shared" si="3" ref="H86:H102">G86+F86</f>
        <v>2180327</v>
      </c>
      <c r="I86" s="181"/>
      <c r="J86" s="137"/>
      <c r="K86" s="139"/>
      <c r="L86" s="139"/>
      <c r="M86" s="200"/>
    </row>
    <row r="87" spans="1:15" s="125" customFormat="1" ht="48" customHeight="1">
      <c r="A87" s="395"/>
      <c r="B87" s="400"/>
      <c r="C87" s="393"/>
      <c r="D87" s="416"/>
      <c r="E87" s="114" t="s">
        <v>612</v>
      </c>
      <c r="F87" s="90">
        <f>26000+5040+9000-9000+9960+12000+3000+79000+48000</f>
        <v>183000</v>
      </c>
      <c r="G87" s="90">
        <f>20000+6700-6700+27000+9000+9000+9960+16000+32000-9960+9000+10000+20000+60000+99500</f>
        <v>311500</v>
      </c>
      <c r="H87" s="90">
        <f t="shared" si="3"/>
        <v>494500</v>
      </c>
      <c r="I87" s="188"/>
      <c r="J87" s="140"/>
      <c r="K87" s="141"/>
      <c r="L87" s="141"/>
      <c r="M87" s="142"/>
      <c r="N87" s="141"/>
      <c r="O87" s="141"/>
    </row>
    <row r="88" spans="1:13" s="125" customFormat="1" ht="50.25" customHeight="1">
      <c r="A88" s="392"/>
      <c r="B88" s="395" t="s">
        <v>115</v>
      </c>
      <c r="C88" s="395" t="s">
        <v>516</v>
      </c>
      <c r="D88" s="402" t="s">
        <v>247</v>
      </c>
      <c r="E88" s="283" t="s">
        <v>608</v>
      </c>
      <c r="F88" s="81">
        <f>1977969+409248+148255+276829</f>
        <v>2812301</v>
      </c>
      <c r="G88" s="81">
        <f>1622997+5271580-392392+2499852-98000+1030000-150000+419369+5342327-724800-43481</f>
        <v>14777452</v>
      </c>
      <c r="H88" s="75">
        <f t="shared" si="3"/>
        <v>17589753</v>
      </c>
      <c r="I88" s="181"/>
      <c r="J88" s="137"/>
      <c r="L88" s="139"/>
      <c r="M88" s="200"/>
    </row>
    <row r="89" spans="1:13" s="125" customFormat="1" ht="50.25" customHeight="1">
      <c r="A89" s="396"/>
      <c r="B89" s="395"/>
      <c r="C89" s="395"/>
      <c r="D89" s="402"/>
      <c r="E89" s="114" t="s">
        <v>612</v>
      </c>
      <c r="F89" s="86">
        <f>10000+5000+20000+10000+30000+47000</f>
        <v>122000</v>
      </c>
      <c r="G89" s="115">
        <v>55000</v>
      </c>
      <c r="H89" s="86">
        <f t="shared" si="3"/>
        <v>177000</v>
      </c>
      <c r="I89" s="181"/>
      <c r="J89" s="137"/>
      <c r="L89" s="139"/>
      <c r="M89" s="200"/>
    </row>
    <row r="90" spans="1:13" s="125" customFormat="1" ht="52.5" customHeight="1">
      <c r="A90" s="392"/>
      <c r="B90" s="392" t="s">
        <v>77</v>
      </c>
      <c r="C90" s="392" t="s">
        <v>517</v>
      </c>
      <c r="D90" s="390" t="s">
        <v>487</v>
      </c>
      <c r="E90" s="293" t="s">
        <v>625</v>
      </c>
      <c r="F90" s="81">
        <f>613924-27372</f>
        <v>586552</v>
      </c>
      <c r="G90" s="75">
        <v>26000</v>
      </c>
      <c r="H90" s="75">
        <f t="shared" si="3"/>
        <v>612552</v>
      </c>
      <c r="I90" s="181"/>
      <c r="J90" s="137"/>
      <c r="M90" s="200"/>
    </row>
    <row r="91" spans="1:13" s="125" customFormat="1" ht="54" customHeight="1" hidden="1">
      <c r="A91" s="393"/>
      <c r="B91" s="393"/>
      <c r="C91" s="393"/>
      <c r="D91" s="391"/>
      <c r="E91" s="114" t="s">
        <v>493</v>
      </c>
      <c r="F91" s="87"/>
      <c r="G91" s="87"/>
      <c r="H91" s="75">
        <f t="shared" si="3"/>
        <v>0</v>
      </c>
      <c r="I91" s="183"/>
      <c r="J91" s="127"/>
      <c r="M91" s="200"/>
    </row>
    <row r="92" spans="1:13" s="125" customFormat="1" ht="50.25" customHeight="1">
      <c r="A92" s="392"/>
      <c r="B92" s="392" t="s">
        <v>78</v>
      </c>
      <c r="C92" s="392" t="s">
        <v>518</v>
      </c>
      <c r="D92" s="390" t="s">
        <v>488</v>
      </c>
      <c r="E92" s="293" t="s">
        <v>625</v>
      </c>
      <c r="F92" s="81">
        <f>3174772+485730</f>
        <v>3660502</v>
      </c>
      <c r="G92" s="81">
        <f>1025287+188750+206000</f>
        <v>1420037</v>
      </c>
      <c r="H92" s="75">
        <f t="shared" si="3"/>
        <v>5080539</v>
      </c>
      <c r="I92" s="181">
        <v>1025287</v>
      </c>
      <c r="J92" s="137"/>
      <c r="L92" s="139"/>
      <c r="M92" s="200"/>
    </row>
    <row r="93" spans="1:13" s="125" customFormat="1" ht="47.25" customHeight="1" hidden="1">
      <c r="A93" s="399"/>
      <c r="B93" s="399"/>
      <c r="C93" s="393"/>
      <c r="D93" s="399"/>
      <c r="E93" s="114" t="s">
        <v>544</v>
      </c>
      <c r="F93" s="81"/>
      <c r="G93" s="75"/>
      <c r="H93" s="75">
        <f t="shared" si="3"/>
        <v>0</v>
      </c>
      <c r="I93" s="183"/>
      <c r="J93" s="127"/>
      <c r="M93" s="200"/>
    </row>
    <row r="94" spans="1:13" s="125" customFormat="1" ht="75.75" customHeight="1" hidden="1">
      <c r="A94" s="119"/>
      <c r="B94" s="118">
        <v>80704</v>
      </c>
      <c r="C94" s="120"/>
      <c r="D94" s="227" t="s">
        <v>137</v>
      </c>
      <c r="E94" s="234" t="s">
        <v>138</v>
      </c>
      <c r="F94" s="81"/>
      <c r="G94" s="81"/>
      <c r="H94" s="75">
        <f t="shared" si="3"/>
        <v>0</v>
      </c>
      <c r="I94" s="183"/>
      <c r="J94" s="127"/>
      <c r="M94" s="200"/>
    </row>
    <row r="95" spans="1:13" s="250" customFormat="1" ht="50.25" customHeight="1">
      <c r="A95" s="392"/>
      <c r="B95" s="392" t="s">
        <v>335</v>
      </c>
      <c r="C95" s="392" t="s">
        <v>519</v>
      </c>
      <c r="D95" s="390" t="s">
        <v>336</v>
      </c>
      <c r="E95" s="293" t="s">
        <v>619</v>
      </c>
      <c r="F95" s="81">
        <f>22541816+15792183+15200-4662-1065672+854058+1953222-150707+424784+993471+148529</f>
        <v>41502222</v>
      </c>
      <c r="G95" s="81">
        <f>25901113-280256-15200+576421+1065672-576421-854058-1454524-2000000-1276808-253700</f>
        <v>20832239</v>
      </c>
      <c r="H95" s="75">
        <f t="shared" si="3"/>
        <v>62334461</v>
      </c>
      <c r="I95" s="243"/>
      <c r="J95" s="249"/>
      <c r="K95" s="258"/>
      <c r="L95" s="258"/>
      <c r="M95" s="251"/>
    </row>
    <row r="96" spans="1:13" s="125" customFormat="1" ht="57" customHeight="1">
      <c r="A96" s="393"/>
      <c r="B96" s="396"/>
      <c r="C96" s="396"/>
      <c r="D96" s="401"/>
      <c r="E96" s="114" t="s">
        <v>612</v>
      </c>
      <c r="F96" s="86">
        <f>10000+10000+3600+5000+16000+50000-1339+50000</f>
        <v>143261</v>
      </c>
      <c r="G96" s="86">
        <f>6700+10000+26000</f>
        <v>42700</v>
      </c>
      <c r="H96" s="86">
        <f t="shared" si="3"/>
        <v>185961</v>
      </c>
      <c r="I96" s="181"/>
      <c r="J96" s="137"/>
      <c r="M96" s="200"/>
    </row>
    <row r="97" spans="1:13" s="125" customFormat="1" ht="63.75" customHeight="1" hidden="1">
      <c r="A97" s="225"/>
      <c r="B97" s="393"/>
      <c r="C97" s="393"/>
      <c r="D97" s="391"/>
      <c r="E97" s="234" t="s">
        <v>492</v>
      </c>
      <c r="F97" s="166">
        <f>4581-4581</f>
        <v>0</v>
      </c>
      <c r="G97" s="75"/>
      <c r="H97" s="75">
        <f t="shared" si="3"/>
        <v>0</v>
      </c>
      <c r="I97" s="181"/>
      <c r="J97" s="137"/>
      <c r="M97" s="200"/>
    </row>
    <row r="98" spans="1:13" s="125" customFormat="1" ht="46.5" customHeight="1">
      <c r="A98" s="273"/>
      <c r="B98" s="287" t="s">
        <v>116</v>
      </c>
      <c r="C98" s="272" t="s">
        <v>520</v>
      </c>
      <c r="D98" s="274" t="s">
        <v>117</v>
      </c>
      <c r="E98" s="293" t="s">
        <v>625</v>
      </c>
      <c r="F98" s="75">
        <v>1140000</v>
      </c>
      <c r="G98" s="75">
        <v>39000</v>
      </c>
      <c r="H98" s="75">
        <f t="shared" si="3"/>
        <v>1179000</v>
      </c>
      <c r="I98" s="181"/>
      <c r="J98" s="137"/>
      <c r="M98" s="200"/>
    </row>
    <row r="99" spans="1:13" s="125" customFormat="1" ht="63.75" customHeight="1">
      <c r="A99" s="226"/>
      <c r="B99" s="226" t="s">
        <v>450</v>
      </c>
      <c r="C99" s="275" t="s">
        <v>520</v>
      </c>
      <c r="D99" s="234" t="s">
        <v>451</v>
      </c>
      <c r="E99" s="293" t="s">
        <v>625</v>
      </c>
      <c r="F99" s="81">
        <f>37749-37749</f>
        <v>0</v>
      </c>
      <c r="G99" s="81">
        <f>37749-37749+39000+39981-1794</f>
        <v>77187</v>
      </c>
      <c r="H99" s="75">
        <f t="shared" si="3"/>
        <v>77187</v>
      </c>
      <c r="I99" s="183"/>
      <c r="J99" s="137"/>
      <c r="M99" s="200"/>
    </row>
    <row r="100" spans="1:13" s="125" customFormat="1" ht="46.5" customHeight="1">
      <c r="A100" s="226"/>
      <c r="B100" s="227" t="s">
        <v>80</v>
      </c>
      <c r="C100" s="227" t="s">
        <v>520</v>
      </c>
      <c r="D100" s="230" t="s">
        <v>248</v>
      </c>
      <c r="E100" s="293" t="s">
        <v>625</v>
      </c>
      <c r="F100" s="81">
        <f>8257617-67877</f>
        <v>8189740</v>
      </c>
      <c r="G100" s="89"/>
      <c r="H100" s="75">
        <f t="shared" si="3"/>
        <v>8189740</v>
      </c>
      <c r="I100" s="183"/>
      <c r="J100" s="127"/>
      <c r="M100" s="200"/>
    </row>
    <row r="101" spans="1:13" s="125" customFormat="1" ht="50.25" customHeight="1">
      <c r="A101" s="392"/>
      <c r="B101" s="392" t="s">
        <v>88</v>
      </c>
      <c r="C101" s="392" t="s">
        <v>503</v>
      </c>
      <c r="D101" s="269" t="s">
        <v>89</v>
      </c>
      <c r="E101" s="293" t="s">
        <v>625</v>
      </c>
      <c r="F101" s="75"/>
      <c r="G101" s="75">
        <f>30839960+18999747-10297824-30839960+2043451+5799473+8630894+1999900-418000-790000+401990-232943-1999900+20000-4751891-5500000-200000+1000000</f>
        <v>14704897</v>
      </c>
      <c r="H101" s="75">
        <f t="shared" si="3"/>
        <v>14704897</v>
      </c>
      <c r="I101" s="181"/>
      <c r="J101" s="137"/>
      <c r="M101" s="200"/>
    </row>
    <row r="102" spans="1:13" s="125" customFormat="1" ht="47.25" customHeight="1">
      <c r="A102" s="393"/>
      <c r="B102" s="393"/>
      <c r="C102" s="393"/>
      <c r="D102" s="269" t="s">
        <v>89</v>
      </c>
      <c r="E102" s="293" t="s">
        <v>618</v>
      </c>
      <c r="F102" s="75"/>
      <c r="G102" s="75">
        <f>10297824+30839960+8630894-8630894-5061985-2832000-1000000-4000000-7921423-2200000-1373845</f>
        <v>16748531</v>
      </c>
      <c r="H102" s="75">
        <f t="shared" si="3"/>
        <v>16748531</v>
      </c>
      <c r="I102" s="181"/>
      <c r="J102" s="137"/>
      <c r="M102" s="200"/>
    </row>
    <row r="103" spans="1:13" s="125" customFormat="1" ht="49.5" customHeight="1">
      <c r="A103" s="112"/>
      <c r="B103" s="112" t="s">
        <v>158</v>
      </c>
      <c r="C103" s="112"/>
      <c r="D103" s="113" t="s">
        <v>55</v>
      </c>
      <c r="E103" s="234"/>
      <c r="F103" s="88">
        <f>F104+F106+F107+F108+F109+F111+F113+F114+F116+F118+F119+F120+F121+F122+F115+F117+F110+F112</f>
        <v>163506514</v>
      </c>
      <c r="G103" s="88">
        <f>G104+G106+G107+G108+G109+G111+G113+G114+G116+G118+G119+G120+G121+G122+G115+G117+G110+G112</f>
        <v>17267764</v>
      </c>
      <c r="H103" s="88">
        <f>H104+H106+H107+H108+H109+H111+H113+H114+H116+H118+H119+H120+H121+H122+H115+H117+H110+H112</f>
        <v>180774278</v>
      </c>
      <c r="I103" s="181">
        <f>I104+I113+I114+I115+I116+I118+I119+I120+I122</f>
        <v>0</v>
      </c>
      <c r="J103" s="137"/>
      <c r="M103" s="200"/>
    </row>
    <row r="104" spans="1:13" s="125" customFormat="1" ht="47.25" customHeight="1">
      <c r="A104" s="400"/>
      <c r="B104" s="404" t="s">
        <v>180</v>
      </c>
      <c r="C104" s="392" t="s">
        <v>501</v>
      </c>
      <c r="D104" s="416" t="s">
        <v>181</v>
      </c>
      <c r="E104" s="292" t="s">
        <v>624</v>
      </c>
      <c r="F104" s="364"/>
      <c r="G104" s="75">
        <f>85230+3658163+3248939-650008-206472+2680212+1725635</f>
        <v>10541699</v>
      </c>
      <c r="H104" s="75">
        <f aca="true" t="shared" si="4" ref="H104:H126">F104+G104</f>
        <v>10541699</v>
      </c>
      <c r="I104" s="183"/>
      <c r="J104" s="137"/>
      <c r="M104" s="200"/>
    </row>
    <row r="105" spans="1:13" s="125" customFormat="1" ht="63.75" customHeight="1" hidden="1">
      <c r="A105" s="400"/>
      <c r="B105" s="405"/>
      <c r="C105" s="393"/>
      <c r="D105" s="416"/>
      <c r="E105" s="234" t="s">
        <v>492</v>
      </c>
      <c r="F105" s="365">
        <f>478-478</f>
        <v>0</v>
      </c>
      <c r="G105" s="89"/>
      <c r="H105" s="75">
        <f t="shared" si="4"/>
        <v>0</v>
      </c>
      <c r="I105" s="183"/>
      <c r="J105" s="127"/>
      <c r="M105" s="200"/>
    </row>
    <row r="106" spans="1:13" s="125" customFormat="1" ht="223.5" customHeight="1">
      <c r="A106" s="317"/>
      <c r="B106" s="317" t="s">
        <v>572</v>
      </c>
      <c r="C106" s="317" t="s">
        <v>522</v>
      </c>
      <c r="D106" s="318" t="s">
        <v>576</v>
      </c>
      <c r="E106" s="292" t="s">
        <v>624</v>
      </c>
      <c r="F106" s="365">
        <f>1104818-975934+926322+45954</f>
        <v>1101160</v>
      </c>
      <c r="G106" s="89">
        <v>40000</v>
      </c>
      <c r="H106" s="75">
        <f t="shared" si="4"/>
        <v>1141160</v>
      </c>
      <c r="I106" s="183"/>
      <c r="J106" s="127"/>
      <c r="M106" s="200"/>
    </row>
    <row r="107" spans="1:13" s="125" customFormat="1" ht="81.75" customHeight="1">
      <c r="A107" s="235"/>
      <c r="B107" s="235" t="s">
        <v>573</v>
      </c>
      <c r="C107" s="227" t="s">
        <v>524</v>
      </c>
      <c r="D107" s="237" t="s">
        <v>577</v>
      </c>
      <c r="E107" s="292" t="s">
        <v>624</v>
      </c>
      <c r="F107" s="365">
        <f>31224-19088+17933+14728</f>
        <v>44797</v>
      </c>
      <c r="G107" s="89"/>
      <c r="H107" s="75">
        <f t="shared" si="4"/>
        <v>44797</v>
      </c>
      <c r="I107" s="183"/>
      <c r="J107" s="127"/>
      <c r="M107" s="200"/>
    </row>
    <row r="108" spans="1:13" s="125" customFormat="1" ht="52.5" customHeight="1">
      <c r="A108" s="235"/>
      <c r="B108" s="235" t="s">
        <v>574</v>
      </c>
      <c r="C108" s="227" t="s">
        <v>524</v>
      </c>
      <c r="D108" s="237" t="s">
        <v>578</v>
      </c>
      <c r="E108" s="292" t="s">
        <v>624</v>
      </c>
      <c r="F108" s="365">
        <f>3972991-1769670+1661036+691566</f>
        <v>4555923</v>
      </c>
      <c r="G108" s="89"/>
      <c r="H108" s="75">
        <f t="shared" si="4"/>
        <v>4555923</v>
      </c>
      <c r="I108" s="183"/>
      <c r="J108" s="127"/>
      <c r="M108" s="200"/>
    </row>
    <row r="109" spans="1:13" s="125" customFormat="1" ht="51" customHeight="1">
      <c r="A109" s="392"/>
      <c r="B109" s="400" t="s">
        <v>90</v>
      </c>
      <c r="C109" s="392" t="s">
        <v>523</v>
      </c>
      <c r="D109" s="416" t="s">
        <v>97</v>
      </c>
      <c r="E109" s="382" t="s">
        <v>624</v>
      </c>
      <c r="F109" s="366">
        <f>14431093+3688680+78400+3831100+1552034</f>
        <v>23581307</v>
      </c>
      <c r="G109" s="89"/>
      <c r="H109" s="75">
        <f t="shared" si="4"/>
        <v>23581307</v>
      </c>
      <c r="I109" s="183"/>
      <c r="J109" s="127"/>
      <c r="M109" s="200"/>
    </row>
    <row r="110" spans="1:13" s="125" customFormat="1" ht="51" customHeight="1">
      <c r="A110" s="396"/>
      <c r="B110" s="400"/>
      <c r="C110" s="396"/>
      <c r="D110" s="416"/>
      <c r="E110" s="383" t="s">
        <v>676</v>
      </c>
      <c r="F110" s="366">
        <v>24002400</v>
      </c>
      <c r="G110" s="89"/>
      <c r="H110" s="75">
        <f t="shared" si="4"/>
        <v>24002400</v>
      </c>
      <c r="I110" s="183"/>
      <c r="J110" s="127"/>
      <c r="M110" s="200"/>
    </row>
    <row r="111" spans="1:13" s="125" customFormat="1" ht="50.25" customHeight="1">
      <c r="A111" s="393"/>
      <c r="B111" s="400"/>
      <c r="C111" s="393"/>
      <c r="D111" s="416"/>
      <c r="E111" s="114" t="s">
        <v>612</v>
      </c>
      <c r="F111" s="367">
        <f>7680000-602500-386500-39000-24450-88165-71900-58000-163500-40000-14000-16000+5120000-322400-347000-159000-14000-50000-139143-470898-72000-323600-22000-280466-199657-219440-122700-187720-24000-5000-19000-16000+19200000-4288760+1339-2352855-622670</f>
        <v>20239015</v>
      </c>
      <c r="G111" s="218"/>
      <c r="H111" s="239">
        <f t="shared" si="4"/>
        <v>20239015</v>
      </c>
      <c r="I111" s="183"/>
      <c r="J111" s="127"/>
      <c r="M111" s="200"/>
    </row>
    <row r="112" spans="1:13" s="125" customFormat="1" ht="50.25" customHeight="1">
      <c r="A112" s="381"/>
      <c r="B112" s="381" t="s">
        <v>600</v>
      </c>
      <c r="C112" s="381" t="s">
        <v>601</v>
      </c>
      <c r="D112" s="379" t="s">
        <v>602</v>
      </c>
      <c r="E112" s="379" t="s">
        <v>17</v>
      </c>
      <c r="F112" s="367">
        <v>163832</v>
      </c>
      <c r="G112" s="218"/>
      <c r="H112" s="239">
        <f t="shared" si="4"/>
        <v>163832</v>
      </c>
      <c r="I112" s="183"/>
      <c r="J112" s="127"/>
      <c r="M112" s="200"/>
    </row>
    <row r="113" spans="1:13" s="125" customFormat="1" ht="51.75" customHeight="1">
      <c r="A113" s="236"/>
      <c r="B113" s="236" t="s">
        <v>84</v>
      </c>
      <c r="C113" s="224" t="s">
        <v>509</v>
      </c>
      <c r="D113" s="232" t="s">
        <v>253</v>
      </c>
      <c r="E113" s="292" t="s">
        <v>624</v>
      </c>
      <c r="F113" s="366">
        <f>241392+3795+29716</f>
        <v>274903</v>
      </c>
      <c r="G113" s="81"/>
      <c r="H113" s="75">
        <f t="shared" si="4"/>
        <v>274903</v>
      </c>
      <c r="I113" s="183"/>
      <c r="J113" s="127"/>
      <c r="M113" s="200"/>
    </row>
    <row r="114" spans="1:13" s="125" customFormat="1" ht="51.75" customHeight="1">
      <c r="A114" s="395"/>
      <c r="B114" s="400" t="s">
        <v>178</v>
      </c>
      <c r="C114" s="392" t="s">
        <v>521</v>
      </c>
      <c r="D114" s="416" t="s">
        <v>179</v>
      </c>
      <c r="E114" s="292" t="s">
        <v>624</v>
      </c>
      <c r="F114" s="366">
        <f>24282162-1962420+422135+515486+222824+319047+278884+1287437</f>
        <v>25365555</v>
      </c>
      <c r="G114" s="81">
        <f>530597+1104952-222824+5214+148611+83254+429568</f>
        <v>2079372</v>
      </c>
      <c r="H114" s="75">
        <f t="shared" si="4"/>
        <v>27444927</v>
      </c>
      <c r="I114" s="183"/>
      <c r="J114" s="137"/>
      <c r="L114" s="139"/>
      <c r="M114" s="200"/>
    </row>
    <row r="115" spans="1:13" s="125" customFormat="1" ht="51" customHeight="1">
      <c r="A115" s="395"/>
      <c r="B115" s="400"/>
      <c r="C115" s="393"/>
      <c r="D115" s="416"/>
      <c r="E115" s="114" t="s">
        <v>612</v>
      </c>
      <c r="F115" s="368">
        <f>2000+10000+15000+15000+45800</f>
        <v>87800</v>
      </c>
      <c r="G115" s="91">
        <f>9000+10000+5000+7000+4000+10000-10000+25000+60800</f>
        <v>120800</v>
      </c>
      <c r="H115" s="94">
        <f t="shared" si="4"/>
        <v>208600</v>
      </c>
      <c r="I115" s="183"/>
      <c r="J115" s="127"/>
      <c r="M115" s="200"/>
    </row>
    <row r="116" spans="1:14" s="125" customFormat="1" ht="55.5" customHeight="1">
      <c r="A116" s="392"/>
      <c r="B116" s="392" t="s">
        <v>27</v>
      </c>
      <c r="C116" s="392" t="s">
        <v>522</v>
      </c>
      <c r="D116" s="390" t="s">
        <v>21</v>
      </c>
      <c r="E116" s="292" t="s">
        <v>624</v>
      </c>
      <c r="F116" s="366">
        <f>1756555+120000+100000</f>
        <v>1976555</v>
      </c>
      <c r="G116" s="89"/>
      <c r="H116" s="75">
        <f t="shared" si="4"/>
        <v>1976555</v>
      </c>
      <c r="I116" s="183"/>
      <c r="J116" s="127"/>
      <c r="M116" s="138"/>
      <c r="N116" s="139"/>
    </row>
    <row r="117" spans="1:14" s="125" customFormat="1" ht="55.5" customHeight="1">
      <c r="A117" s="393"/>
      <c r="B117" s="393"/>
      <c r="C117" s="393"/>
      <c r="D117" s="391"/>
      <c r="E117" s="114" t="s">
        <v>612</v>
      </c>
      <c r="F117" s="366">
        <f>2000+5000+1000+11000+19000+5000+5000+4000+4000+8000</f>
        <v>64000</v>
      </c>
      <c r="G117" s="89">
        <f>10000+10000</f>
        <v>20000</v>
      </c>
      <c r="H117" s="75">
        <f t="shared" si="4"/>
        <v>84000</v>
      </c>
      <c r="I117" s="183"/>
      <c r="J117" s="127"/>
      <c r="M117" s="138"/>
      <c r="N117" s="139"/>
    </row>
    <row r="118" spans="1:13" s="125" customFormat="1" ht="51.75" customHeight="1">
      <c r="A118" s="226"/>
      <c r="B118" s="226" t="s">
        <v>88</v>
      </c>
      <c r="C118" s="226" t="s">
        <v>503</v>
      </c>
      <c r="D118" s="234" t="s">
        <v>89</v>
      </c>
      <c r="E118" s="292" t="s">
        <v>624</v>
      </c>
      <c r="F118" s="366"/>
      <c r="G118" s="93">
        <f>342900+584067+3370399+168527</f>
        <v>4465893</v>
      </c>
      <c r="H118" s="75">
        <f t="shared" si="4"/>
        <v>4465893</v>
      </c>
      <c r="I118" s="183"/>
      <c r="J118" s="137"/>
      <c r="M118" s="200"/>
    </row>
    <row r="119" spans="1:14" s="125" customFormat="1" ht="55.5" customHeight="1">
      <c r="A119" s="226"/>
      <c r="B119" s="226" t="s">
        <v>37</v>
      </c>
      <c r="C119" s="226" t="s">
        <v>524</v>
      </c>
      <c r="D119" s="234" t="s">
        <v>250</v>
      </c>
      <c r="E119" s="292" t="s">
        <v>624</v>
      </c>
      <c r="F119" s="366">
        <f>440100+4633716-3475290+3717116+5871546</f>
        <v>11187188</v>
      </c>
      <c r="G119" s="117"/>
      <c r="H119" s="75">
        <f t="shared" si="4"/>
        <v>11187188</v>
      </c>
      <c r="I119" s="183"/>
      <c r="J119" s="127"/>
      <c r="M119" s="138"/>
      <c r="N119" s="139"/>
    </row>
    <row r="120" spans="1:14" s="125" customFormat="1" ht="50.25" customHeight="1">
      <c r="A120" s="226"/>
      <c r="B120" s="226" t="s">
        <v>91</v>
      </c>
      <c r="C120" s="226" t="s">
        <v>524</v>
      </c>
      <c r="D120" s="234" t="s">
        <v>251</v>
      </c>
      <c r="E120" s="292" t="s">
        <v>624</v>
      </c>
      <c r="F120" s="366">
        <f>1073287-1073287+2147630-383513</f>
        <v>1764117</v>
      </c>
      <c r="G120" s="117"/>
      <c r="H120" s="75">
        <f t="shared" si="4"/>
        <v>1764117</v>
      </c>
      <c r="I120" s="183"/>
      <c r="J120" s="127"/>
      <c r="M120" s="138"/>
      <c r="N120" s="139"/>
    </row>
    <row r="121" spans="1:14" s="125" customFormat="1" ht="52.5" customHeight="1">
      <c r="A121" s="226"/>
      <c r="B121" s="226" t="s">
        <v>575</v>
      </c>
      <c r="C121" s="226" t="s">
        <v>524</v>
      </c>
      <c r="D121" s="234" t="s">
        <v>579</v>
      </c>
      <c r="E121" s="292" t="s">
        <v>624</v>
      </c>
      <c r="F121" s="366">
        <f>3895736-2840933+3268018+698366</f>
        <v>5021187</v>
      </c>
      <c r="G121" s="117"/>
      <c r="H121" s="75">
        <f t="shared" si="4"/>
        <v>5021187</v>
      </c>
      <c r="I121" s="183"/>
      <c r="J121" s="127"/>
      <c r="M121" s="138"/>
      <c r="N121" s="139"/>
    </row>
    <row r="122" spans="1:14" s="125" customFormat="1" ht="54.75" customHeight="1">
      <c r="A122" s="226"/>
      <c r="B122" s="226" t="s">
        <v>121</v>
      </c>
      <c r="C122" s="226" t="s">
        <v>524</v>
      </c>
      <c r="D122" s="234" t="s">
        <v>18</v>
      </c>
      <c r="E122" s="292" t="s">
        <v>624</v>
      </c>
      <c r="F122" s="366">
        <f>1760400+43900228-32925170+31341317</f>
        <v>44076775</v>
      </c>
      <c r="G122" s="117"/>
      <c r="H122" s="75">
        <f t="shared" si="4"/>
        <v>44076775</v>
      </c>
      <c r="I122" s="183"/>
      <c r="J122" s="127"/>
      <c r="M122" s="138"/>
      <c r="N122" s="139"/>
    </row>
    <row r="123" spans="1:13" s="125" customFormat="1" ht="36.75" customHeight="1">
      <c r="A123" s="112"/>
      <c r="B123" s="112" t="s">
        <v>191</v>
      </c>
      <c r="C123" s="112"/>
      <c r="D123" s="113" t="s">
        <v>195</v>
      </c>
      <c r="E123" s="234"/>
      <c r="F123" s="85">
        <f>F124+F125+F126</f>
        <v>352847</v>
      </c>
      <c r="G123" s="85">
        <f>G124+G125+G126</f>
        <v>362007</v>
      </c>
      <c r="H123" s="85">
        <f>H124+H125+H126</f>
        <v>714854</v>
      </c>
      <c r="I123" s="183"/>
      <c r="J123" s="127"/>
      <c r="M123" s="200"/>
    </row>
    <row r="124" spans="1:13" s="125" customFormat="1" ht="39.75" customHeight="1">
      <c r="A124" s="226"/>
      <c r="B124" s="118" t="s">
        <v>180</v>
      </c>
      <c r="C124" s="226" t="s">
        <v>501</v>
      </c>
      <c r="D124" s="234" t="s">
        <v>181</v>
      </c>
      <c r="E124" s="377" t="s">
        <v>674</v>
      </c>
      <c r="F124" s="81"/>
      <c r="G124" s="93">
        <f>168971-5064</f>
        <v>163907</v>
      </c>
      <c r="H124" s="75">
        <f t="shared" si="4"/>
        <v>163907</v>
      </c>
      <c r="I124" s="183"/>
      <c r="J124" s="127"/>
      <c r="M124" s="200"/>
    </row>
    <row r="125" spans="1:13" s="125" customFormat="1" ht="64.5" customHeight="1">
      <c r="A125" s="358"/>
      <c r="B125" s="118" t="s">
        <v>655</v>
      </c>
      <c r="C125" s="357" t="s">
        <v>505</v>
      </c>
      <c r="D125" s="357" t="s">
        <v>657</v>
      </c>
      <c r="E125" s="377" t="s">
        <v>672</v>
      </c>
      <c r="F125" s="81">
        <v>255640</v>
      </c>
      <c r="G125" s="93">
        <v>198100</v>
      </c>
      <c r="H125" s="75">
        <f t="shared" si="4"/>
        <v>453740</v>
      </c>
      <c r="I125" s="183"/>
      <c r="J125" s="127"/>
      <c r="M125" s="200"/>
    </row>
    <row r="126" spans="1:13" s="125" customFormat="1" ht="61.5" customHeight="1">
      <c r="A126" s="358"/>
      <c r="B126" s="118" t="s">
        <v>656</v>
      </c>
      <c r="C126" s="358"/>
      <c r="D126" s="357" t="s">
        <v>658</v>
      </c>
      <c r="E126" s="377" t="s">
        <v>673</v>
      </c>
      <c r="F126" s="81">
        <v>97207</v>
      </c>
      <c r="G126" s="93"/>
      <c r="H126" s="75">
        <f t="shared" si="4"/>
        <v>97207</v>
      </c>
      <c r="I126" s="183"/>
      <c r="J126" s="127"/>
      <c r="M126" s="200"/>
    </row>
    <row r="127" spans="1:13" s="125" customFormat="1" ht="47.25" customHeight="1">
      <c r="A127" s="112"/>
      <c r="B127" s="112" t="s">
        <v>202</v>
      </c>
      <c r="C127" s="112"/>
      <c r="D127" s="113" t="s">
        <v>648</v>
      </c>
      <c r="E127" s="229"/>
      <c r="F127" s="85">
        <f>F128</f>
        <v>0</v>
      </c>
      <c r="G127" s="85">
        <f>G128</f>
        <v>71890</v>
      </c>
      <c r="H127" s="85">
        <f>H128</f>
        <v>71890</v>
      </c>
      <c r="I127" s="181">
        <f>I128</f>
        <v>0</v>
      </c>
      <c r="J127" s="127"/>
      <c r="M127" s="200"/>
    </row>
    <row r="128" spans="1:13" s="125" customFormat="1" ht="55.5" customHeight="1">
      <c r="A128" s="226"/>
      <c r="B128" s="226" t="s">
        <v>180</v>
      </c>
      <c r="C128" s="226" t="s">
        <v>501</v>
      </c>
      <c r="D128" s="234" t="s">
        <v>181</v>
      </c>
      <c r="E128" s="377" t="s">
        <v>674</v>
      </c>
      <c r="F128" s="81"/>
      <c r="G128" s="93">
        <v>71890</v>
      </c>
      <c r="H128" s="75">
        <f>F128+G128</f>
        <v>71890</v>
      </c>
      <c r="I128" s="183"/>
      <c r="J128" s="137"/>
      <c r="M128" s="200"/>
    </row>
    <row r="129" spans="1:13" s="125" customFormat="1" ht="36.75" customHeight="1">
      <c r="A129" s="112"/>
      <c r="B129" s="112" t="s">
        <v>163</v>
      </c>
      <c r="C129" s="110"/>
      <c r="D129" s="113" t="s">
        <v>633</v>
      </c>
      <c r="E129" s="234"/>
      <c r="F129" s="85">
        <f>F131+F134+F135+F137+F138+F139+F140+F142+F144+F147+F149+F130+F133+F148</f>
        <v>5562274</v>
      </c>
      <c r="G129" s="85">
        <f>G131+G134+G135+G137+G138+G139+G140+G142+G144+G147+G149+G130+G133+G148</f>
        <v>11011337</v>
      </c>
      <c r="H129" s="85">
        <f>H131+H134+H135+H137+H138+H139+H140+H142+H144+H147+H149+H130+H133+H148</f>
        <v>16573611</v>
      </c>
      <c r="I129" s="181">
        <f>I131+I134+I135+I137+I138+I139+I140+I142+I144+I147+I149</f>
        <v>70689</v>
      </c>
      <c r="J129" s="137"/>
      <c r="K129" s="139"/>
      <c r="M129" s="200"/>
    </row>
    <row r="130" spans="1:13" s="125" customFormat="1" ht="51" customHeight="1">
      <c r="A130" s="112"/>
      <c r="B130" s="400" t="s">
        <v>180</v>
      </c>
      <c r="C130" s="392" t="s">
        <v>501</v>
      </c>
      <c r="D130" s="416" t="s">
        <v>181</v>
      </c>
      <c r="E130" s="271" t="s">
        <v>603</v>
      </c>
      <c r="F130" s="85"/>
      <c r="G130" s="81">
        <f>41908+152797-22797+138468</f>
        <v>310376</v>
      </c>
      <c r="H130" s="93">
        <f aca="true" t="shared" si="5" ref="H130:H148">G130+F130</f>
        <v>310376</v>
      </c>
      <c r="I130" s="181"/>
      <c r="J130" s="137"/>
      <c r="M130" s="200"/>
    </row>
    <row r="131" spans="1:13" s="125" customFormat="1" ht="31.5" customHeight="1" hidden="1">
      <c r="A131" s="395"/>
      <c r="B131" s="400" t="s">
        <v>174</v>
      </c>
      <c r="C131" s="396" t="s">
        <v>525</v>
      </c>
      <c r="D131" s="416" t="s">
        <v>175</v>
      </c>
      <c r="E131" s="234" t="s">
        <v>564</v>
      </c>
      <c r="F131" s="81"/>
      <c r="G131" s="75"/>
      <c r="H131" s="93">
        <f t="shared" si="5"/>
        <v>0</v>
      </c>
      <c r="I131" s="181"/>
      <c r="J131" s="137"/>
      <c r="M131" s="200"/>
    </row>
    <row r="132" spans="1:13" s="125" customFormat="1" ht="65.25" customHeight="1" hidden="1">
      <c r="A132" s="395"/>
      <c r="B132" s="400"/>
      <c r="C132" s="393"/>
      <c r="D132" s="416"/>
      <c r="E132" s="234" t="s">
        <v>139</v>
      </c>
      <c r="F132" s="81"/>
      <c r="G132" s="75"/>
      <c r="H132" s="93">
        <f t="shared" si="5"/>
        <v>0</v>
      </c>
      <c r="I132" s="183"/>
      <c r="J132" s="127"/>
      <c r="M132" s="200"/>
    </row>
    <row r="133" spans="1:13" s="125" customFormat="1" ht="65.25" customHeight="1">
      <c r="A133" s="339"/>
      <c r="B133" s="341" t="s">
        <v>174</v>
      </c>
      <c r="C133" s="337" t="s">
        <v>525</v>
      </c>
      <c r="D133" s="338" t="s">
        <v>175</v>
      </c>
      <c r="E133" s="340" t="s">
        <v>603</v>
      </c>
      <c r="F133" s="81"/>
      <c r="G133" s="75">
        <v>48042</v>
      </c>
      <c r="H133" s="93">
        <f t="shared" si="5"/>
        <v>48042</v>
      </c>
      <c r="I133" s="183"/>
      <c r="J133" s="127"/>
      <c r="M133" s="200"/>
    </row>
    <row r="134" spans="1:13" s="125" customFormat="1" ht="53.25" customHeight="1">
      <c r="A134" s="395"/>
      <c r="B134" s="400" t="s">
        <v>176</v>
      </c>
      <c r="C134" s="392" t="s">
        <v>526</v>
      </c>
      <c r="D134" s="416" t="s">
        <v>177</v>
      </c>
      <c r="E134" s="271" t="s">
        <v>603</v>
      </c>
      <c r="F134" s="81">
        <f>1010838-143449</f>
        <v>867389</v>
      </c>
      <c r="G134" s="81">
        <f>827309+269015+5446+12650</f>
        <v>1114420</v>
      </c>
      <c r="H134" s="93">
        <f t="shared" si="5"/>
        <v>1981809</v>
      </c>
      <c r="I134" s="181"/>
      <c r="J134" s="137"/>
      <c r="L134" s="139"/>
      <c r="M134" s="200"/>
    </row>
    <row r="135" spans="1:13" s="125" customFormat="1" ht="57.75" customHeight="1">
      <c r="A135" s="395"/>
      <c r="B135" s="400"/>
      <c r="C135" s="396"/>
      <c r="D135" s="416"/>
      <c r="E135" s="114" t="s">
        <v>612</v>
      </c>
      <c r="F135" s="87">
        <f>6000+1000+3000+1500+1500+5000</f>
        <v>18000</v>
      </c>
      <c r="G135" s="115">
        <f>10000+10000+12000+7000+10000</f>
        <v>49000</v>
      </c>
      <c r="H135" s="115">
        <f t="shared" si="5"/>
        <v>67000</v>
      </c>
      <c r="I135" s="183"/>
      <c r="J135" s="127"/>
      <c r="M135" s="200"/>
    </row>
    <row r="136" spans="1:13" s="125" customFormat="1" ht="62.25" customHeight="1" hidden="1">
      <c r="A136" s="395"/>
      <c r="B136" s="400"/>
      <c r="C136" s="393"/>
      <c r="D136" s="416"/>
      <c r="E136" s="234" t="s">
        <v>492</v>
      </c>
      <c r="F136" s="167"/>
      <c r="G136" s="82"/>
      <c r="H136" s="93">
        <f t="shared" si="5"/>
        <v>0</v>
      </c>
      <c r="I136" s="183"/>
      <c r="J136" s="127"/>
      <c r="M136" s="200"/>
    </row>
    <row r="137" spans="1:13" s="125" customFormat="1" ht="60" customHeight="1">
      <c r="A137" s="392"/>
      <c r="B137" s="404" t="s">
        <v>184</v>
      </c>
      <c r="C137" s="392" t="s">
        <v>527</v>
      </c>
      <c r="D137" s="417" t="s">
        <v>185</v>
      </c>
      <c r="E137" s="271" t="s">
        <v>603</v>
      </c>
      <c r="F137" s="81">
        <v>406115</v>
      </c>
      <c r="G137" s="81">
        <f>70689+1177500+245130+99002+43128+1083369</f>
        <v>2718818</v>
      </c>
      <c r="H137" s="93">
        <f t="shared" si="5"/>
        <v>3124933</v>
      </c>
      <c r="I137" s="181">
        <v>70689</v>
      </c>
      <c r="J137" s="137"/>
      <c r="K137" s="139"/>
      <c r="L137" s="139"/>
      <c r="M137" s="200"/>
    </row>
    <row r="138" spans="1:13" s="125" customFormat="1" ht="47.25">
      <c r="A138" s="399"/>
      <c r="B138" s="412"/>
      <c r="C138" s="393"/>
      <c r="D138" s="420"/>
      <c r="E138" s="114" t="s">
        <v>612</v>
      </c>
      <c r="F138" s="90">
        <f>15000+10000+10000+45000</f>
        <v>80000</v>
      </c>
      <c r="G138" s="115"/>
      <c r="H138" s="93">
        <f t="shared" si="5"/>
        <v>80000</v>
      </c>
      <c r="I138" s="183"/>
      <c r="J138" s="127"/>
      <c r="M138" s="200"/>
    </row>
    <row r="139" spans="1:13" s="125" customFormat="1" ht="63" customHeight="1">
      <c r="A139" s="392"/>
      <c r="B139" s="392" t="s">
        <v>182</v>
      </c>
      <c r="C139" s="392" t="s">
        <v>507</v>
      </c>
      <c r="D139" s="390" t="s">
        <v>183</v>
      </c>
      <c r="E139" s="271" t="s">
        <v>603</v>
      </c>
      <c r="F139" s="81">
        <f>208398+113010</f>
        <v>321408</v>
      </c>
      <c r="G139" s="81">
        <f>5898984+206811</f>
        <v>6105795</v>
      </c>
      <c r="H139" s="93">
        <f t="shared" si="5"/>
        <v>6427203</v>
      </c>
      <c r="I139" s="181"/>
      <c r="J139" s="137"/>
      <c r="L139" s="139"/>
      <c r="M139" s="200"/>
    </row>
    <row r="140" spans="1:13" s="144" customFormat="1" ht="52.5" customHeight="1">
      <c r="A140" s="396"/>
      <c r="B140" s="396"/>
      <c r="C140" s="396"/>
      <c r="D140" s="401"/>
      <c r="E140" s="114" t="s">
        <v>612</v>
      </c>
      <c r="F140" s="95">
        <f>2253+3330+5500+3000+470</f>
        <v>14553</v>
      </c>
      <c r="G140" s="95">
        <f>15000-3330+9530</f>
        <v>21200</v>
      </c>
      <c r="H140" s="95">
        <f>G140+F140</f>
        <v>35753</v>
      </c>
      <c r="I140" s="189"/>
      <c r="J140" s="143"/>
      <c r="L140" s="145"/>
      <c r="M140" s="146"/>
    </row>
    <row r="141" spans="1:13" s="125" customFormat="1" ht="62.25" customHeight="1" hidden="1">
      <c r="A141" s="396"/>
      <c r="B141" s="396"/>
      <c r="C141" s="393"/>
      <c r="D141" s="401"/>
      <c r="E141" s="234" t="s">
        <v>492</v>
      </c>
      <c r="F141" s="166"/>
      <c r="G141" s="82"/>
      <c r="H141" s="93">
        <f t="shared" si="5"/>
        <v>0</v>
      </c>
      <c r="I141" s="183"/>
      <c r="J141" s="127"/>
      <c r="M141" s="200"/>
    </row>
    <row r="142" spans="1:14" s="125" customFormat="1" ht="60.75" customHeight="1">
      <c r="A142" s="397"/>
      <c r="B142" s="397">
        <v>110300</v>
      </c>
      <c r="C142" s="227" t="s">
        <v>529</v>
      </c>
      <c r="D142" s="390" t="s">
        <v>34</v>
      </c>
      <c r="E142" s="271" t="s">
        <v>603</v>
      </c>
      <c r="F142" s="80">
        <f>1892351-127700+41952</f>
        <v>1806603</v>
      </c>
      <c r="G142" s="82"/>
      <c r="H142" s="93">
        <f t="shared" si="5"/>
        <v>1806603</v>
      </c>
      <c r="I142" s="181"/>
      <c r="J142" s="127"/>
      <c r="M142" s="138"/>
      <c r="N142" s="139"/>
    </row>
    <row r="143" spans="1:13" s="125" customFormat="1" ht="63" customHeight="1" hidden="1">
      <c r="A143" s="398"/>
      <c r="B143" s="398"/>
      <c r="C143" s="221"/>
      <c r="D143" s="391"/>
      <c r="E143" s="234" t="s">
        <v>15</v>
      </c>
      <c r="F143" s="80"/>
      <c r="G143" s="82"/>
      <c r="H143" s="93">
        <f t="shared" si="5"/>
        <v>0</v>
      </c>
      <c r="I143" s="183"/>
      <c r="J143" s="127"/>
      <c r="M143" s="200"/>
    </row>
    <row r="144" spans="1:13" s="125" customFormat="1" ht="60" customHeight="1">
      <c r="A144" s="394"/>
      <c r="B144" s="202">
        <v>110502</v>
      </c>
      <c r="C144" s="227" t="s">
        <v>528</v>
      </c>
      <c r="D144" s="229" t="s">
        <v>22</v>
      </c>
      <c r="E144" s="271" t="s">
        <v>603</v>
      </c>
      <c r="F144" s="84">
        <f>1127787+825637</f>
        <v>1953424</v>
      </c>
      <c r="G144" s="84">
        <f>39000+295786</f>
        <v>334786</v>
      </c>
      <c r="H144" s="93">
        <f t="shared" si="5"/>
        <v>2288210</v>
      </c>
      <c r="I144" s="183"/>
      <c r="J144" s="127"/>
      <c r="M144" s="200"/>
    </row>
    <row r="145" spans="1:13" s="125" customFormat="1" ht="55.5" customHeight="1" hidden="1">
      <c r="A145" s="394"/>
      <c r="B145" s="202"/>
      <c r="C145" s="222"/>
      <c r="D145" s="229"/>
      <c r="E145" s="234" t="s">
        <v>140</v>
      </c>
      <c r="F145" s="84"/>
      <c r="G145" s="117"/>
      <c r="H145" s="93">
        <f t="shared" si="5"/>
        <v>0</v>
      </c>
      <c r="I145" s="183"/>
      <c r="J145" s="127"/>
      <c r="M145" s="200"/>
    </row>
    <row r="146" spans="1:13" s="125" customFormat="1" ht="68.25" customHeight="1" hidden="1">
      <c r="A146" s="394"/>
      <c r="B146" s="202"/>
      <c r="C146" s="222"/>
      <c r="D146" s="229"/>
      <c r="E146" s="234" t="s">
        <v>139</v>
      </c>
      <c r="F146" s="84"/>
      <c r="G146" s="117"/>
      <c r="H146" s="93">
        <f t="shared" si="5"/>
        <v>0</v>
      </c>
      <c r="I146" s="183"/>
      <c r="J146" s="127"/>
      <c r="M146" s="200"/>
    </row>
    <row r="147" spans="1:13" s="125" customFormat="1" ht="56.25" customHeight="1">
      <c r="A147" s="270"/>
      <c r="B147" s="270" t="s">
        <v>88</v>
      </c>
      <c r="C147" s="270" t="s">
        <v>503</v>
      </c>
      <c r="D147" s="271" t="s">
        <v>89</v>
      </c>
      <c r="E147" s="271" t="s">
        <v>603</v>
      </c>
      <c r="F147" s="83"/>
      <c r="G147" s="75">
        <f>2498939-255385-1934654+1934654-12650-1922004</f>
        <v>308900</v>
      </c>
      <c r="H147" s="93">
        <f t="shared" si="5"/>
        <v>308900</v>
      </c>
      <c r="I147" s="181"/>
      <c r="J147" s="137"/>
      <c r="M147" s="200"/>
    </row>
    <row r="148" spans="1:13" s="125" customFormat="1" ht="56.25" customHeight="1">
      <c r="A148" s="376"/>
      <c r="B148" s="376" t="s">
        <v>222</v>
      </c>
      <c r="C148" s="376" t="s">
        <v>511</v>
      </c>
      <c r="D148" s="375" t="s">
        <v>223</v>
      </c>
      <c r="E148" s="375" t="s">
        <v>603</v>
      </c>
      <c r="F148" s="83">
        <v>94782</v>
      </c>
      <c r="G148" s="75"/>
      <c r="H148" s="93">
        <f t="shared" si="5"/>
        <v>94782</v>
      </c>
      <c r="I148" s="181"/>
      <c r="J148" s="137"/>
      <c r="M148" s="200"/>
    </row>
    <row r="149" spans="1:13" s="125" customFormat="1" ht="66.75" customHeight="1" hidden="1">
      <c r="A149" s="226"/>
      <c r="B149" s="226" t="s">
        <v>75</v>
      </c>
      <c r="C149" s="226" t="s">
        <v>504</v>
      </c>
      <c r="D149" s="234" t="s">
        <v>239</v>
      </c>
      <c r="E149" s="247" t="s">
        <v>584</v>
      </c>
      <c r="F149" s="83"/>
      <c r="G149" s="75"/>
      <c r="H149" s="93">
        <f>G149+F149</f>
        <v>0</v>
      </c>
      <c r="I149" s="181"/>
      <c r="J149" s="137"/>
      <c r="M149" s="200"/>
    </row>
    <row r="150" spans="1:13" s="125" customFormat="1" ht="54" customHeight="1">
      <c r="A150" s="112"/>
      <c r="B150" s="112" t="s">
        <v>162</v>
      </c>
      <c r="C150" s="112"/>
      <c r="D150" s="113" t="s">
        <v>636</v>
      </c>
      <c r="E150" s="234"/>
      <c r="F150" s="85">
        <f>F151+F153+F154+F156+F155+F152+F157</f>
        <v>4948972</v>
      </c>
      <c r="G150" s="85">
        <f>G151+G153+G154+G156+G155+G152+G157</f>
        <v>6801220</v>
      </c>
      <c r="H150" s="85">
        <f>H151+H153+H154+H156+H155+H152+H157</f>
        <v>11750192</v>
      </c>
      <c r="I150" s="181">
        <f>I151+I153+I154+I156+I155</f>
        <v>0</v>
      </c>
      <c r="J150" s="137"/>
      <c r="M150" s="200"/>
    </row>
    <row r="151" spans="1:13" s="125" customFormat="1" ht="57.75" customHeight="1">
      <c r="A151" s="392"/>
      <c r="B151" s="392" t="s">
        <v>180</v>
      </c>
      <c r="C151" s="392" t="s">
        <v>501</v>
      </c>
      <c r="D151" s="390" t="s">
        <v>181</v>
      </c>
      <c r="E151" s="292" t="s">
        <v>620</v>
      </c>
      <c r="F151" s="81">
        <f>3085987+648175-577085+170664+176009</f>
        <v>3503750</v>
      </c>
      <c r="G151" s="75">
        <f>3265882-648175-170664-176009</f>
        <v>2271034</v>
      </c>
      <c r="H151" s="75">
        <f aca="true" t="shared" si="6" ref="H151:H164">F151+G151</f>
        <v>5774784</v>
      </c>
      <c r="I151" s="183"/>
      <c r="J151" s="137"/>
      <c r="M151" s="200"/>
    </row>
    <row r="152" spans="1:13" s="125" customFormat="1" ht="57.75" customHeight="1">
      <c r="A152" s="393"/>
      <c r="B152" s="393"/>
      <c r="C152" s="393"/>
      <c r="D152" s="391"/>
      <c r="E152" s="377" t="s">
        <v>674</v>
      </c>
      <c r="F152" s="81"/>
      <c r="G152" s="75">
        <v>24555</v>
      </c>
      <c r="H152" s="75">
        <f t="shared" si="6"/>
        <v>24555</v>
      </c>
      <c r="I152" s="183"/>
      <c r="J152" s="137"/>
      <c r="M152" s="200"/>
    </row>
    <row r="153" spans="1:13" s="125" customFormat="1" ht="26.25" customHeight="1" hidden="1">
      <c r="A153" s="227"/>
      <c r="B153" s="406" t="s">
        <v>88</v>
      </c>
      <c r="C153" s="404" t="s">
        <v>503</v>
      </c>
      <c r="D153" s="390" t="s">
        <v>89</v>
      </c>
      <c r="E153" s="229"/>
      <c r="F153" s="83"/>
      <c r="G153" s="75"/>
      <c r="H153" s="75">
        <f t="shared" si="6"/>
        <v>0</v>
      </c>
      <c r="I153" s="183"/>
      <c r="J153" s="137"/>
      <c r="M153" s="200"/>
    </row>
    <row r="154" spans="1:13" s="125" customFormat="1" ht="72" customHeight="1">
      <c r="A154" s="225"/>
      <c r="B154" s="407"/>
      <c r="C154" s="405"/>
      <c r="D154" s="391"/>
      <c r="E154" s="292" t="s">
        <v>620</v>
      </c>
      <c r="F154" s="83"/>
      <c r="G154" s="89">
        <f>10280415-6351869+577085</f>
        <v>4505631</v>
      </c>
      <c r="H154" s="75">
        <f>G154+F154</f>
        <v>4505631</v>
      </c>
      <c r="I154" s="183"/>
      <c r="J154" s="137"/>
      <c r="M154" s="200"/>
    </row>
    <row r="155" spans="1:14" s="125" customFormat="1" ht="66.75" customHeight="1">
      <c r="A155" s="316"/>
      <c r="B155" s="315" t="s">
        <v>106</v>
      </c>
      <c r="C155" s="313" t="s">
        <v>511</v>
      </c>
      <c r="D155" s="314" t="s">
        <v>236</v>
      </c>
      <c r="E155" s="352" t="s">
        <v>652</v>
      </c>
      <c r="F155" s="81">
        <f>492000-7000</f>
        <v>485000</v>
      </c>
      <c r="G155" s="81"/>
      <c r="H155" s="75">
        <f t="shared" si="6"/>
        <v>485000</v>
      </c>
      <c r="I155" s="183"/>
      <c r="J155" s="127"/>
      <c r="M155" s="138"/>
      <c r="N155" s="139"/>
    </row>
    <row r="156" spans="1:14" s="125" customFormat="1" ht="57" customHeight="1">
      <c r="A156" s="392"/>
      <c r="B156" s="392" t="s">
        <v>81</v>
      </c>
      <c r="C156" s="392" t="s">
        <v>504</v>
      </c>
      <c r="D156" s="390" t="s">
        <v>96</v>
      </c>
      <c r="E156" s="92" t="s">
        <v>644</v>
      </c>
      <c r="F156" s="81">
        <f>831939-88605</f>
        <v>743334</v>
      </c>
      <c r="G156" s="89"/>
      <c r="H156" s="75">
        <f>G156+F156</f>
        <v>743334</v>
      </c>
      <c r="I156" s="183"/>
      <c r="J156" s="127"/>
      <c r="M156" s="138"/>
      <c r="N156" s="139"/>
    </row>
    <row r="157" spans="1:14" s="125" customFormat="1" ht="57" customHeight="1">
      <c r="A157" s="393"/>
      <c r="B157" s="393"/>
      <c r="C157" s="393"/>
      <c r="D157" s="391"/>
      <c r="E157" s="92" t="s">
        <v>671</v>
      </c>
      <c r="F157" s="288">
        <v>216888</v>
      </c>
      <c r="G157" s="220"/>
      <c r="H157" s="75">
        <f>G157+F157</f>
        <v>216888</v>
      </c>
      <c r="I157" s="183"/>
      <c r="J157" s="127"/>
      <c r="M157" s="138"/>
      <c r="N157" s="139"/>
    </row>
    <row r="158" spans="1:14" s="125" customFormat="1" ht="42.75" customHeight="1">
      <c r="A158" s="286"/>
      <c r="B158" s="112" t="s">
        <v>197</v>
      </c>
      <c r="C158" s="287"/>
      <c r="D158" s="113" t="s">
        <v>629</v>
      </c>
      <c r="E158" s="92"/>
      <c r="F158" s="290">
        <f>F159</f>
        <v>0</v>
      </c>
      <c r="G158" s="290">
        <f>G159</f>
        <v>2954276</v>
      </c>
      <c r="H158" s="290">
        <f>H159</f>
        <v>2954276</v>
      </c>
      <c r="I158" s="183"/>
      <c r="J158" s="127"/>
      <c r="M158" s="138"/>
      <c r="N158" s="139"/>
    </row>
    <row r="159" spans="1:14" s="125" customFormat="1" ht="48" customHeight="1">
      <c r="A159" s="286"/>
      <c r="B159" s="287" t="s">
        <v>180</v>
      </c>
      <c r="C159" s="287" t="s">
        <v>501</v>
      </c>
      <c r="D159" s="284" t="s">
        <v>181</v>
      </c>
      <c r="E159" s="377" t="s">
        <v>674</v>
      </c>
      <c r="F159" s="288"/>
      <c r="G159" s="220">
        <f>1752000-296000+759356+131656+607264</f>
        <v>2954276</v>
      </c>
      <c r="H159" s="180">
        <f>G159+F159</f>
        <v>2954276</v>
      </c>
      <c r="I159" s="183"/>
      <c r="J159" s="127"/>
      <c r="M159" s="138"/>
      <c r="N159" s="139"/>
    </row>
    <row r="160" spans="1:13" s="125" customFormat="1" ht="60.75" customHeight="1">
      <c r="A160" s="112"/>
      <c r="B160" s="112" t="s">
        <v>160</v>
      </c>
      <c r="C160" s="112"/>
      <c r="D160" s="113" t="s">
        <v>243</v>
      </c>
      <c r="E160" s="234"/>
      <c r="F160" s="179">
        <f>F161+F163+F165+F166+F167+F169+F171+F173+F174+F177+F183+F184+F185+F186+F187+F188+F189+F190+F164+F162+F168+F175+F176+F172+F181+F191+F182</f>
        <v>484215553</v>
      </c>
      <c r="G160" s="179">
        <f>G161+G163+G165+G166+G167+G169+G171+G173+G174+G177+G183+G184+G185+G186+G187+G188+G189+G190+G164+G162+G168+G175+G176+G172+G181+G191+G182</f>
        <v>462988121</v>
      </c>
      <c r="H160" s="179">
        <f>H161+H163+H165+H166+H167+H169+H171+H173+H174+H177+H183+H184+H185+H186+H187+H188+H189+H190+H164+H162+H168+H175+H176+H172+H181+H191+H182</f>
        <v>947203674</v>
      </c>
      <c r="I160" s="181">
        <f>I161+I163+I165+I166+I167+I169+I171+I173+I174+I177+I183+I184+I185+I186+I187+I188+I189+I190</f>
        <v>0</v>
      </c>
      <c r="J160" s="137"/>
      <c r="M160" s="200"/>
    </row>
    <row r="161" spans="1:13" s="171" customFormat="1" ht="49.5" customHeight="1" hidden="1">
      <c r="A161" s="392"/>
      <c r="B161" s="392" t="s">
        <v>180</v>
      </c>
      <c r="C161" s="226" t="s">
        <v>501</v>
      </c>
      <c r="D161" s="390" t="s">
        <v>181</v>
      </c>
      <c r="E161" s="229" t="s">
        <v>562</v>
      </c>
      <c r="F161" s="85"/>
      <c r="G161" s="75"/>
      <c r="H161" s="75">
        <f t="shared" si="6"/>
        <v>0</v>
      </c>
      <c r="I161" s="190"/>
      <c r="J161" s="170"/>
      <c r="M161" s="172"/>
    </row>
    <row r="162" spans="1:13" s="125" customFormat="1" ht="61.5" customHeight="1">
      <c r="A162" s="393"/>
      <c r="B162" s="393"/>
      <c r="C162" s="226" t="s">
        <v>501</v>
      </c>
      <c r="D162" s="391"/>
      <c r="E162" s="292" t="s">
        <v>621</v>
      </c>
      <c r="F162" s="166"/>
      <c r="G162" s="75">
        <f>109041-16767</f>
        <v>92274</v>
      </c>
      <c r="H162" s="75">
        <f t="shared" si="6"/>
        <v>92274</v>
      </c>
      <c r="I162" s="183"/>
      <c r="J162" s="127"/>
      <c r="M162" s="200"/>
    </row>
    <row r="163" spans="1:14" s="125" customFormat="1" ht="54" customHeight="1" hidden="1">
      <c r="A163" s="227"/>
      <c r="B163" s="227" t="s">
        <v>90</v>
      </c>
      <c r="C163" s="224" t="s">
        <v>523</v>
      </c>
      <c r="D163" s="227" t="s">
        <v>97</v>
      </c>
      <c r="E163" s="292" t="s">
        <v>621</v>
      </c>
      <c r="F163" s="81"/>
      <c r="G163" s="89"/>
      <c r="H163" s="75">
        <f t="shared" si="6"/>
        <v>0</v>
      </c>
      <c r="I163" s="183"/>
      <c r="J163" s="127"/>
      <c r="M163" s="138"/>
      <c r="N163" s="139"/>
    </row>
    <row r="164" spans="1:14" s="125" customFormat="1" ht="47.25" hidden="1">
      <c r="A164" s="261"/>
      <c r="B164" s="265" t="s">
        <v>600</v>
      </c>
      <c r="C164" s="263" t="s">
        <v>601</v>
      </c>
      <c r="D164" s="264" t="s">
        <v>602</v>
      </c>
      <c r="E164" s="268" t="s">
        <v>17</v>
      </c>
      <c r="F164" s="81"/>
      <c r="G164" s="89"/>
      <c r="H164" s="75">
        <f t="shared" si="6"/>
        <v>0</v>
      </c>
      <c r="I164" s="183"/>
      <c r="J164" s="127"/>
      <c r="M164" s="138"/>
      <c r="N164" s="139"/>
    </row>
    <row r="165" spans="1:14" s="125" customFormat="1" ht="47.25">
      <c r="A165" s="227"/>
      <c r="B165" s="413" t="s">
        <v>234</v>
      </c>
      <c r="C165" s="392" t="s">
        <v>530</v>
      </c>
      <c r="D165" s="390" t="s">
        <v>235</v>
      </c>
      <c r="E165" s="292" t="s">
        <v>621</v>
      </c>
      <c r="F165" s="81">
        <f>34949374-25760374+997512+324401-95000-211000-297000-87000-541000+750+485745+2776424+20858+300+219376+14387208+1103491</f>
        <v>28274065</v>
      </c>
      <c r="G165" s="89"/>
      <c r="H165" s="75">
        <f aca="true" t="shared" si="7" ref="H165:H183">F165+G165</f>
        <v>28274065</v>
      </c>
      <c r="I165" s="183"/>
      <c r="J165" s="127"/>
      <c r="M165" s="138"/>
      <c r="N165" s="139"/>
    </row>
    <row r="166" spans="1:14" s="125" customFormat="1" ht="47.25">
      <c r="A166" s="225"/>
      <c r="B166" s="414"/>
      <c r="C166" s="393"/>
      <c r="D166" s="391"/>
      <c r="E166" s="114" t="s">
        <v>612</v>
      </c>
      <c r="F166" s="86">
        <f>123123+15000+60000+12000+16000+5000+4000+25500-12000+12000+3890+15000+12500+6700+10200+8000+398628+373000+459000</f>
        <v>1547541</v>
      </c>
      <c r="G166" s="89"/>
      <c r="H166" s="86">
        <f>F166+G166</f>
        <v>1547541</v>
      </c>
      <c r="I166" s="183"/>
      <c r="J166" s="127"/>
      <c r="M166" s="138"/>
      <c r="N166" s="139"/>
    </row>
    <row r="167" spans="1:13" s="125" customFormat="1" ht="47.25">
      <c r="A167" s="392"/>
      <c r="B167" s="392" t="s">
        <v>118</v>
      </c>
      <c r="C167" s="392" t="s">
        <v>530</v>
      </c>
      <c r="D167" s="390" t="s">
        <v>119</v>
      </c>
      <c r="E167" s="292" t="s">
        <v>621</v>
      </c>
      <c r="F167" s="81"/>
      <c r="G167" s="75">
        <f>192105143-17156862+17156862+18325168-3431000+106299409+164955-28209242-1225302+22520+2963606+20000000-29550204-5863127-2958874+275500+540406-35109-2775071+622532</f>
        <v>267271310</v>
      </c>
      <c r="H167" s="75">
        <f t="shared" si="7"/>
        <v>267271310</v>
      </c>
      <c r="I167" s="183"/>
      <c r="J167" s="137"/>
      <c r="M167" s="200"/>
    </row>
    <row r="168" spans="1:13" s="125" customFormat="1" ht="63">
      <c r="A168" s="396"/>
      <c r="B168" s="396"/>
      <c r="C168" s="396"/>
      <c r="D168" s="401"/>
      <c r="E168" s="319" t="s">
        <v>638</v>
      </c>
      <c r="F168" s="81"/>
      <c r="G168" s="75">
        <f>3458227+20000</f>
        <v>3478227</v>
      </c>
      <c r="H168" s="75">
        <f t="shared" si="7"/>
        <v>3478227</v>
      </c>
      <c r="I168" s="183"/>
      <c r="J168" s="137"/>
      <c r="M168" s="200"/>
    </row>
    <row r="169" spans="1:13" s="125" customFormat="1" ht="47.25">
      <c r="A169" s="393"/>
      <c r="B169" s="393"/>
      <c r="C169" s="393"/>
      <c r="D169" s="391"/>
      <c r="E169" s="114" t="s">
        <v>612</v>
      </c>
      <c r="F169" s="81"/>
      <c r="G169" s="86">
        <f>70377+60000+12000+15000-15000+8832+23000+120000-34400</f>
        <v>259809</v>
      </c>
      <c r="H169" s="86">
        <f>F169+G169</f>
        <v>259809</v>
      </c>
      <c r="I169" s="183"/>
      <c r="J169" s="127"/>
      <c r="M169" s="200"/>
    </row>
    <row r="170" spans="1:14" s="125" customFormat="1" ht="47.25" customHeight="1" hidden="1">
      <c r="A170" s="227"/>
      <c r="B170" s="227" t="s">
        <v>453</v>
      </c>
      <c r="C170" s="227"/>
      <c r="D170" s="230" t="s">
        <v>19</v>
      </c>
      <c r="E170" s="234" t="s">
        <v>363</v>
      </c>
      <c r="F170" s="81"/>
      <c r="G170" s="89"/>
      <c r="H170" s="75">
        <f t="shared" si="7"/>
        <v>0</v>
      </c>
      <c r="I170" s="183"/>
      <c r="J170" s="127"/>
      <c r="M170" s="138"/>
      <c r="N170" s="139"/>
    </row>
    <row r="171" spans="1:13" s="125" customFormat="1" ht="51.75" customHeight="1">
      <c r="A171" s="392"/>
      <c r="B171" s="392" t="s">
        <v>278</v>
      </c>
      <c r="C171" s="392" t="s">
        <v>530</v>
      </c>
      <c r="D171" s="390" t="s">
        <v>279</v>
      </c>
      <c r="E171" s="292" t="s">
        <v>621</v>
      </c>
      <c r="F171" s="81"/>
      <c r="G171" s="75">
        <f>15000000+17156862-17156862+29550204+10000000+661235</f>
        <v>55211439</v>
      </c>
      <c r="H171" s="75">
        <f t="shared" si="7"/>
        <v>55211439</v>
      </c>
      <c r="I171" s="183"/>
      <c r="J171" s="137"/>
      <c r="M171" s="200"/>
    </row>
    <row r="172" spans="1:13" s="125" customFormat="1" ht="51.75" customHeight="1">
      <c r="A172" s="393"/>
      <c r="B172" s="393"/>
      <c r="C172" s="393"/>
      <c r="D172" s="391"/>
      <c r="E172" s="114" t="s">
        <v>612</v>
      </c>
      <c r="F172" s="81"/>
      <c r="G172" s="75">
        <f>43832-8832+15000</f>
        <v>50000</v>
      </c>
      <c r="H172" s="75">
        <f t="shared" si="7"/>
        <v>50000</v>
      </c>
      <c r="I172" s="183"/>
      <c r="J172" s="137"/>
      <c r="M172" s="200"/>
    </row>
    <row r="173" spans="1:14" s="125" customFormat="1" ht="51" customHeight="1" hidden="1">
      <c r="A173" s="392"/>
      <c r="B173" s="392" t="s">
        <v>98</v>
      </c>
      <c r="C173" s="392" t="s">
        <v>531</v>
      </c>
      <c r="D173" s="390" t="s">
        <v>120</v>
      </c>
      <c r="E173" s="292" t="s">
        <v>621</v>
      </c>
      <c r="F173" s="266"/>
      <c r="G173" s="266"/>
      <c r="H173" s="267">
        <f t="shared" si="7"/>
        <v>0</v>
      </c>
      <c r="I173" s="183"/>
      <c r="J173" s="137"/>
      <c r="M173" s="138"/>
      <c r="N173" s="139"/>
    </row>
    <row r="174" spans="1:14" s="125" customFormat="1" ht="48.75" customHeight="1" hidden="1">
      <c r="A174" s="396"/>
      <c r="B174" s="396"/>
      <c r="C174" s="396"/>
      <c r="D174" s="401"/>
      <c r="E174" s="114" t="s">
        <v>612</v>
      </c>
      <c r="F174" s="86"/>
      <c r="G174" s="115"/>
      <c r="H174" s="115">
        <f>F174+G174</f>
        <v>0</v>
      </c>
      <c r="I174" s="183"/>
      <c r="J174" s="137"/>
      <c r="M174" s="138"/>
      <c r="N174" s="139"/>
    </row>
    <row r="175" spans="1:14" s="125" customFormat="1" ht="48.75" customHeight="1" hidden="1">
      <c r="A175" s="298"/>
      <c r="B175" s="393"/>
      <c r="C175" s="393"/>
      <c r="D175" s="391"/>
      <c r="E175" s="92" t="s">
        <v>610</v>
      </c>
      <c r="F175" s="81"/>
      <c r="G175" s="115"/>
      <c r="H175" s="75">
        <f>F175+G175</f>
        <v>0</v>
      </c>
      <c r="I175" s="183"/>
      <c r="J175" s="137"/>
      <c r="M175" s="138"/>
      <c r="N175" s="139"/>
    </row>
    <row r="176" spans="1:14" s="125" customFormat="1" ht="48.75" customHeight="1">
      <c r="A176" s="303"/>
      <c r="B176" s="309" t="s">
        <v>627</v>
      </c>
      <c r="C176" s="309" t="s">
        <v>531</v>
      </c>
      <c r="D176" s="308" t="s">
        <v>628</v>
      </c>
      <c r="E176" s="302" t="s">
        <v>621</v>
      </c>
      <c r="F176" s="81"/>
      <c r="G176" s="75">
        <v>28209242</v>
      </c>
      <c r="H176" s="75">
        <f>F176+G176</f>
        <v>28209242</v>
      </c>
      <c r="I176" s="183"/>
      <c r="J176" s="137"/>
      <c r="M176" s="138"/>
      <c r="N176" s="139"/>
    </row>
    <row r="177" spans="1:13" s="125" customFormat="1" ht="51" customHeight="1">
      <c r="A177" s="369"/>
      <c r="B177" s="358" t="s">
        <v>88</v>
      </c>
      <c r="C177" s="323" t="s">
        <v>503</v>
      </c>
      <c r="D177" s="402" t="s">
        <v>89</v>
      </c>
      <c r="E177" s="292" t="s">
        <v>621</v>
      </c>
      <c r="F177" s="83"/>
      <c r="G177" s="93">
        <f>140523956-302260-3900+13687365+76-1-121349-753954+6161356-36288+6007128+830369+41949+12969533+516126+136651-411312+5060000-65041950-23422520+954289-5000000-400000-8000000-321239+220667+100132+2558580+2739498+9407618-2198603-729712-1096685+77112-344323</f>
        <v>93808309</v>
      </c>
      <c r="H177" s="75">
        <f t="shared" si="7"/>
        <v>93808309</v>
      </c>
      <c r="I177" s="183"/>
      <c r="J177" s="137"/>
      <c r="M177" s="200"/>
    </row>
    <row r="178" spans="1:13" s="125" customFormat="1" ht="51" customHeight="1" hidden="1">
      <c r="A178" s="369"/>
      <c r="B178" s="358"/>
      <c r="C178" s="241"/>
      <c r="D178" s="402"/>
      <c r="E178" s="242" t="s">
        <v>126</v>
      </c>
      <c r="F178" s="83"/>
      <c r="G178" s="93"/>
      <c r="H178" s="75">
        <f t="shared" si="7"/>
        <v>0</v>
      </c>
      <c r="I178" s="183"/>
      <c r="J178" s="137"/>
      <c r="M178" s="200"/>
    </row>
    <row r="179" spans="1:13" s="125" customFormat="1" ht="31.5" customHeight="1" hidden="1">
      <c r="A179" s="369"/>
      <c r="B179" s="358"/>
      <c r="C179" s="240"/>
      <c r="D179" s="402"/>
      <c r="E179" s="114" t="s">
        <v>493</v>
      </c>
      <c r="F179" s="83"/>
      <c r="G179" s="91"/>
      <c r="H179" s="75">
        <f t="shared" si="7"/>
        <v>0</v>
      </c>
      <c r="I179" s="183"/>
      <c r="J179" s="127"/>
      <c r="M179" s="200"/>
    </row>
    <row r="180" spans="1:13" s="125" customFormat="1" ht="54.75" customHeight="1" hidden="1">
      <c r="A180" s="369"/>
      <c r="B180" s="358"/>
      <c r="C180" s="358" t="s">
        <v>514</v>
      </c>
      <c r="D180" s="402" t="s">
        <v>219</v>
      </c>
      <c r="E180" s="229" t="s">
        <v>547</v>
      </c>
      <c r="F180" s="83"/>
      <c r="G180" s="75"/>
      <c r="H180" s="75">
        <f t="shared" si="7"/>
        <v>0</v>
      </c>
      <c r="I180" s="183"/>
      <c r="J180" s="137"/>
      <c r="M180" s="200"/>
    </row>
    <row r="181" spans="1:13" s="125" customFormat="1" ht="55.5" customHeight="1">
      <c r="A181" s="369"/>
      <c r="B181" s="358" t="s">
        <v>43</v>
      </c>
      <c r="C181" s="358" t="s">
        <v>514</v>
      </c>
      <c r="D181" s="402"/>
      <c r="E181" s="356" t="s">
        <v>621</v>
      </c>
      <c r="F181" s="83"/>
      <c r="G181" s="75">
        <f>1727600-79380</f>
        <v>1648220</v>
      </c>
      <c r="H181" s="75">
        <f t="shared" si="7"/>
        <v>1648220</v>
      </c>
      <c r="I181" s="183"/>
      <c r="J181" s="127"/>
      <c r="M181" s="200"/>
    </row>
    <row r="182" spans="1:13" s="125" customFormat="1" ht="66" customHeight="1">
      <c r="A182" s="182"/>
      <c r="B182" s="378" t="s">
        <v>103</v>
      </c>
      <c r="C182" s="381" t="s">
        <v>537</v>
      </c>
      <c r="D182" s="379" t="s">
        <v>104</v>
      </c>
      <c r="E182" s="382" t="s">
        <v>621</v>
      </c>
      <c r="F182" s="385"/>
      <c r="G182" s="124">
        <v>1352362</v>
      </c>
      <c r="H182" s="75">
        <f t="shared" si="7"/>
        <v>1352362</v>
      </c>
      <c r="I182" s="183"/>
      <c r="J182" s="127"/>
      <c r="M182" s="200"/>
    </row>
    <row r="183" spans="1:13" s="125" customFormat="1" ht="66" customHeight="1">
      <c r="A183" s="230"/>
      <c r="B183" s="230">
        <v>180409</v>
      </c>
      <c r="C183" s="227" t="s">
        <v>503</v>
      </c>
      <c r="D183" s="207" t="s">
        <v>242</v>
      </c>
      <c r="E183" s="363" t="s">
        <v>621</v>
      </c>
      <c r="F183" s="204"/>
      <c r="G183" s="203">
        <f>11070997+515608-321373</f>
        <v>11265232</v>
      </c>
      <c r="H183" s="124">
        <f t="shared" si="7"/>
        <v>11265232</v>
      </c>
      <c r="I183" s="183"/>
      <c r="J183" s="137"/>
      <c r="M183" s="200"/>
    </row>
    <row r="184" spans="1:13" s="125" customFormat="1" ht="54" customHeight="1" hidden="1">
      <c r="A184" s="232"/>
      <c r="B184" s="200"/>
      <c r="C184" s="224"/>
      <c r="D184" s="238"/>
      <c r="E184" s="114" t="s">
        <v>544</v>
      </c>
      <c r="F184" s="86"/>
      <c r="G184" s="115"/>
      <c r="H184" s="115">
        <f>F184+G184</f>
        <v>0</v>
      </c>
      <c r="I184" s="183"/>
      <c r="J184" s="127"/>
      <c r="M184" s="200"/>
    </row>
    <row r="185" spans="1:13" s="125" customFormat="1" ht="28.5" customHeight="1" hidden="1">
      <c r="A185" s="226"/>
      <c r="B185" s="234">
        <v>200700</v>
      </c>
      <c r="C185" s="226" t="s">
        <v>512</v>
      </c>
      <c r="D185" s="229" t="s">
        <v>141</v>
      </c>
      <c r="E185" s="234" t="s">
        <v>571</v>
      </c>
      <c r="F185" s="83"/>
      <c r="G185" s="83">
        <f>1907500-297500-1610000</f>
        <v>0</v>
      </c>
      <c r="H185" s="75">
        <f aca="true" t="shared" si="8" ref="H185:H214">F185+G185</f>
        <v>0</v>
      </c>
      <c r="I185" s="183"/>
      <c r="J185" s="137"/>
      <c r="M185" s="200"/>
    </row>
    <row r="186" spans="1:13" s="171" customFormat="1" ht="30" customHeight="1" hidden="1">
      <c r="A186" s="225"/>
      <c r="B186" s="231">
        <v>210105</v>
      </c>
      <c r="C186" s="225" t="s">
        <v>536</v>
      </c>
      <c r="D186" s="175" t="s">
        <v>93</v>
      </c>
      <c r="E186" s="229" t="s">
        <v>547</v>
      </c>
      <c r="F186" s="83"/>
      <c r="G186" s="83"/>
      <c r="H186" s="75">
        <f t="shared" si="8"/>
        <v>0</v>
      </c>
      <c r="I186" s="191"/>
      <c r="J186" s="170"/>
      <c r="M186" s="172"/>
    </row>
    <row r="187" spans="1:13" s="125" customFormat="1" ht="32.25" customHeight="1" hidden="1">
      <c r="A187" s="226"/>
      <c r="B187" s="234">
        <v>240601</v>
      </c>
      <c r="C187" s="226" t="s">
        <v>513</v>
      </c>
      <c r="D187" s="234" t="s">
        <v>110</v>
      </c>
      <c r="E187" s="293" t="s">
        <v>616</v>
      </c>
      <c r="F187" s="83"/>
      <c r="G187" s="83"/>
      <c r="H187" s="75">
        <f t="shared" si="8"/>
        <v>0</v>
      </c>
      <c r="I187" s="183"/>
      <c r="J187" s="137"/>
      <c r="M187" s="200"/>
    </row>
    <row r="188" spans="1:14" s="125" customFormat="1" ht="48.75" customHeight="1">
      <c r="A188" s="395"/>
      <c r="B188" s="392" t="s">
        <v>81</v>
      </c>
      <c r="C188" s="395" t="s">
        <v>504</v>
      </c>
      <c r="D188" s="402" t="s">
        <v>96</v>
      </c>
      <c r="E188" s="292" t="s">
        <v>621</v>
      </c>
      <c r="F188" s="81">
        <f>308836+50000000+2776424+50000000-2776424-308836+23400000+180000000+150000000</f>
        <v>453400000</v>
      </c>
      <c r="G188" s="81">
        <f>363849-22152+253425-253425</f>
        <v>341697</v>
      </c>
      <c r="H188" s="75">
        <f t="shared" si="8"/>
        <v>453741697</v>
      </c>
      <c r="I188" s="183"/>
      <c r="J188" s="137"/>
      <c r="M188" s="138"/>
      <c r="N188" s="139"/>
    </row>
    <row r="189" spans="1:13" s="125" customFormat="1" ht="48.75" customHeight="1">
      <c r="A189" s="395"/>
      <c r="B189" s="396"/>
      <c r="C189" s="395"/>
      <c r="D189" s="402"/>
      <c r="E189" s="383" t="s">
        <v>677</v>
      </c>
      <c r="F189" s="81">
        <v>640000</v>
      </c>
      <c r="G189" s="93"/>
      <c r="H189" s="75">
        <f t="shared" si="8"/>
        <v>640000</v>
      </c>
      <c r="I189" s="183"/>
      <c r="J189" s="127"/>
      <c r="M189" s="200"/>
    </row>
    <row r="190" spans="1:13" s="125" customFormat="1" ht="112.5" customHeight="1">
      <c r="A190" s="395"/>
      <c r="B190" s="396"/>
      <c r="C190" s="395"/>
      <c r="D190" s="402"/>
      <c r="E190" s="293" t="s">
        <v>623</v>
      </c>
      <c r="F190" s="81">
        <v>353947</v>
      </c>
      <c r="G190" s="93"/>
      <c r="H190" s="75">
        <f t="shared" si="8"/>
        <v>353947</v>
      </c>
      <c r="I190" s="183"/>
      <c r="J190" s="127"/>
      <c r="M190" s="200"/>
    </row>
    <row r="191" spans="1:13" s="125" customFormat="1" ht="47.25" customHeight="1" hidden="1">
      <c r="A191" s="415"/>
      <c r="B191" s="393"/>
      <c r="C191" s="395"/>
      <c r="D191" s="403"/>
      <c r="E191" s="114" t="s">
        <v>612</v>
      </c>
      <c r="F191" s="91">
        <f>20000-20000</f>
        <v>0</v>
      </c>
      <c r="G191" s="93"/>
      <c r="H191" s="115">
        <f t="shared" si="8"/>
        <v>0</v>
      </c>
      <c r="I191" s="183"/>
      <c r="J191" s="127"/>
      <c r="M191" s="200"/>
    </row>
    <row r="192" spans="1:13" s="125" customFormat="1" ht="47.25" customHeight="1">
      <c r="A192" s="312"/>
      <c r="B192" s="112" t="s">
        <v>241</v>
      </c>
      <c r="C192" s="112"/>
      <c r="D192" s="113" t="s">
        <v>637</v>
      </c>
      <c r="E192" s="114"/>
      <c r="F192" s="85">
        <f>F193+F194+F195+F196+F197+F198+F199+F201+F202+F203+F204+F200</f>
        <v>246684789</v>
      </c>
      <c r="G192" s="85">
        <f>G193+G194+G195+G196+G197+G198+G199+G201+G202+G203+G204+G200</f>
        <v>293657690</v>
      </c>
      <c r="H192" s="85">
        <f>H193+H194+H195+H196+H197+H198+H199+H201+H202+H203+H204+H200</f>
        <v>540342479</v>
      </c>
      <c r="I192" s="183"/>
      <c r="J192" s="127"/>
      <c r="M192" s="200"/>
    </row>
    <row r="193" spans="1:13" s="125" customFormat="1" ht="47.25" customHeight="1">
      <c r="A193" s="306"/>
      <c r="B193" s="307" t="s">
        <v>180</v>
      </c>
      <c r="C193" s="307" t="s">
        <v>501</v>
      </c>
      <c r="D193" s="305" t="s">
        <v>181</v>
      </c>
      <c r="E193" s="338" t="s">
        <v>645</v>
      </c>
      <c r="F193" s="91"/>
      <c r="G193" s="93">
        <f>92592-14592+2266345+10178</f>
        <v>2354523</v>
      </c>
      <c r="H193" s="75">
        <f t="shared" si="8"/>
        <v>2354523</v>
      </c>
      <c r="I193" s="183"/>
      <c r="J193" s="127"/>
      <c r="M193" s="200"/>
    </row>
    <row r="194" spans="1:13" s="125" customFormat="1" ht="47.25" customHeight="1">
      <c r="A194" s="322"/>
      <c r="B194" s="323" t="s">
        <v>90</v>
      </c>
      <c r="C194" s="325" t="s">
        <v>523</v>
      </c>
      <c r="D194" s="323" t="s">
        <v>97</v>
      </c>
      <c r="E194" s="336" t="s">
        <v>645</v>
      </c>
      <c r="F194" s="81">
        <v>353900</v>
      </c>
      <c r="G194" s="93"/>
      <c r="H194" s="75">
        <f t="shared" si="8"/>
        <v>353900</v>
      </c>
      <c r="I194" s="183"/>
      <c r="J194" s="127"/>
      <c r="M194" s="200"/>
    </row>
    <row r="195" spans="1:13" s="125" customFormat="1" ht="47.25" customHeight="1">
      <c r="A195" s="322"/>
      <c r="B195" s="326" t="s">
        <v>600</v>
      </c>
      <c r="C195" s="325" t="s">
        <v>601</v>
      </c>
      <c r="D195" s="324" t="s">
        <v>602</v>
      </c>
      <c r="E195" s="324" t="s">
        <v>17</v>
      </c>
      <c r="F195" s="81">
        <f>195000+56384</f>
        <v>251384</v>
      </c>
      <c r="G195" s="93"/>
      <c r="H195" s="75">
        <f t="shared" si="8"/>
        <v>251384</v>
      </c>
      <c r="I195" s="183"/>
      <c r="J195" s="127"/>
      <c r="M195" s="200"/>
    </row>
    <row r="196" spans="1:13" s="125" customFormat="1" ht="47.25" customHeight="1">
      <c r="A196" s="418"/>
      <c r="B196" s="392" t="s">
        <v>98</v>
      </c>
      <c r="C196" s="392" t="s">
        <v>531</v>
      </c>
      <c r="D196" s="390" t="s">
        <v>120</v>
      </c>
      <c r="E196" s="336" t="s">
        <v>645</v>
      </c>
      <c r="F196" s="266">
        <f>83027247+7663414+20323594-20323594+221864+855328+161480-1016808+94938+50651-46800+224440-22102+62001+20087-20087+20087+354109+104799+4000023</f>
        <v>95754671</v>
      </c>
      <c r="G196" s="266">
        <f>1922195+95000+450000-26111-221864+46800+308358+2609623</f>
        <v>5184001</v>
      </c>
      <c r="H196" s="75">
        <f t="shared" si="8"/>
        <v>100938672</v>
      </c>
      <c r="I196" s="183"/>
      <c r="J196" s="127"/>
      <c r="M196" s="200"/>
    </row>
    <row r="197" spans="1:13" s="125" customFormat="1" ht="47.25" customHeight="1">
      <c r="A197" s="419"/>
      <c r="B197" s="396"/>
      <c r="C197" s="396"/>
      <c r="D197" s="401"/>
      <c r="E197" s="114" t="s">
        <v>612</v>
      </c>
      <c r="F197" s="86">
        <f>9450+3000+2486</f>
        <v>14936</v>
      </c>
      <c r="G197" s="115"/>
      <c r="H197" s="75">
        <f t="shared" si="8"/>
        <v>14936</v>
      </c>
      <c r="I197" s="183"/>
      <c r="J197" s="127"/>
      <c r="M197" s="200"/>
    </row>
    <row r="198" spans="1:13" s="125" customFormat="1" ht="47.25" customHeight="1">
      <c r="A198" s="399"/>
      <c r="B198" s="393"/>
      <c r="C198" s="393"/>
      <c r="D198" s="391"/>
      <c r="E198" s="92" t="s">
        <v>644</v>
      </c>
      <c r="F198" s="81">
        <f>857588-857588+857588</f>
        <v>857588</v>
      </c>
      <c r="G198" s="115"/>
      <c r="H198" s="75">
        <f t="shared" si="8"/>
        <v>857588</v>
      </c>
      <c r="I198" s="183"/>
      <c r="J198" s="127"/>
      <c r="M198" s="200"/>
    </row>
    <row r="199" spans="1:13" s="125" customFormat="1" ht="47.25" customHeight="1">
      <c r="A199" s="322"/>
      <c r="B199" s="392" t="s">
        <v>88</v>
      </c>
      <c r="C199" s="392" t="s">
        <v>503</v>
      </c>
      <c r="D199" s="390" t="s">
        <v>89</v>
      </c>
      <c r="E199" s="336" t="s">
        <v>645</v>
      </c>
      <c r="F199" s="91"/>
      <c r="G199" s="93">
        <f>65041950+789040-789040-7100395+9475329+1814334+1349265+797000+527014+105957+7931+256448+15000000+1760737+260001-592559-900000-1900000</f>
        <v>85903012</v>
      </c>
      <c r="H199" s="75">
        <f t="shared" si="8"/>
        <v>85903012</v>
      </c>
      <c r="I199" s="183"/>
      <c r="J199" s="127"/>
      <c r="M199" s="200"/>
    </row>
    <row r="200" spans="1:13" s="125" customFormat="1" ht="47.25" customHeight="1">
      <c r="A200" s="387"/>
      <c r="B200" s="393"/>
      <c r="C200" s="393"/>
      <c r="D200" s="391"/>
      <c r="E200" s="114" t="s">
        <v>612</v>
      </c>
      <c r="F200" s="91"/>
      <c r="G200" s="86">
        <v>27000</v>
      </c>
      <c r="H200" s="86">
        <f t="shared" si="8"/>
        <v>27000</v>
      </c>
      <c r="I200" s="183"/>
      <c r="J200" s="127"/>
      <c r="M200" s="200"/>
    </row>
    <row r="201" spans="1:13" s="125" customFormat="1" ht="47.25" customHeight="1">
      <c r="A201" s="322"/>
      <c r="B201" s="205" t="s">
        <v>100</v>
      </c>
      <c r="C201" s="325" t="s">
        <v>532</v>
      </c>
      <c r="D201" s="320" t="s">
        <v>101</v>
      </c>
      <c r="E201" s="336" t="s">
        <v>645</v>
      </c>
      <c r="F201" s="83">
        <f>115685741-389888+35000000-801206-700000</f>
        <v>148794647</v>
      </c>
      <c r="G201" s="83">
        <f>87086314+207260+3900+18204152-625138-297885-247417-1-19547488-3858398+26111+389888-676000+2485169+4501307+20000000-7611085+1664344+248-199595+466167+380560-5000000-260001-500000-600000</f>
        <v>95992412</v>
      </c>
      <c r="H201" s="75">
        <f t="shared" si="8"/>
        <v>244787059</v>
      </c>
      <c r="I201" s="183"/>
      <c r="J201" s="127"/>
      <c r="M201" s="200"/>
    </row>
    <row r="202" spans="1:13" s="125" customFormat="1" ht="47.25" customHeight="1">
      <c r="A202" s="322"/>
      <c r="B202" s="321">
        <v>180409</v>
      </c>
      <c r="C202" s="323" t="s">
        <v>503</v>
      </c>
      <c r="D202" s="207" t="s">
        <v>242</v>
      </c>
      <c r="E202" s="336" t="s">
        <v>645</v>
      </c>
      <c r="F202" s="204"/>
      <c r="G202" s="203">
        <f>44095430-39515430+259436+46370+72427541+2287530+16545028+250000-100+234835</f>
        <v>96630640</v>
      </c>
      <c r="H202" s="75">
        <f t="shared" si="8"/>
        <v>96630640</v>
      </c>
      <c r="I202" s="183"/>
      <c r="J202" s="127"/>
      <c r="M202" s="200"/>
    </row>
    <row r="203" spans="1:13" s="125" customFormat="1" ht="47.25" customHeight="1">
      <c r="A203" s="322"/>
      <c r="B203" s="324">
        <v>240601</v>
      </c>
      <c r="C203" s="325" t="s">
        <v>513</v>
      </c>
      <c r="D203" s="324" t="s">
        <v>110</v>
      </c>
      <c r="E203" s="324" t="s">
        <v>616</v>
      </c>
      <c r="F203" s="83"/>
      <c r="G203" s="83">
        <f>297500+1610000+1592500-1592500+637000+500+5000000+21102</f>
        <v>7566102</v>
      </c>
      <c r="H203" s="75">
        <f t="shared" si="8"/>
        <v>7566102</v>
      </c>
      <c r="I203" s="183"/>
      <c r="J203" s="127"/>
      <c r="M203" s="200"/>
    </row>
    <row r="204" spans="1:13" s="125" customFormat="1" ht="47.25" customHeight="1">
      <c r="A204" s="322"/>
      <c r="B204" s="323" t="s">
        <v>81</v>
      </c>
      <c r="C204" s="323" t="s">
        <v>504</v>
      </c>
      <c r="D204" s="321" t="s">
        <v>96</v>
      </c>
      <c r="E204" s="336" t="s">
        <v>645</v>
      </c>
      <c r="F204" s="327">
        <f>308836+87000+78257+183570</f>
        <v>657663</v>
      </c>
      <c r="G204" s="93"/>
      <c r="H204" s="75">
        <f t="shared" si="8"/>
        <v>657663</v>
      </c>
      <c r="I204" s="183"/>
      <c r="J204" s="127"/>
      <c r="M204" s="200"/>
    </row>
    <row r="205" spans="1:13" s="125" customFormat="1" ht="31.5">
      <c r="A205" s="112"/>
      <c r="B205" s="112" t="s">
        <v>161</v>
      </c>
      <c r="C205" s="112"/>
      <c r="D205" s="113" t="s">
        <v>57</v>
      </c>
      <c r="E205" s="234"/>
      <c r="F205" s="85">
        <f>F206+F207</f>
        <v>0</v>
      </c>
      <c r="G205" s="85">
        <f>G206+G207</f>
        <v>58620</v>
      </c>
      <c r="H205" s="88">
        <f>H206+H207</f>
        <v>58620</v>
      </c>
      <c r="I205" s="181"/>
      <c r="J205" s="137"/>
      <c r="M205" s="200"/>
    </row>
    <row r="206" spans="1:13" s="125" customFormat="1" ht="48" customHeight="1">
      <c r="A206" s="226"/>
      <c r="B206" s="227" t="s">
        <v>180</v>
      </c>
      <c r="C206" s="227" t="s">
        <v>501</v>
      </c>
      <c r="D206" s="230" t="s">
        <v>181</v>
      </c>
      <c r="E206" s="377" t="s">
        <v>674</v>
      </c>
      <c r="F206" s="81"/>
      <c r="G206" s="75">
        <f>28941+49188-19509</f>
        <v>58620</v>
      </c>
      <c r="H206" s="75">
        <f t="shared" si="8"/>
        <v>58620</v>
      </c>
      <c r="I206" s="183"/>
      <c r="J206" s="137"/>
      <c r="M206" s="200"/>
    </row>
    <row r="207" spans="1:14" s="125" customFormat="1" ht="67.5" customHeight="1" hidden="1">
      <c r="A207" s="226"/>
      <c r="B207" s="205" t="s">
        <v>81</v>
      </c>
      <c r="C207" s="228" t="s">
        <v>504</v>
      </c>
      <c r="D207" s="234" t="s">
        <v>96</v>
      </c>
      <c r="E207" s="229" t="s">
        <v>565</v>
      </c>
      <c r="F207" s="81"/>
      <c r="G207" s="89"/>
      <c r="H207" s="75">
        <f>F207+G207</f>
        <v>0</v>
      </c>
      <c r="I207" s="183"/>
      <c r="J207" s="127"/>
      <c r="M207" s="138"/>
      <c r="N207" s="139"/>
    </row>
    <row r="208" spans="1:13" s="125" customFormat="1" ht="31.5">
      <c r="A208" s="112"/>
      <c r="B208" s="112" t="s">
        <v>165</v>
      </c>
      <c r="C208" s="112"/>
      <c r="D208" s="113" t="s">
        <v>59</v>
      </c>
      <c r="E208" s="234"/>
      <c r="F208" s="85">
        <f>F209+F210+F211+F212+F213+F214</f>
        <v>391511</v>
      </c>
      <c r="G208" s="85">
        <f>G209+G210+G211+G212+G213+G214</f>
        <v>1304200</v>
      </c>
      <c r="H208" s="88">
        <f>F208+G208</f>
        <v>1695711</v>
      </c>
      <c r="I208" s="183"/>
      <c r="J208" s="127"/>
      <c r="M208" s="200"/>
    </row>
    <row r="209" spans="1:13" s="125" customFormat="1" ht="49.5" customHeight="1">
      <c r="A209" s="226"/>
      <c r="B209" s="226" t="s">
        <v>180</v>
      </c>
      <c r="C209" s="227" t="s">
        <v>501</v>
      </c>
      <c r="D209" s="234" t="s">
        <v>181</v>
      </c>
      <c r="E209" s="255" t="s">
        <v>591</v>
      </c>
      <c r="F209" s="81"/>
      <c r="G209" s="75">
        <v>104770</v>
      </c>
      <c r="H209" s="75">
        <f t="shared" si="8"/>
        <v>104770</v>
      </c>
      <c r="I209" s="183"/>
      <c r="J209" s="137"/>
      <c r="M209" s="200"/>
    </row>
    <row r="210" spans="1:13" s="125" customFormat="1" ht="47.25">
      <c r="A210" s="226"/>
      <c r="B210" s="226" t="s">
        <v>442</v>
      </c>
      <c r="C210" s="227" t="s">
        <v>533</v>
      </c>
      <c r="D210" s="234" t="s">
        <v>447</v>
      </c>
      <c r="E210" s="255" t="s">
        <v>591</v>
      </c>
      <c r="F210" s="81"/>
      <c r="G210" s="89">
        <f>2357560-1356508+198378</f>
        <v>1199430</v>
      </c>
      <c r="H210" s="75">
        <f t="shared" si="8"/>
        <v>1199430</v>
      </c>
      <c r="I210" s="183"/>
      <c r="J210" s="127"/>
      <c r="M210" s="200"/>
    </row>
    <row r="211" spans="1:14" s="125" customFormat="1" ht="47.25" customHeight="1">
      <c r="A211" s="394"/>
      <c r="B211" s="394">
        <v>250404</v>
      </c>
      <c r="C211" s="395" t="s">
        <v>504</v>
      </c>
      <c r="D211" s="394" t="s">
        <v>96</v>
      </c>
      <c r="E211" s="384" t="s">
        <v>591</v>
      </c>
      <c r="F211" s="80">
        <v>391511</v>
      </c>
      <c r="G211" s="234"/>
      <c r="H211" s="75">
        <f t="shared" si="8"/>
        <v>391511</v>
      </c>
      <c r="I211" s="183"/>
      <c r="J211" s="137"/>
      <c r="M211" s="138"/>
      <c r="N211" s="139"/>
    </row>
    <row r="212" spans="1:13" s="125" customFormat="1" ht="47.25" customHeight="1" hidden="1">
      <c r="A212" s="394"/>
      <c r="B212" s="394"/>
      <c r="C212" s="395"/>
      <c r="D212" s="394"/>
      <c r="E212" s="234" t="s">
        <v>226</v>
      </c>
      <c r="F212" s="80"/>
      <c r="G212" s="93"/>
      <c r="H212" s="75">
        <f t="shared" si="8"/>
        <v>0</v>
      </c>
      <c r="I212" s="183"/>
      <c r="J212" s="127"/>
      <c r="M212" s="200"/>
    </row>
    <row r="213" spans="1:13" s="125" customFormat="1" ht="51" customHeight="1" hidden="1">
      <c r="A213" s="394"/>
      <c r="B213" s="394"/>
      <c r="C213" s="395"/>
      <c r="D213" s="394"/>
      <c r="E213" s="234" t="s">
        <v>362</v>
      </c>
      <c r="F213" s="80"/>
      <c r="G213" s="93"/>
      <c r="H213" s="75">
        <f t="shared" si="8"/>
        <v>0</v>
      </c>
      <c r="I213" s="183"/>
      <c r="J213" s="127"/>
      <c r="M213" s="200"/>
    </row>
    <row r="214" spans="1:13" s="125" customFormat="1" ht="68.25" customHeight="1" hidden="1">
      <c r="A214" s="394"/>
      <c r="B214" s="394"/>
      <c r="C214" s="395"/>
      <c r="D214" s="394"/>
      <c r="E214" s="234" t="s">
        <v>497</v>
      </c>
      <c r="F214" s="80"/>
      <c r="G214" s="93"/>
      <c r="H214" s="75">
        <f t="shared" si="8"/>
        <v>0</v>
      </c>
      <c r="I214" s="183"/>
      <c r="J214" s="127"/>
      <c r="M214" s="200"/>
    </row>
    <row r="215" spans="1:13" s="125" customFormat="1" ht="47.25">
      <c r="A215" s="310"/>
      <c r="B215" s="112" t="s">
        <v>634</v>
      </c>
      <c r="C215" s="309"/>
      <c r="D215" s="113" t="s">
        <v>635</v>
      </c>
      <c r="E215" s="308"/>
      <c r="F215" s="85">
        <f>F216</f>
        <v>0</v>
      </c>
      <c r="G215" s="85">
        <f>G216</f>
        <v>139100</v>
      </c>
      <c r="H215" s="85">
        <f>H216</f>
        <v>139100</v>
      </c>
      <c r="I215" s="183"/>
      <c r="J215" s="127"/>
      <c r="M215" s="200"/>
    </row>
    <row r="216" spans="1:13" s="125" customFormat="1" ht="47.25">
      <c r="A216" s="310"/>
      <c r="B216" s="309" t="s">
        <v>180</v>
      </c>
      <c r="C216" s="309" t="s">
        <v>501</v>
      </c>
      <c r="D216" s="308" t="s">
        <v>181</v>
      </c>
      <c r="E216" s="377" t="s">
        <v>674</v>
      </c>
      <c r="F216" s="80"/>
      <c r="G216" s="93">
        <f>348969-348969+139100</f>
        <v>139100</v>
      </c>
      <c r="H216" s="75">
        <f>G216+F216</f>
        <v>139100</v>
      </c>
      <c r="I216" s="183"/>
      <c r="J216" s="127"/>
      <c r="M216" s="200"/>
    </row>
    <row r="217" spans="1:13" s="125" customFormat="1" ht="31.5">
      <c r="A217" s="233"/>
      <c r="B217" s="112">
        <v>50</v>
      </c>
      <c r="C217" s="226"/>
      <c r="D217" s="113" t="s">
        <v>201</v>
      </c>
      <c r="E217" s="111"/>
      <c r="F217" s="85">
        <f>F218</f>
        <v>0</v>
      </c>
      <c r="G217" s="85">
        <f>G218</f>
        <v>39000</v>
      </c>
      <c r="H217" s="85">
        <f>H218</f>
        <v>39000</v>
      </c>
      <c r="I217" s="183"/>
      <c r="J217" s="127"/>
      <c r="M217" s="200"/>
    </row>
    <row r="218" spans="1:13" s="125" customFormat="1" ht="47.25">
      <c r="A218" s="222"/>
      <c r="B218" s="226" t="s">
        <v>180</v>
      </c>
      <c r="C218" s="226" t="s">
        <v>501</v>
      </c>
      <c r="D218" s="234" t="s">
        <v>181</v>
      </c>
      <c r="E218" s="377" t="s">
        <v>674</v>
      </c>
      <c r="F218" s="80"/>
      <c r="G218" s="93">
        <v>39000</v>
      </c>
      <c r="H218" s="75">
        <f>G218+F218</f>
        <v>39000</v>
      </c>
      <c r="I218" s="183"/>
      <c r="J218" s="127"/>
      <c r="M218" s="200"/>
    </row>
    <row r="219" spans="1:13" s="125" customFormat="1" ht="31.5" customHeight="1">
      <c r="A219" s="112"/>
      <c r="B219" s="112" t="s">
        <v>169</v>
      </c>
      <c r="C219" s="112"/>
      <c r="D219" s="113" t="s">
        <v>63</v>
      </c>
      <c r="E219" s="113"/>
      <c r="F219" s="85">
        <f>F220+F221</f>
        <v>0</v>
      </c>
      <c r="G219" s="85">
        <f>G220+G221</f>
        <v>52000</v>
      </c>
      <c r="H219" s="85">
        <f>F219+G219</f>
        <v>52000</v>
      </c>
      <c r="I219" s="181"/>
      <c r="J219" s="137"/>
      <c r="M219" s="200"/>
    </row>
    <row r="220" spans="1:13" s="125" customFormat="1" ht="31.5" customHeight="1">
      <c r="A220" s="226"/>
      <c r="B220" s="226" t="s">
        <v>180</v>
      </c>
      <c r="C220" s="309" t="s">
        <v>501</v>
      </c>
      <c r="D220" s="234" t="s">
        <v>181</v>
      </c>
      <c r="E220" s="377" t="s">
        <v>674</v>
      </c>
      <c r="F220" s="81"/>
      <c r="G220" s="81">
        <f>15861+52000-15861</f>
        <v>52000</v>
      </c>
      <c r="H220" s="81">
        <f>F220+G220</f>
        <v>52000</v>
      </c>
      <c r="I220" s="183"/>
      <c r="J220" s="137"/>
      <c r="M220" s="200"/>
    </row>
    <row r="221" spans="1:13" s="125" customFormat="1" ht="31.5" customHeight="1" hidden="1">
      <c r="A221" s="226"/>
      <c r="B221" s="226" t="s">
        <v>45</v>
      </c>
      <c r="C221" s="226"/>
      <c r="D221" s="234" t="s">
        <v>46</v>
      </c>
      <c r="E221" s="229" t="s">
        <v>220</v>
      </c>
      <c r="F221" s="81"/>
      <c r="G221" s="75"/>
      <c r="H221" s="81">
        <f>F221+G221</f>
        <v>0</v>
      </c>
      <c r="I221" s="183"/>
      <c r="J221" s="137"/>
      <c r="M221" s="200"/>
    </row>
    <row r="222" spans="1:13" s="125" customFormat="1" ht="31.5">
      <c r="A222" s="112"/>
      <c r="B222" s="112" t="s">
        <v>166</v>
      </c>
      <c r="C222" s="112"/>
      <c r="D222" s="113" t="s">
        <v>60</v>
      </c>
      <c r="E222" s="234"/>
      <c r="F222" s="85">
        <f>F225+F226+F227+F223</f>
        <v>22978</v>
      </c>
      <c r="G222" s="85">
        <f>G225+G226+G227+G223</f>
        <v>42103551</v>
      </c>
      <c r="H222" s="85">
        <f>H225+H226+H227+H223</f>
        <v>42126529</v>
      </c>
      <c r="I222" s="181"/>
      <c r="J222" s="137"/>
      <c r="M222" s="200"/>
    </row>
    <row r="223" spans="1:13" s="125" customFormat="1" ht="47.25" customHeight="1">
      <c r="A223" s="226"/>
      <c r="B223" s="226" t="s">
        <v>180</v>
      </c>
      <c r="C223" s="309" t="s">
        <v>501</v>
      </c>
      <c r="D223" s="234" t="s">
        <v>181</v>
      </c>
      <c r="E223" s="377" t="s">
        <v>674</v>
      </c>
      <c r="F223" s="81"/>
      <c r="G223" s="75">
        <v>39000</v>
      </c>
      <c r="H223" s="81">
        <f>F223+G223</f>
        <v>39000</v>
      </c>
      <c r="I223" s="183"/>
      <c r="J223" s="137"/>
      <c r="M223" s="200"/>
    </row>
    <row r="224" spans="1:13" s="125" customFormat="1" ht="69" customHeight="1" hidden="1">
      <c r="A224" s="226"/>
      <c r="B224" s="226" t="s">
        <v>88</v>
      </c>
      <c r="C224" s="226"/>
      <c r="D224" s="234" t="s">
        <v>89</v>
      </c>
      <c r="E224" s="234"/>
      <c r="F224" s="81"/>
      <c r="G224" s="75">
        <f>2000000-2000000</f>
        <v>0</v>
      </c>
      <c r="H224" s="81">
        <f>F224+G224</f>
        <v>0</v>
      </c>
      <c r="I224" s="183"/>
      <c r="J224" s="137"/>
      <c r="M224" s="200"/>
    </row>
    <row r="225" spans="1:13" s="125" customFormat="1" ht="47.25" customHeight="1" hidden="1">
      <c r="A225" s="234"/>
      <c r="B225" s="234">
        <v>200700</v>
      </c>
      <c r="C225" s="226" t="s">
        <v>512</v>
      </c>
      <c r="D225" s="234" t="s">
        <v>141</v>
      </c>
      <c r="E225" s="234" t="s">
        <v>571</v>
      </c>
      <c r="F225" s="83"/>
      <c r="G225" s="83">
        <f>16632500+297500-16930000</f>
        <v>0</v>
      </c>
      <c r="H225" s="81">
        <f>F225+G225</f>
        <v>0</v>
      </c>
      <c r="I225" s="183"/>
      <c r="J225" s="137"/>
      <c r="M225" s="200"/>
    </row>
    <row r="226" spans="1:13" s="125" customFormat="1" ht="51.75" customHeight="1">
      <c r="A226" s="234"/>
      <c r="B226" s="234">
        <v>240601</v>
      </c>
      <c r="C226" s="226" t="s">
        <v>513</v>
      </c>
      <c r="D226" s="234" t="s">
        <v>110</v>
      </c>
      <c r="E226" s="293" t="s">
        <v>616</v>
      </c>
      <c r="F226" s="83"/>
      <c r="G226" s="75">
        <f>297500+292500-297500+16930000+3700000+20458153-20458153+22171763-500-758110-250000-45102+24000</f>
        <v>42064551</v>
      </c>
      <c r="H226" s="81">
        <f>F226+G226</f>
        <v>42064551</v>
      </c>
      <c r="I226" s="183"/>
      <c r="J226" s="137"/>
      <c r="M226" s="200"/>
    </row>
    <row r="227" spans="1:13" s="125" customFormat="1" ht="51.75" customHeight="1">
      <c r="A227" s="231"/>
      <c r="B227" s="176">
        <v>250404</v>
      </c>
      <c r="C227" s="225" t="s">
        <v>504</v>
      </c>
      <c r="D227" s="231" t="s">
        <v>96</v>
      </c>
      <c r="E227" s="370" t="s">
        <v>665</v>
      </c>
      <c r="F227" s="83">
        <f>22978-22978+22978</f>
        <v>22978</v>
      </c>
      <c r="G227" s="75"/>
      <c r="H227" s="81">
        <f>G227+F227</f>
        <v>22978</v>
      </c>
      <c r="I227" s="183"/>
      <c r="J227" s="137"/>
      <c r="M227" s="200"/>
    </row>
    <row r="228" spans="1:13" s="125" customFormat="1" ht="47.25">
      <c r="A228" s="122"/>
      <c r="B228" s="122" t="s">
        <v>164</v>
      </c>
      <c r="C228" s="122"/>
      <c r="D228" s="123" t="s">
        <v>61</v>
      </c>
      <c r="E228" s="234"/>
      <c r="F228" s="85">
        <f>F229+F230+F232+F233+F234+F237+F240+F244+F243+F235+F236+F231+F241+F238+F239+F242+F246+F245</f>
        <v>58503931</v>
      </c>
      <c r="G228" s="85">
        <f>G229+G230+G232+G233+G234+G237+G240+G244+G243+G235+G236+G231+G241+G238+G239+G242+G246+G245</f>
        <v>84071693</v>
      </c>
      <c r="H228" s="85">
        <f>H229+H230+H232+H233+H234+H237+H240+H244+H243+H235+H236+H231+H241+H238+H239+H242+H246+H245</f>
        <v>142575624</v>
      </c>
      <c r="I228" s="181">
        <f>I229+I230+I13+I232+I233+I234+I237+I240+I244+I243+I235+I236+I231+I241+I238+I239</f>
        <v>0</v>
      </c>
      <c r="J228" s="137"/>
      <c r="M228" s="200"/>
    </row>
    <row r="229" spans="1:13" s="125" customFormat="1" ht="54.75" customHeight="1">
      <c r="A229" s="226"/>
      <c r="B229" s="226" t="s">
        <v>180</v>
      </c>
      <c r="C229" s="226" t="s">
        <v>501</v>
      </c>
      <c r="D229" s="234" t="s">
        <v>181</v>
      </c>
      <c r="E229" s="377" t="s">
        <v>674</v>
      </c>
      <c r="F229" s="81"/>
      <c r="G229" s="89">
        <f>13000+102308</f>
        <v>115308</v>
      </c>
      <c r="H229" s="81">
        <f aca="true" t="shared" si="9" ref="H229:H242">F229+G229</f>
        <v>115308</v>
      </c>
      <c r="I229" s="183"/>
      <c r="J229" s="127"/>
      <c r="M229" s="200"/>
    </row>
    <row r="230" spans="1:13" s="125" customFormat="1" ht="77.25" customHeight="1" hidden="1">
      <c r="A230" s="226"/>
      <c r="B230" s="226" t="s">
        <v>98</v>
      </c>
      <c r="C230" s="226"/>
      <c r="D230" s="234" t="s">
        <v>99</v>
      </c>
      <c r="E230" s="234" t="s">
        <v>331</v>
      </c>
      <c r="F230" s="81"/>
      <c r="G230" s="89"/>
      <c r="H230" s="81">
        <f t="shared" si="9"/>
        <v>0</v>
      </c>
      <c r="I230" s="183"/>
      <c r="J230" s="127"/>
      <c r="M230" s="200"/>
    </row>
    <row r="231" spans="1:14" s="125" customFormat="1" ht="78.75" customHeight="1" hidden="1">
      <c r="A231" s="226"/>
      <c r="B231" s="226" t="s">
        <v>224</v>
      </c>
      <c r="C231" s="226"/>
      <c r="D231" s="234" t="s">
        <v>225</v>
      </c>
      <c r="E231" s="234" t="s">
        <v>313</v>
      </c>
      <c r="F231" s="81"/>
      <c r="G231" s="75"/>
      <c r="H231" s="81">
        <f t="shared" si="9"/>
        <v>0</v>
      </c>
      <c r="I231" s="183"/>
      <c r="J231" s="137"/>
      <c r="M231" s="138"/>
      <c r="N231" s="139"/>
    </row>
    <row r="232" spans="1:14" s="125" customFormat="1" ht="81.75" customHeight="1">
      <c r="A232" s="226"/>
      <c r="B232" s="226" t="s">
        <v>86</v>
      </c>
      <c r="C232" s="226" t="s">
        <v>534</v>
      </c>
      <c r="D232" s="234" t="s">
        <v>87</v>
      </c>
      <c r="E232" s="255" t="s">
        <v>20</v>
      </c>
      <c r="F232" s="81">
        <f>45800000+11000000</f>
        <v>56800000</v>
      </c>
      <c r="G232" s="89"/>
      <c r="H232" s="81">
        <f t="shared" si="9"/>
        <v>56800000</v>
      </c>
      <c r="I232" s="183"/>
      <c r="J232" s="127"/>
      <c r="M232" s="138"/>
      <c r="N232" s="139"/>
    </row>
    <row r="233" spans="1:13" s="125" customFormat="1" ht="71.25" customHeight="1">
      <c r="A233" s="392"/>
      <c r="B233" s="392" t="s">
        <v>88</v>
      </c>
      <c r="C233" s="392" t="s">
        <v>503</v>
      </c>
      <c r="D233" s="390" t="s">
        <v>89</v>
      </c>
      <c r="E233" s="255" t="s">
        <v>592</v>
      </c>
      <c r="F233" s="81"/>
      <c r="G233" s="75">
        <f>4308029-612586</f>
        <v>3695443</v>
      </c>
      <c r="H233" s="81">
        <f t="shared" si="9"/>
        <v>3695443</v>
      </c>
      <c r="I233" s="183"/>
      <c r="J233" s="137"/>
      <c r="M233" s="200"/>
    </row>
    <row r="234" spans="1:13" s="125" customFormat="1" ht="72" customHeight="1">
      <c r="A234" s="396"/>
      <c r="B234" s="396"/>
      <c r="C234" s="396"/>
      <c r="D234" s="401"/>
      <c r="E234" s="255" t="s">
        <v>593</v>
      </c>
      <c r="F234" s="75"/>
      <c r="G234" s="75">
        <f>12596454-1478917-864883+1691872-1691872</f>
        <v>10252654</v>
      </c>
      <c r="H234" s="81">
        <f t="shared" si="9"/>
        <v>10252654</v>
      </c>
      <c r="I234" s="183"/>
      <c r="J234" s="137"/>
      <c r="M234" s="200"/>
    </row>
    <row r="235" spans="1:13" s="125" customFormat="1" ht="63.75" customHeight="1">
      <c r="A235" s="396"/>
      <c r="B235" s="396"/>
      <c r="C235" s="396"/>
      <c r="D235" s="401"/>
      <c r="E235" s="92" t="s">
        <v>598</v>
      </c>
      <c r="F235" s="81"/>
      <c r="G235" s="75">
        <v>5000000</v>
      </c>
      <c r="H235" s="81">
        <f t="shared" si="9"/>
        <v>5000000</v>
      </c>
      <c r="I235" s="183"/>
      <c r="J235" s="137"/>
      <c r="M235" s="200"/>
    </row>
    <row r="236" spans="1:13" s="125" customFormat="1" ht="51" customHeight="1" hidden="1">
      <c r="A236" s="225"/>
      <c r="B236" s="393"/>
      <c r="C236" s="393"/>
      <c r="D236" s="391"/>
      <c r="E236" s="92" t="s">
        <v>646</v>
      </c>
      <c r="F236" s="81"/>
      <c r="G236" s="75">
        <f>300000-300000+276869-276869+56658-56658</f>
        <v>0</v>
      </c>
      <c r="H236" s="81">
        <f t="shared" si="9"/>
        <v>0</v>
      </c>
      <c r="I236" s="183"/>
      <c r="J236" s="137"/>
      <c r="M236" s="200"/>
    </row>
    <row r="237" spans="1:13" s="125" customFormat="1" ht="79.5" customHeight="1">
      <c r="A237" s="395"/>
      <c r="B237" s="395" t="s">
        <v>102</v>
      </c>
      <c r="C237" s="395" t="s">
        <v>503</v>
      </c>
      <c r="D237" s="402" t="s">
        <v>242</v>
      </c>
      <c r="E237" s="234" t="s">
        <v>20</v>
      </c>
      <c r="F237" s="81"/>
      <c r="G237" s="75">
        <f>383883+55161819-28995000+22848400-3671199+3671199+5913240</f>
        <v>55312342</v>
      </c>
      <c r="H237" s="81">
        <f t="shared" si="9"/>
        <v>55312342</v>
      </c>
      <c r="I237" s="183"/>
      <c r="J237" s="137"/>
      <c r="M237" s="200"/>
    </row>
    <row r="238" spans="1:13" s="125" customFormat="1" ht="79.5" customHeight="1" hidden="1">
      <c r="A238" s="395"/>
      <c r="B238" s="395"/>
      <c r="C238" s="395"/>
      <c r="D238" s="402"/>
      <c r="E238" s="234" t="s">
        <v>556</v>
      </c>
      <c r="F238" s="81"/>
      <c r="G238" s="75"/>
      <c r="H238" s="81">
        <f t="shared" si="9"/>
        <v>0</v>
      </c>
      <c r="I238" s="183"/>
      <c r="J238" s="137"/>
      <c r="M238" s="200"/>
    </row>
    <row r="239" spans="1:13" s="125" customFormat="1" ht="53.25" customHeight="1" hidden="1">
      <c r="A239" s="395"/>
      <c r="B239" s="395"/>
      <c r="C239" s="395"/>
      <c r="D239" s="402"/>
      <c r="E239" s="114" t="s">
        <v>544</v>
      </c>
      <c r="F239" s="90"/>
      <c r="G239" s="83"/>
      <c r="H239" s="81">
        <f t="shared" si="9"/>
        <v>0</v>
      </c>
      <c r="I239" s="183"/>
      <c r="J239" s="137"/>
      <c r="M239" s="200"/>
    </row>
    <row r="240" spans="1:13" s="125" customFormat="1" ht="63" hidden="1">
      <c r="A240" s="395"/>
      <c r="B240" s="395"/>
      <c r="C240" s="395"/>
      <c r="D240" s="402"/>
      <c r="E240" s="234" t="s">
        <v>331</v>
      </c>
      <c r="F240" s="92"/>
      <c r="G240" s="75"/>
      <c r="H240" s="81">
        <f t="shared" si="9"/>
        <v>0</v>
      </c>
      <c r="I240" s="183"/>
      <c r="J240" s="137"/>
      <c r="M240" s="200"/>
    </row>
    <row r="241" spans="1:13" s="125" customFormat="1" ht="52.5" customHeight="1" hidden="1">
      <c r="A241" s="227"/>
      <c r="B241" s="228" t="s">
        <v>222</v>
      </c>
      <c r="C241" s="226" t="s">
        <v>511</v>
      </c>
      <c r="D241" s="229" t="s">
        <v>223</v>
      </c>
      <c r="E241" s="234" t="s">
        <v>542</v>
      </c>
      <c r="F241" s="81"/>
      <c r="G241" s="75"/>
      <c r="H241" s="81">
        <f t="shared" si="9"/>
        <v>0</v>
      </c>
      <c r="I241" s="183"/>
      <c r="J241" s="137"/>
      <c r="M241" s="200"/>
    </row>
    <row r="242" spans="1:13" s="125" customFormat="1" ht="69.75" customHeight="1">
      <c r="A242" s="392"/>
      <c r="B242" s="392" t="s">
        <v>232</v>
      </c>
      <c r="C242" s="392" t="s">
        <v>535</v>
      </c>
      <c r="D242" s="390" t="s">
        <v>233</v>
      </c>
      <c r="E242" s="264" t="s">
        <v>20</v>
      </c>
      <c r="F242" s="81">
        <v>503931</v>
      </c>
      <c r="G242" s="75"/>
      <c r="H242" s="81">
        <f t="shared" si="9"/>
        <v>503931</v>
      </c>
      <c r="I242" s="183"/>
      <c r="J242" s="137"/>
      <c r="M242" s="200"/>
    </row>
    <row r="243" spans="1:14" s="125" customFormat="1" ht="33" customHeight="1" hidden="1">
      <c r="A243" s="396"/>
      <c r="B243" s="396"/>
      <c r="C243" s="396"/>
      <c r="D243" s="401"/>
      <c r="E243" s="92" t="s">
        <v>548</v>
      </c>
      <c r="F243" s="81"/>
      <c r="G243" s="75"/>
      <c r="H243" s="81">
        <f>F243+G243</f>
        <v>0</v>
      </c>
      <c r="I243" s="183"/>
      <c r="J243" s="137"/>
      <c r="M243" s="138"/>
      <c r="N243" s="139"/>
    </row>
    <row r="244" spans="1:13" s="125" customFormat="1" ht="75" customHeight="1">
      <c r="A244" s="396"/>
      <c r="B244" s="396"/>
      <c r="C244" s="396"/>
      <c r="D244" s="401"/>
      <c r="E244" s="255" t="s">
        <v>594</v>
      </c>
      <c r="F244" s="81"/>
      <c r="G244" s="75">
        <f>10522935-276869+276869-826989</f>
        <v>9695946</v>
      </c>
      <c r="H244" s="81">
        <f>F244+G244</f>
        <v>9695946</v>
      </c>
      <c r="I244" s="183"/>
      <c r="J244" s="137"/>
      <c r="M244" s="200"/>
    </row>
    <row r="245" spans="1:13" s="125" customFormat="1" ht="69.75" customHeight="1">
      <c r="A245" s="393"/>
      <c r="B245" s="393"/>
      <c r="C245" s="393"/>
      <c r="D245" s="391"/>
      <c r="E245" s="354" t="s">
        <v>654</v>
      </c>
      <c r="F245" s="81">
        <v>1200000</v>
      </c>
      <c r="G245" s="75"/>
      <c r="H245" s="81">
        <f>F245+G245</f>
        <v>1200000</v>
      </c>
      <c r="I245" s="183"/>
      <c r="J245" s="137"/>
      <c r="M245" s="200"/>
    </row>
    <row r="246" spans="1:13" s="125" customFormat="1" ht="69.75" customHeight="1" hidden="1">
      <c r="A246" s="280"/>
      <c r="B246" s="280" t="s">
        <v>81</v>
      </c>
      <c r="C246" s="280" t="s">
        <v>504</v>
      </c>
      <c r="D246" s="276" t="s">
        <v>96</v>
      </c>
      <c r="E246" s="284" t="s">
        <v>611</v>
      </c>
      <c r="F246" s="81">
        <f>1441000-1441000</f>
        <v>0</v>
      </c>
      <c r="G246" s="75"/>
      <c r="H246" s="81">
        <f>F246+G246</f>
        <v>0</v>
      </c>
      <c r="I246" s="183"/>
      <c r="J246" s="137"/>
      <c r="M246" s="200"/>
    </row>
    <row r="247" spans="1:13" s="125" customFormat="1" ht="65.25" customHeight="1">
      <c r="A247" s="112"/>
      <c r="B247" s="112" t="s">
        <v>159</v>
      </c>
      <c r="C247" s="112"/>
      <c r="D247" s="113" t="s">
        <v>56</v>
      </c>
      <c r="E247" s="242"/>
      <c r="F247" s="85">
        <f>F248+F249+F250</f>
        <v>8128108</v>
      </c>
      <c r="G247" s="85">
        <f>G248+G249+G250</f>
        <v>1826969</v>
      </c>
      <c r="H247" s="85">
        <f>H248+H249+H250</f>
        <v>9955077</v>
      </c>
      <c r="I247" s="181">
        <f>I249+I250</f>
        <v>198538</v>
      </c>
      <c r="J247" s="137"/>
      <c r="M247" s="200"/>
    </row>
    <row r="248" spans="1:13" s="125" customFormat="1" ht="68.25" customHeight="1">
      <c r="A248" s="227"/>
      <c r="B248" s="227" t="s">
        <v>180</v>
      </c>
      <c r="C248" s="227"/>
      <c r="D248" s="230" t="s">
        <v>181</v>
      </c>
      <c r="E248" s="377" t="s">
        <v>674</v>
      </c>
      <c r="F248" s="81"/>
      <c r="G248" s="93">
        <v>32600</v>
      </c>
      <c r="H248" s="75">
        <f>F248+G248</f>
        <v>32600</v>
      </c>
      <c r="I248" s="183"/>
      <c r="J248" s="137"/>
      <c r="M248" s="200"/>
    </row>
    <row r="249" spans="1:14" s="125" customFormat="1" ht="66.75" customHeight="1">
      <c r="A249" s="226"/>
      <c r="B249" s="226" t="s">
        <v>92</v>
      </c>
      <c r="C249" s="226" t="s">
        <v>536</v>
      </c>
      <c r="D249" s="234" t="s">
        <v>93</v>
      </c>
      <c r="E249" s="292" t="s">
        <v>622</v>
      </c>
      <c r="F249" s="81">
        <f>4238325-65576+12395-12395+12395+3600</f>
        <v>4188744</v>
      </c>
      <c r="G249" s="81">
        <f>83956+945136</f>
        <v>1029092</v>
      </c>
      <c r="H249" s="75">
        <f>F249+G249</f>
        <v>5217836</v>
      </c>
      <c r="I249" s="181">
        <v>83956</v>
      </c>
      <c r="J249" s="137"/>
      <c r="M249" s="138"/>
      <c r="N249" s="139"/>
    </row>
    <row r="250" spans="1:14" s="125" customFormat="1" ht="63">
      <c r="A250" s="226"/>
      <c r="B250" s="226" t="s">
        <v>94</v>
      </c>
      <c r="C250" s="226" t="s">
        <v>536</v>
      </c>
      <c r="D250" s="234" t="s">
        <v>95</v>
      </c>
      <c r="E250" s="292" t="s">
        <v>622</v>
      </c>
      <c r="F250" s="81">
        <f>4264640-368054+42778</f>
        <v>3939364</v>
      </c>
      <c r="G250" s="81">
        <f>114582+85012+565683</f>
        <v>765277</v>
      </c>
      <c r="H250" s="75">
        <f>F250+G250</f>
        <v>4704641</v>
      </c>
      <c r="I250" s="181">
        <v>114582</v>
      </c>
      <c r="J250" s="137"/>
      <c r="M250" s="138"/>
      <c r="N250" s="139"/>
    </row>
    <row r="251" spans="1:13" s="125" customFormat="1" ht="31.5">
      <c r="A251" s="112"/>
      <c r="B251" s="112" t="s">
        <v>168</v>
      </c>
      <c r="C251" s="112"/>
      <c r="D251" s="113" t="s">
        <v>62</v>
      </c>
      <c r="E251" s="231"/>
      <c r="F251" s="85">
        <f>F252+F253+F254+F257+F255+F258</f>
        <v>136197</v>
      </c>
      <c r="G251" s="85">
        <f>G252+G253+G254+G257+G255+G256+G258</f>
        <v>516005</v>
      </c>
      <c r="H251" s="85">
        <f>H252+H253+H254+H257+H255+H256+H258</f>
        <v>652202</v>
      </c>
      <c r="I251" s="181"/>
      <c r="J251" s="137"/>
      <c r="M251" s="200"/>
    </row>
    <row r="252" spans="1:13" s="125" customFormat="1" ht="56.25" customHeight="1">
      <c r="A252" s="227"/>
      <c r="B252" s="227" t="s">
        <v>180</v>
      </c>
      <c r="C252" s="227" t="s">
        <v>501</v>
      </c>
      <c r="D252" s="230" t="s">
        <v>181</v>
      </c>
      <c r="E252" s="382" t="s">
        <v>674</v>
      </c>
      <c r="F252" s="81"/>
      <c r="G252" s="81">
        <v>90300</v>
      </c>
      <c r="H252" s="81">
        <f aca="true" t="shared" si="10" ref="H252:H264">F252+G252</f>
        <v>90300</v>
      </c>
      <c r="I252" s="183"/>
      <c r="J252" s="137"/>
      <c r="M252" s="200"/>
    </row>
    <row r="253" spans="1:13" s="125" customFormat="1" ht="66" customHeight="1">
      <c r="A253" s="227"/>
      <c r="B253" s="381" t="s">
        <v>88</v>
      </c>
      <c r="C253" s="381" t="s">
        <v>503</v>
      </c>
      <c r="D253" s="379" t="s">
        <v>89</v>
      </c>
      <c r="E253" s="333" t="s">
        <v>621</v>
      </c>
      <c r="F253" s="83"/>
      <c r="G253" s="93">
        <f>4924761+36449462+4600000-551441+425705-45422782</f>
        <v>425705</v>
      </c>
      <c r="H253" s="81">
        <f t="shared" si="10"/>
        <v>425705</v>
      </c>
      <c r="I253" s="183"/>
      <c r="J253" s="137"/>
      <c r="M253" s="200"/>
    </row>
    <row r="254" spans="1:13" s="125" customFormat="1" ht="68.25" customHeight="1" hidden="1">
      <c r="A254" s="226"/>
      <c r="B254" s="381" t="s">
        <v>103</v>
      </c>
      <c r="C254" s="381" t="s">
        <v>537</v>
      </c>
      <c r="D254" s="379" t="s">
        <v>104</v>
      </c>
      <c r="E254" s="333" t="s">
        <v>621</v>
      </c>
      <c r="F254" s="83"/>
      <c r="G254" s="75">
        <f>17362+1335000-1352362</f>
        <v>0</v>
      </c>
      <c r="H254" s="81">
        <f t="shared" si="10"/>
        <v>0</v>
      </c>
      <c r="I254" s="183"/>
      <c r="J254" s="137"/>
      <c r="M254" s="200"/>
    </row>
    <row r="255" spans="1:13" s="171" customFormat="1" ht="66" customHeight="1" hidden="1">
      <c r="A255" s="226"/>
      <c r="B255" s="381" t="s">
        <v>102</v>
      </c>
      <c r="C255" s="381" t="s">
        <v>503</v>
      </c>
      <c r="D255" s="379" t="s">
        <v>242</v>
      </c>
      <c r="E255" s="229" t="s">
        <v>553</v>
      </c>
      <c r="F255" s="83"/>
      <c r="G255" s="75"/>
      <c r="H255" s="81">
        <f t="shared" si="10"/>
        <v>0</v>
      </c>
      <c r="I255" s="191"/>
      <c r="J255" s="170"/>
      <c r="M255" s="172"/>
    </row>
    <row r="256" spans="1:13" s="171" customFormat="1" ht="66" customHeight="1" hidden="1">
      <c r="A256" s="224"/>
      <c r="B256" s="381" t="s">
        <v>75</v>
      </c>
      <c r="C256" s="381" t="s">
        <v>504</v>
      </c>
      <c r="D256" s="379" t="s">
        <v>239</v>
      </c>
      <c r="E256" s="229" t="s">
        <v>543</v>
      </c>
      <c r="F256" s="83"/>
      <c r="G256" s="75"/>
      <c r="H256" s="81">
        <f t="shared" si="10"/>
        <v>0</v>
      </c>
      <c r="I256" s="191"/>
      <c r="J256" s="170"/>
      <c r="M256" s="172"/>
    </row>
    <row r="257" spans="1:13" s="125" customFormat="1" ht="53.25" customHeight="1" hidden="1">
      <c r="A257" s="227"/>
      <c r="B257" s="395" t="s">
        <v>81</v>
      </c>
      <c r="C257" s="395" t="s">
        <v>504</v>
      </c>
      <c r="D257" s="402" t="s">
        <v>96</v>
      </c>
      <c r="E257" s="229" t="s">
        <v>551</v>
      </c>
      <c r="F257" s="81"/>
      <c r="G257" s="75"/>
      <c r="H257" s="81">
        <f t="shared" si="10"/>
        <v>0</v>
      </c>
      <c r="I257" s="183"/>
      <c r="J257" s="127"/>
      <c r="M257" s="200"/>
    </row>
    <row r="258" spans="1:13" s="125" customFormat="1" ht="86.25" customHeight="1">
      <c r="A258" s="225"/>
      <c r="B258" s="395"/>
      <c r="C258" s="395"/>
      <c r="D258" s="402"/>
      <c r="E258" s="374" t="s">
        <v>670</v>
      </c>
      <c r="F258" s="81">
        <f>136197+44906-44906</f>
        <v>136197</v>
      </c>
      <c r="G258" s="75"/>
      <c r="H258" s="81">
        <f t="shared" si="10"/>
        <v>136197</v>
      </c>
      <c r="I258" s="183"/>
      <c r="J258" s="127"/>
      <c r="M258" s="200"/>
    </row>
    <row r="259" spans="1:13" s="125" customFormat="1" ht="46.5" customHeight="1">
      <c r="A259" s="122"/>
      <c r="B259" s="122" t="s">
        <v>167</v>
      </c>
      <c r="C259" s="122"/>
      <c r="D259" s="123" t="s">
        <v>41</v>
      </c>
      <c r="E259" s="234"/>
      <c r="F259" s="85">
        <f>F260+F261+F263+F262</f>
        <v>26700</v>
      </c>
      <c r="G259" s="85">
        <f>G260+G261+G263+G262</f>
        <v>300040</v>
      </c>
      <c r="H259" s="88">
        <f t="shared" si="10"/>
        <v>326740</v>
      </c>
      <c r="I259" s="183"/>
      <c r="J259" s="127"/>
      <c r="M259" s="200"/>
    </row>
    <row r="260" spans="1:13" s="125" customFormat="1" ht="46.5" customHeight="1">
      <c r="A260" s="392"/>
      <c r="B260" s="392" t="s">
        <v>180</v>
      </c>
      <c r="C260" s="392" t="s">
        <v>501</v>
      </c>
      <c r="D260" s="390" t="s">
        <v>181</v>
      </c>
      <c r="E260" s="377" t="s">
        <v>674</v>
      </c>
      <c r="F260" s="80"/>
      <c r="G260" s="75">
        <f>157040+143000</f>
        <v>300040</v>
      </c>
      <c r="H260" s="75">
        <f t="shared" si="10"/>
        <v>300040</v>
      </c>
      <c r="I260" s="183"/>
      <c r="J260" s="137"/>
      <c r="M260" s="200"/>
    </row>
    <row r="261" spans="1:13" s="125" customFormat="1" ht="63.75" customHeight="1" hidden="1">
      <c r="A261" s="396"/>
      <c r="B261" s="396"/>
      <c r="C261" s="393"/>
      <c r="D261" s="401"/>
      <c r="E261" s="230" t="s">
        <v>492</v>
      </c>
      <c r="F261" s="168"/>
      <c r="H261" s="124">
        <f t="shared" si="10"/>
        <v>0</v>
      </c>
      <c r="I261" s="183"/>
      <c r="J261" s="137"/>
      <c r="M261" s="200"/>
    </row>
    <row r="262" spans="1:13" s="125" customFormat="1" ht="63.75" customHeight="1" hidden="1">
      <c r="A262" s="226"/>
      <c r="B262" s="226"/>
      <c r="C262" s="226"/>
      <c r="D262" s="234"/>
      <c r="E262" s="92"/>
      <c r="F262" s="81"/>
      <c r="G262" s="81"/>
      <c r="H262" s="124">
        <f t="shared" si="10"/>
        <v>0</v>
      </c>
      <c r="I262" s="183"/>
      <c r="J262" s="137"/>
      <c r="M262" s="200"/>
    </row>
    <row r="263" spans="1:13" s="125" customFormat="1" ht="54" customHeight="1">
      <c r="A263" s="228"/>
      <c r="B263" s="228" t="s">
        <v>81</v>
      </c>
      <c r="C263" s="226" t="s">
        <v>504</v>
      </c>
      <c r="D263" s="234" t="s">
        <v>96</v>
      </c>
      <c r="E263" s="285" t="s">
        <v>609</v>
      </c>
      <c r="F263" s="80">
        <v>26700</v>
      </c>
      <c r="G263" s="80"/>
      <c r="H263" s="75">
        <f t="shared" si="10"/>
        <v>26700</v>
      </c>
      <c r="I263" s="183"/>
      <c r="J263" s="137"/>
      <c r="M263" s="200"/>
    </row>
    <row r="264" spans="1:13" s="125" customFormat="1" ht="47.25" customHeight="1">
      <c r="A264" s="122"/>
      <c r="B264" s="122" t="s">
        <v>208</v>
      </c>
      <c r="C264" s="122"/>
      <c r="D264" s="123" t="s">
        <v>41</v>
      </c>
      <c r="E264" s="234"/>
      <c r="F264" s="85">
        <f>F265+F266</f>
        <v>5674776</v>
      </c>
      <c r="G264" s="85">
        <f>G265+G266</f>
        <v>9931986</v>
      </c>
      <c r="H264" s="85">
        <f t="shared" si="10"/>
        <v>15606762</v>
      </c>
      <c r="I264" s="181"/>
      <c r="J264" s="137"/>
      <c r="M264" s="200"/>
    </row>
    <row r="265" spans="1:13" s="125" customFormat="1" ht="99.75" customHeight="1">
      <c r="A265" s="287"/>
      <c r="B265" s="287" t="s">
        <v>105</v>
      </c>
      <c r="C265" s="287" t="s">
        <v>538</v>
      </c>
      <c r="D265" s="284" t="s">
        <v>210</v>
      </c>
      <c r="E265" s="92" t="s">
        <v>669</v>
      </c>
      <c r="F265" s="81">
        <f>2227436+51285+125370+270685+3000000</f>
        <v>5674776</v>
      </c>
      <c r="G265" s="81">
        <f>3698382+54398-51285-54398+54398</f>
        <v>3701495</v>
      </c>
      <c r="H265" s="81">
        <f>G265+F265</f>
        <v>9376271</v>
      </c>
      <c r="I265" s="183"/>
      <c r="J265" s="127"/>
      <c r="M265" s="200"/>
    </row>
    <row r="266" spans="1:13" s="213" customFormat="1" ht="51.75" customHeight="1">
      <c r="A266" s="397"/>
      <c r="B266" s="397">
        <v>250380</v>
      </c>
      <c r="C266" s="311" t="s">
        <v>538</v>
      </c>
      <c r="D266" s="390" t="s">
        <v>339</v>
      </c>
      <c r="E266" s="336" t="s">
        <v>645</v>
      </c>
      <c r="F266" s="209"/>
      <c r="G266" s="75">
        <v>6230491</v>
      </c>
      <c r="H266" s="75">
        <f>G266</f>
        <v>6230491</v>
      </c>
      <c r="I266" s="211"/>
      <c r="J266" s="212"/>
      <c r="M266" s="214"/>
    </row>
    <row r="267" spans="1:13" s="125" customFormat="1" ht="51.75" customHeight="1" hidden="1">
      <c r="A267" s="398"/>
      <c r="B267" s="398"/>
      <c r="C267" s="222"/>
      <c r="D267" s="391"/>
      <c r="E267" s="234"/>
      <c r="F267" s="83"/>
      <c r="G267" s="75">
        <v>0</v>
      </c>
      <c r="H267" s="75">
        <f>G267</f>
        <v>0</v>
      </c>
      <c r="I267" s="183"/>
      <c r="J267" s="127"/>
      <c r="M267" s="200"/>
    </row>
    <row r="268" spans="1:13" s="125" customFormat="1" ht="31.5">
      <c r="A268" s="112"/>
      <c r="B268" s="112" t="s">
        <v>149</v>
      </c>
      <c r="C268" s="112"/>
      <c r="D268" s="113" t="s">
        <v>613</v>
      </c>
      <c r="E268" s="234"/>
      <c r="F268" s="85">
        <f>F269+F270+F273+F276+F277+F278+F279+F280+F281+F282+F283+F285+F284+F271+F275+F272+F274</f>
        <v>18504394</v>
      </c>
      <c r="G268" s="85">
        <f>G269+G270+G273+G276+G277+G278+G279+G280+G281+G282+G283+G285+G284+G271+G275+G272+G274</f>
        <v>3975323</v>
      </c>
      <c r="H268" s="85">
        <f>H269+H270+H273+H276+H277+H278+H279+H280+H281+H282+H283+H285+H284+H271+H275+H272+H274</f>
        <v>22479717</v>
      </c>
      <c r="I268" s="181">
        <f>I269+I270+I273+I276+I277+I278+I279+I280+I281+I282+I283+I285+I284</f>
        <v>0</v>
      </c>
      <c r="J268" s="137"/>
      <c r="M268" s="200"/>
    </row>
    <row r="269" spans="1:13" s="125" customFormat="1" ht="53.25" customHeight="1">
      <c r="A269" s="227"/>
      <c r="B269" s="227" t="s">
        <v>180</v>
      </c>
      <c r="C269" s="227" t="s">
        <v>501</v>
      </c>
      <c r="D269" s="230" t="s">
        <v>181</v>
      </c>
      <c r="E269" s="377" t="s">
        <v>674</v>
      </c>
      <c r="F269" s="81"/>
      <c r="G269" s="75">
        <v>179934</v>
      </c>
      <c r="H269" s="75">
        <f>F269+G269</f>
        <v>179934</v>
      </c>
      <c r="I269" s="183"/>
      <c r="J269" s="137"/>
      <c r="M269" s="200"/>
    </row>
    <row r="270" spans="1:13" s="125" customFormat="1" ht="72" customHeight="1" hidden="1">
      <c r="A270" s="227"/>
      <c r="B270" s="223" t="s">
        <v>90</v>
      </c>
      <c r="C270" s="235" t="s">
        <v>523</v>
      </c>
      <c r="D270" s="227" t="s">
        <v>97</v>
      </c>
      <c r="E270" s="229" t="s">
        <v>494</v>
      </c>
      <c r="F270" s="81"/>
      <c r="G270" s="75"/>
      <c r="H270" s="75">
        <f aca="true" t="shared" si="11" ref="H270:H285">F270+G270</f>
        <v>0</v>
      </c>
      <c r="I270" s="183"/>
      <c r="J270" s="137"/>
      <c r="M270" s="200"/>
    </row>
    <row r="271" spans="1:13" s="125" customFormat="1" ht="72" customHeight="1">
      <c r="A271" s="246"/>
      <c r="B271" s="392" t="s">
        <v>234</v>
      </c>
      <c r="C271" s="392" t="s">
        <v>530</v>
      </c>
      <c r="D271" s="392" t="s">
        <v>235</v>
      </c>
      <c r="E271" s="292" t="s">
        <v>621</v>
      </c>
      <c r="F271" s="81">
        <v>5177622</v>
      </c>
      <c r="G271" s="75"/>
      <c r="H271" s="75">
        <f t="shared" si="11"/>
        <v>5177622</v>
      </c>
      <c r="I271" s="183"/>
      <c r="J271" s="137"/>
      <c r="M271" s="200"/>
    </row>
    <row r="272" spans="1:13" s="125" customFormat="1" ht="72" customHeight="1" hidden="1">
      <c r="A272" s="386"/>
      <c r="B272" s="393"/>
      <c r="C272" s="393"/>
      <c r="D272" s="393"/>
      <c r="E272" s="114" t="s">
        <v>612</v>
      </c>
      <c r="F272" s="81">
        <f>21000-21000</f>
        <v>0</v>
      </c>
      <c r="G272" s="75"/>
      <c r="H272" s="75">
        <f t="shared" si="11"/>
        <v>0</v>
      </c>
      <c r="I272" s="183"/>
      <c r="J272" s="137"/>
      <c r="M272" s="200"/>
    </row>
    <row r="273" spans="1:14" s="125" customFormat="1" ht="52.5" customHeight="1">
      <c r="A273" s="227"/>
      <c r="B273" s="392" t="s">
        <v>98</v>
      </c>
      <c r="C273" s="392" t="s">
        <v>531</v>
      </c>
      <c r="D273" s="390" t="s">
        <v>99</v>
      </c>
      <c r="E273" s="336" t="s">
        <v>645</v>
      </c>
      <c r="F273" s="81">
        <f>851148+47585+79991+361456+10083901+8211536-161480+140335+39093+100000-145+1062689+472056+513152-8900946</f>
        <v>12900371</v>
      </c>
      <c r="G273" s="75">
        <f>199891+3163806+114020</f>
        <v>3477717</v>
      </c>
      <c r="H273" s="75">
        <f>F273+G273</f>
        <v>16378088</v>
      </c>
      <c r="I273" s="183"/>
      <c r="J273" s="127"/>
      <c r="M273" s="138"/>
      <c r="N273" s="139"/>
    </row>
    <row r="274" spans="1:14" s="125" customFormat="1" ht="52.5" customHeight="1">
      <c r="A274" s="389"/>
      <c r="B274" s="393"/>
      <c r="C274" s="393"/>
      <c r="D274" s="391"/>
      <c r="E274" s="114" t="s">
        <v>612</v>
      </c>
      <c r="F274" s="81">
        <v>21000</v>
      </c>
      <c r="G274" s="75"/>
      <c r="H274" s="75">
        <f>F274+G274</f>
        <v>21000</v>
      </c>
      <c r="I274" s="183"/>
      <c r="J274" s="127"/>
      <c r="M274" s="138"/>
      <c r="N274" s="139"/>
    </row>
    <row r="275" spans="1:14" s="125" customFormat="1" ht="52.5" customHeight="1">
      <c r="A275" s="300"/>
      <c r="B275" s="300" t="s">
        <v>88</v>
      </c>
      <c r="C275" s="300" t="s">
        <v>503</v>
      </c>
      <c r="D275" s="297" t="s">
        <v>89</v>
      </c>
      <c r="E275" s="336" t="s">
        <v>645</v>
      </c>
      <c r="F275" s="81"/>
      <c r="G275" s="75">
        <f>3481478-3163806</f>
        <v>317672</v>
      </c>
      <c r="H275" s="75">
        <f>F275+G275</f>
        <v>317672</v>
      </c>
      <c r="I275" s="183"/>
      <c r="J275" s="127"/>
      <c r="M275" s="138"/>
      <c r="N275" s="139"/>
    </row>
    <row r="276" spans="1:14" s="125" customFormat="1" ht="71.25" customHeight="1" hidden="1">
      <c r="A276" s="225"/>
      <c r="B276" s="225" t="s">
        <v>92</v>
      </c>
      <c r="C276" s="225"/>
      <c r="D276" s="231" t="s">
        <v>93</v>
      </c>
      <c r="E276" s="234" t="s">
        <v>16</v>
      </c>
      <c r="F276" s="81"/>
      <c r="G276" s="75"/>
      <c r="H276" s="75">
        <f t="shared" si="11"/>
        <v>0</v>
      </c>
      <c r="I276" s="183"/>
      <c r="J276" s="127"/>
      <c r="M276" s="138"/>
      <c r="N276" s="139"/>
    </row>
    <row r="277" spans="1:13" s="125" customFormat="1" ht="73.5" customHeight="1" hidden="1">
      <c r="A277" s="226"/>
      <c r="B277" s="226" t="s">
        <v>75</v>
      </c>
      <c r="C277" s="227"/>
      <c r="D277" s="234" t="s">
        <v>239</v>
      </c>
      <c r="E277" s="234" t="s">
        <v>221</v>
      </c>
      <c r="F277" s="81"/>
      <c r="G277" s="75"/>
      <c r="H277" s="75">
        <f t="shared" si="11"/>
        <v>0</v>
      </c>
      <c r="I277" s="183"/>
      <c r="J277" s="127"/>
      <c r="M277" s="200"/>
    </row>
    <row r="278" spans="1:14" s="125" customFormat="1" ht="50.25" customHeight="1">
      <c r="A278" s="395"/>
      <c r="B278" s="400" t="s">
        <v>81</v>
      </c>
      <c r="C278" s="392" t="s">
        <v>504</v>
      </c>
      <c r="D278" s="416" t="s">
        <v>96</v>
      </c>
      <c r="E278" s="255" t="s">
        <v>595</v>
      </c>
      <c r="F278" s="81">
        <v>226357</v>
      </c>
      <c r="G278" s="89"/>
      <c r="H278" s="75">
        <f t="shared" si="11"/>
        <v>226357</v>
      </c>
      <c r="I278" s="183"/>
      <c r="J278" s="127"/>
      <c r="M278" s="138"/>
      <c r="N278" s="139"/>
    </row>
    <row r="279" spans="1:13" s="125" customFormat="1" ht="54" customHeight="1" hidden="1">
      <c r="A279" s="395"/>
      <c r="B279" s="400"/>
      <c r="C279" s="396"/>
      <c r="D279" s="416"/>
      <c r="E279" s="234" t="s">
        <v>363</v>
      </c>
      <c r="F279" s="81"/>
      <c r="G279" s="89"/>
      <c r="H279" s="75">
        <f t="shared" si="11"/>
        <v>0</v>
      </c>
      <c r="I279" s="183"/>
      <c r="J279" s="127"/>
      <c r="M279" s="200"/>
    </row>
    <row r="280" spans="1:13" s="125" customFormat="1" ht="52.5" customHeight="1">
      <c r="A280" s="395"/>
      <c r="B280" s="400"/>
      <c r="C280" s="396"/>
      <c r="D280" s="416"/>
      <c r="E280" s="329" t="s">
        <v>642</v>
      </c>
      <c r="F280" s="81">
        <f>119500-78580</f>
        <v>40920</v>
      </c>
      <c r="G280" s="89"/>
      <c r="H280" s="75">
        <f t="shared" si="11"/>
        <v>40920</v>
      </c>
      <c r="I280" s="183"/>
      <c r="J280" s="127"/>
      <c r="M280" s="200"/>
    </row>
    <row r="281" spans="1:13" s="125" customFormat="1" ht="69" customHeight="1">
      <c r="A281" s="395"/>
      <c r="B281" s="400"/>
      <c r="C281" s="396"/>
      <c r="D281" s="416"/>
      <c r="E281" s="283" t="s">
        <v>605</v>
      </c>
      <c r="F281" s="81">
        <f>29892+31278</f>
        <v>61170</v>
      </c>
      <c r="G281" s="89"/>
      <c r="H281" s="75">
        <f t="shared" si="11"/>
        <v>61170</v>
      </c>
      <c r="I281" s="183"/>
      <c r="J281" s="127"/>
      <c r="M281" s="200"/>
    </row>
    <row r="282" spans="1:13" s="125" customFormat="1" ht="71.25" customHeight="1" hidden="1">
      <c r="A282" s="395"/>
      <c r="B282" s="400"/>
      <c r="C282" s="396"/>
      <c r="D282" s="416"/>
      <c r="E282" s="234" t="s">
        <v>124</v>
      </c>
      <c r="F282" s="81"/>
      <c r="G282" s="89"/>
      <c r="H282" s="75">
        <f t="shared" si="11"/>
        <v>0</v>
      </c>
      <c r="I282" s="183"/>
      <c r="J282" s="127"/>
      <c r="M282" s="200"/>
    </row>
    <row r="283" spans="1:13" s="125" customFormat="1" ht="69.75" customHeight="1">
      <c r="A283" s="395"/>
      <c r="B283" s="400"/>
      <c r="C283" s="396"/>
      <c r="D283" s="416"/>
      <c r="E283" s="372" t="s">
        <v>667</v>
      </c>
      <c r="F283" s="81">
        <f>39200+26900+10854</f>
        <v>76954</v>
      </c>
      <c r="G283" s="89"/>
      <c r="H283" s="75">
        <f t="shared" si="11"/>
        <v>76954</v>
      </c>
      <c r="I283" s="183"/>
      <c r="J283" s="127"/>
      <c r="M283" s="200"/>
    </row>
    <row r="284" spans="1:13" s="125" customFormat="1" ht="61.5" customHeight="1" hidden="1">
      <c r="A284" s="395"/>
      <c r="B284" s="400"/>
      <c r="C284" s="396"/>
      <c r="D284" s="416"/>
      <c r="E284" s="234" t="s">
        <v>545</v>
      </c>
      <c r="F284" s="81"/>
      <c r="G284" s="89"/>
      <c r="H284" s="75">
        <f t="shared" si="11"/>
        <v>0</v>
      </c>
      <c r="I284" s="183"/>
      <c r="J284" s="127"/>
      <c r="M284" s="200"/>
    </row>
    <row r="285" spans="1:13" s="125" customFormat="1" ht="63.75" customHeight="1" hidden="1">
      <c r="A285" s="395"/>
      <c r="B285" s="400"/>
      <c r="C285" s="393"/>
      <c r="D285" s="416"/>
      <c r="E285" s="234" t="s">
        <v>492</v>
      </c>
      <c r="F285" s="166">
        <f>478-478</f>
        <v>0</v>
      </c>
      <c r="G285" s="89"/>
      <c r="H285" s="75">
        <f t="shared" si="11"/>
        <v>0</v>
      </c>
      <c r="I285" s="183"/>
      <c r="J285" s="127"/>
      <c r="M285" s="200"/>
    </row>
    <row r="286" spans="1:13" s="125" customFormat="1" ht="31.5">
      <c r="A286" s="112"/>
      <c r="B286" s="112" t="s">
        <v>150</v>
      </c>
      <c r="C286" s="112"/>
      <c r="D286" s="113" t="s">
        <v>47</v>
      </c>
      <c r="E286" s="234"/>
      <c r="F286" s="85">
        <f>F287+F289+F292+F293+F294+F295+F296+F299+F300+F301+F298+F288+F291+F290</f>
        <v>6611772</v>
      </c>
      <c r="G286" s="85">
        <f>G287+G289+G292+G293+G294+G295+G296+G299+G300+G301+G298+G288+G291+G290</f>
        <v>13112404</v>
      </c>
      <c r="H286" s="85">
        <f>H287+H289+H292+H293+H294+H295+H296+H299+H300+H301+H298+H288+H291+H290</f>
        <v>19724176</v>
      </c>
      <c r="I286" s="181">
        <f>I287+I289+I292+I293+I294+I295+I296+I299+I300+I301+I298</f>
        <v>87729</v>
      </c>
      <c r="J286" s="137"/>
      <c r="M286" s="200"/>
    </row>
    <row r="287" spans="1:13" s="171" customFormat="1" ht="45.75" customHeight="1">
      <c r="A287" s="227"/>
      <c r="B287" s="227" t="s">
        <v>180</v>
      </c>
      <c r="C287" s="227" t="s">
        <v>501</v>
      </c>
      <c r="D287" s="230" t="s">
        <v>181</v>
      </c>
      <c r="E287" s="377" t="s">
        <v>674</v>
      </c>
      <c r="F287" s="81"/>
      <c r="G287" s="75">
        <f>320384+441434</f>
        <v>761818</v>
      </c>
      <c r="H287" s="75">
        <f>F287+G287</f>
        <v>761818</v>
      </c>
      <c r="I287" s="191"/>
      <c r="J287" s="170"/>
      <c r="M287" s="172"/>
    </row>
    <row r="288" spans="1:13" s="171" customFormat="1" ht="45.75" customHeight="1">
      <c r="A288" s="246"/>
      <c r="B288" s="244" t="s">
        <v>234</v>
      </c>
      <c r="C288" s="248" t="s">
        <v>530</v>
      </c>
      <c r="D288" s="246" t="s">
        <v>235</v>
      </c>
      <c r="E288" s="292" t="s">
        <v>621</v>
      </c>
      <c r="F288" s="81">
        <f>3542584-71836+436800</f>
        <v>3907548</v>
      </c>
      <c r="G288" s="75"/>
      <c r="H288" s="75">
        <f aca="true" t="shared" si="12" ref="H288:H301">F288+G288</f>
        <v>3907548</v>
      </c>
      <c r="I288" s="191"/>
      <c r="J288" s="170"/>
      <c r="M288" s="172"/>
    </row>
    <row r="289" spans="1:14" s="125" customFormat="1" ht="51" customHeight="1">
      <c r="A289" s="392"/>
      <c r="B289" s="392" t="s">
        <v>98</v>
      </c>
      <c r="C289" s="392" t="s">
        <v>531</v>
      </c>
      <c r="D289" s="390" t="s">
        <v>99</v>
      </c>
      <c r="E289" s="336" t="s">
        <v>645</v>
      </c>
      <c r="F289" s="203">
        <f>550420+35256+447545+1219275+100100+107695+100000</f>
        <v>2560291</v>
      </c>
      <c r="G289" s="203">
        <f>87729+659040+249660+2358114+1891902</f>
        <v>5246445</v>
      </c>
      <c r="H289" s="124">
        <f t="shared" si="12"/>
        <v>7806736</v>
      </c>
      <c r="I289" s="183">
        <v>87729</v>
      </c>
      <c r="J289" s="137"/>
      <c r="M289" s="138"/>
      <c r="N289" s="139"/>
    </row>
    <row r="290" spans="1:14" s="125" customFormat="1" ht="51" customHeight="1">
      <c r="A290" s="393"/>
      <c r="B290" s="393"/>
      <c r="C290" s="393"/>
      <c r="D290" s="391"/>
      <c r="E290" s="114" t="s">
        <v>612</v>
      </c>
      <c r="F290" s="203"/>
      <c r="G290" s="203">
        <f>100000+200000</f>
        <v>300000</v>
      </c>
      <c r="H290" s="124">
        <f t="shared" si="12"/>
        <v>300000</v>
      </c>
      <c r="I290" s="183"/>
      <c r="J290" s="137"/>
      <c r="M290" s="138"/>
      <c r="N290" s="139"/>
    </row>
    <row r="291" spans="1:14" s="125" customFormat="1" ht="51" customHeight="1">
      <c r="A291" s="282"/>
      <c r="B291" s="282" t="s">
        <v>88</v>
      </c>
      <c r="C291" s="282" t="s">
        <v>503</v>
      </c>
      <c r="D291" s="277" t="s">
        <v>89</v>
      </c>
      <c r="E291" s="336" t="s">
        <v>645</v>
      </c>
      <c r="F291" s="81"/>
      <c r="G291" s="81">
        <f>2825494+12574844-2825494+2575678-2358114+9593-6000000</f>
        <v>6802001</v>
      </c>
      <c r="H291" s="75">
        <f t="shared" si="12"/>
        <v>6802001</v>
      </c>
      <c r="I291" s="183"/>
      <c r="J291" s="137"/>
      <c r="M291" s="138"/>
      <c r="N291" s="139"/>
    </row>
    <row r="292" spans="1:13" s="125" customFormat="1" ht="63" customHeight="1" hidden="1">
      <c r="A292" s="225"/>
      <c r="B292" s="225" t="s">
        <v>92</v>
      </c>
      <c r="C292" s="225"/>
      <c r="D292" s="231" t="s">
        <v>93</v>
      </c>
      <c r="E292" s="276" t="s">
        <v>16</v>
      </c>
      <c r="F292" s="288"/>
      <c r="G292" s="289"/>
      <c r="H292" s="75">
        <f t="shared" si="12"/>
        <v>0</v>
      </c>
      <c r="I292" s="183"/>
      <c r="J292" s="127"/>
      <c r="M292" s="200"/>
    </row>
    <row r="293" spans="1:13" s="125" customFormat="1" ht="73.5" customHeight="1">
      <c r="A293" s="226"/>
      <c r="B293" s="226" t="s">
        <v>75</v>
      </c>
      <c r="C293" s="227" t="s">
        <v>504</v>
      </c>
      <c r="D293" s="234" t="s">
        <v>239</v>
      </c>
      <c r="E293" s="328" t="s">
        <v>641</v>
      </c>
      <c r="F293" s="81"/>
      <c r="G293" s="75">
        <v>2140</v>
      </c>
      <c r="H293" s="75">
        <f t="shared" si="12"/>
        <v>2140</v>
      </c>
      <c r="I293" s="183"/>
      <c r="J293" s="137"/>
      <c r="M293" s="200"/>
    </row>
    <row r="294" spans="1:14" s="125" customFormat="1" ht="47.25">
      <c r="A294" s="395"/>
      <c r="B294" s="400" t="s">
        <v>81</v>
      </c>
      <c r="C294" s="392" t="s">
        <v>504</v>
      </c>
      <c r="D294" s="416" t="s">
        <v>96</v>
      </c>
      <c r="E294" s="255" t="s">
        <v>595</v>
      </c>
      <c r="F294" s="81">
        <v>16536</v>
      </c>
      <c r="G294" s="89"/>
      <c r="H294" s="75">
        <f t="shared" si="12"/>
        <v>16536</v>
      </c>
      <c r="I294" s="183"/>
      <c r="J294" s="127"/>
      <c r="M294" s="138"/>
      <c r="N294" s="139"/>
    </row>
    <row r="295" spans="1:13" s="125" customFormat="1" ht="51.75" customHeight="1">
      <c r="A295" s="395"/>
      <c r="B295" s="400"/>
      <c r="C295" s="396"/>
      <c r="D295" s="416"/>
      <c r="E295" s="328" t="s">
        <v>642</v>
      </c>
      <c r="F295" s="81">
        <f>31950-4440</f>
        <v>27510</v>
      </c>
      <c r="G295" s="89"/>
      <c r="H295" s="75">
        <f t="shared" si="12"/>
        <v>27510</v>
      </c>
      <c r="I295" s="183"/>
      <c r="J295" s="127"/>
      <c r="M295" s="200"/>
    </row>
    <row r="296" spans="1:13" s="125" customFormat="1" ht="66.75" customHeight="1">
      <c r="A296" s="395"/>
      <c r="B296" s="400"/>
      <c r="C296" s="396"/>
      <c r="D296" s="416"/>
      <c r="E296" s="283" t="s">
        <v>605</v>
      </c>
      <c r="F296" s="81">
        <f>17815+32189</f>
        <v>50004</v>
      </c>
      <c r="G296" s="89"/>
      <c r="H296" s="75">
        <f t="shared" si="12"/>
        <v>50004</v>
      </c>
      <c r="I296" s="183"/>
      <c r="J296" s="127"/>
      <c r="M296" s="200"/>
    </row>
    <row r="297" spans="1:13" s="125" customFormat="1" ht="66.75" customHeight="1" hidden="1">
      <c r="A297" s="395"/>
      <c r="B297" s="400"/>
      <c r="C297" s="396"/>
      <c r="D297" s="416"/>
      <c r="E297" s="234" t="s">
        <v>362</v>
      </c>
      <c r="F297" s="81"/>
      <c r="G297" s="89"/>
      <c r="H297" s="75">
        <f t="shared" si="12"/>
        <v>0</v>
      </c>
      <c r="I297" s="183"/>
      <c r="J297" s="127"/>
      <c r="M297" s="200"/>
    </row>
    <row r="298" spans="1:13" s="125" customFormat="1" ht="61.5" customHeight="1" hidden="1">
      <c r="A298" s="395"/>
      <c r="B298" s="400"/>
      <c r="C298" s="396"/>
      <c r="D298" s="416"/>
      <c r="E298" s="234" t="s">
        <v>545</v>
      </c>
      <c r="F298" s="81"/>
      <c r="G298" s="89"/>
      <c r="H298" s="75">
        <f t="shared" si="12"/>
        <v>0</v>
      </c>
      <c r="I298" s="183"/>
      <c r="J298" s="127"/>
      <c r="M298" s="200"/>
    </row>
    <row r="299" spans="1:13" s="125" customFormat="1" ht="66.75" customHeight="1" hidden="1">
      <c r="A299" s="395"/>
      <c r="B299" s="400"/>
      <c r="C299" s="393"/>
      <c r="D299" s="416"/>
      <c r="E299" s="234" t="s">
        <v>561</v>
      </c>
      <c r="F299" s="81"/>
      <c r="G299" s="89"/>
      <c r="H299" s="75">
        <f t="shared" si="12"/>
        <v>0</v>
      </c>
      <c r="I299" s="183"/>
      <c r="J299" s="127"/>
      <c r="M299" s="200"/>
    </row>
    <row r="300" spans="1:13" s="125" customFormat="1" ht="65.25" customHeight="1">
      <c r="A300" s="395"/>
      <c r="B300" s="400"/>
      <c r="C300" s="225"/>
      <c r="D300" s="416"/>
      <c r="E300" s="372" t="s">
        <v>667</v>
      </c>
      <c r="F300" s="81">
        <f>26983+22900</f>
        <v>49883</v>
      </c>
      <c r="G300" s="89"/>
      <c r="H300" s="75">
        <f t="shared" si="12"/>
        <v>49883</v>
      </c>
      <c r="I300" s="183"/>
      <c r="J300" s="127"/>
      <c r="M300" s="200"/>
    </row>
    <row r="301" spans="1:13" s="125" customFormat="1" ht="53.25" customHeight="1" hidden="1">
      <c r="A301" s="226"/>
      <c r="B301" s="228" t="s">
        <v>88</v>
      </c>
      <c r="C301" s="226" t="s">
        <v>503</v>
      </c>
      <c r="D301" s="229" t="s">
        <v>89</v>
      </c>
      <c r="E301" s="234" t="s">
        <v>547</v>
      </c>
      <c r="F301" s="81"/>
      <c r="G301" s="89"/>
      <c r="H301" s="75">
        <f t="shared" si="12"/>
        <v>0</v>
      </c>
      <c r="I301" s="183"/>
      <c r="J301" s="127"/>
      <c r="M301" s="200"/>
    </row>
    <row r="302" spans="1:13" s="125" customFormat="1" ht="31.5">
      <c r="A302" s="112"/>
      <c r="B302" s="112" t="s">
        <v>151</v>
      </c>
      <c r="C302" s="112"/>
      <c r="D302" s="113" t="s">
        <v>614</v>
      </c>
      <c r="E302" s="234"/>
      <c r="F302" s="85">
        <f>F303+F305+F306+F309+F310+F312+F313+F314+F316+F317+F318+F319+F315+F304+F308+F311+F307</f>
        <v>11919837</v>
      </c>
      <c r="G302" s="85">
        <f>G303+G305+G306+G309+G310+G312+G313+G314+G316+G317+G318+G319+G315+G304+G308+G311+G307</f>
        <v>18457715</v>
      </c>
      <c r="H302" s="85">
        <f>H303+H305+H306+H309+H310+H312+H313+H314+H316+H317+H318+H319+H315+H304+H308+H311+H307</f>
        <v>30377552</v>
      </c>
      <c r="I302" s="181">
        <f>I303+I305+I306+I309+I310+I312+I313+I314+I316+I317+I318+I319+I315</f>
        <v>197127</v>
      </c>
      <c r="J302" s="137"/>
      <c r="M302" s="200"/>
    </row>
    <row r="303" spans="1:13" s="125" customFormat="1" ht="49.5" customHeight="1">
      <c r="A303" s="227"/>
      <c r="B303" s="227" t="s">
        <v>180</v>
      </c>
      <c r="C303" s="227" t="s">
        <v>501</v>
      </c>
      <c r="D303" s="230" t="s">
        <v>181</v>
      </c>
      <c r="E303" s="377" t="s">
        <v>674</v>
      </c>
      <c r="F303" s="81"/>
      <c r="G303" s="75">
        <f>295147+301860-36580+1068473</f>
        <v>1628900</v>
      </c>
      <c r="H303" s="75">
        <f>F303+G303</f>
        <v>1628900</v>
      </c>
      <c r="I303" s="183"/>
      <c r="J303" s="137"/>
      <c r="M303" s="200"/>
    </row>
    <row r="304" spans="1:13" s="125" customFormat="1" ht="49.5" customHeight="1">
      <c r="A304" s="246"/>
      <c r="B304" s="244" t="s">
        <v>234</v>
      </c>
      <c r="C304" s="248" t="s">
        <v>530</v>
      </c>
      <c r="D304" s="246" t="s">
        <v>235</v>
      </c>
      <c r="E304" s="292" t="s">
        <v>621</v>
      </c>
      <c r="F304" s="81">
        <f>4002438-529081</f>
        <v>3473357</v>
      </c>
      <c r="G304" s="75"/>
      <c r="H304" s="75">
        <f aca="true" t="shared" si="13" ref="H304:H319">F304+G304</f>
        <v>3473357</v>
      </c>
      <c r="I304" s="183"/>
      <c r="J304" s="137"/>
      <c r="M304" s="200"/>
    </row>
    <row r="305" spans="1:14" s="125" customFormat="1" ht="52.5" customHeight="1">
      <c r="A305" s="227"/>
      <c r="B305" s="223" t="s">
        <v>98</v>
      </c>
      <c r="C305" s="227" t="s">
        <v>531</v>
      </c>
      <c r="D305" s="230" t="s">
        <v>99</v>
      </c>
      <c r="E305" s="336" t="s">
        <v>645</v>
      </c>
      <c r="F305" s="81">
        <f>1073797-125315+8039+4356090+3112360+151746+90208+100000-32000+241700+112649+148473-1054928-77112</f>
        <v>8105707</v>
      </c>
      <c r="G305" s="81">
        <f>197127+3307887+719074+1088770-1088770-155073</f>
        <v>4069015</v>
      </c>
      <c r="H305" s="75">
        <f t="shared" si="13"/>
        <v>12174722</v>
      </c>
      <c r="I305" s="183">
        <v>197127</v>
      </c>
      <c r="J305" s="137"/>
      <c r="M305" s="138"/>
      <c r="N305" s="139"/>
    </row>
    <row r="306" spans="1:13" s="125" customFormat="1" ht="47.25">
      <c r="A306" s="392"/>
      <c r="B306" s="392" t="s">
        <v>88</v>
      </c>
      <c r="C306" s="392" t="s">
        <v>503</v>
      </c>
      <c r="D306" s="390" t="s">
        <v>89</v>
      </c>
      <c r="E306" s="336" t="s">
        <v>645</v>
      </c>
      <c r="F306" s="81"/>
      <c r="G306" s="81">
        <f>3551950-3307887+6300000+900000+4765937</f>
        <v>12210000</v>
      </c>
      <c r="H306" s="75">
        <f t="shared" si="13"/>
        <v>12210000</v>
      </c>
      <c r="I306" s="183"/>
      <c r="J306" s="137"/>
      <c r="M306" s="200"/>
    </row>
    <row r="307" spans="1:13" s="125" customFormat="1" ht="47.25">
      <c r="A307" s="393"/>
      <c r="B307" s="393"/>
      <c r="C307" s="393"/>
      <c r="D307" s="391"/>
      <c r="E307" s="363" t="s">
        <v>643</v>
      </c>
      <c r="F307" s="81"/>
      <c r="G307" s="81">
        <f>149800+150000</f>
        <v>299800</v>
      </c>
      <c r="H307" s="75">
        <f t="shared" si="13"/>
        <v>299800</v>
      </c>
      <c r="I307" s="183"/>
      <c r="J307" s="137"/>
      <c r="M307" s="200"/>
    </row>
    <row r="308" spans="1:13" s="125" customFormat="1" ht="47.25" hidden="1">
      <c r="A308" s="287"/>
      <c r="B308" s="287" t="s">
        <v>100</v>
      </c>
      <c r="C308" s="287" t="s">
        <v>532</v>
      </c>
      <c r="D308" s="285" t="s">
        <v>101</v>
      </c>
      <c r="E308" s="285" t="s">
        <v>547</v>
      </c>
      <c r="F308" s="81"/>
      <c r="G308" s="81">
        <f>19919105-19919105</f>
        <v>0</v>
      </c>
      <c r="H308" s="75">
        <f t="shared" si="13"/>
        <v>0</v>
      </c>
      <c r="I308" s="183"/>
      <c r="J308" s="137"/>
      <c r="M308" s="200"/>
    </row>
    <row r="309" spans="1:13" s="125" customFormat="1" ht="63" customHeight="1" hidden="1">
      <c r="A309" s="287"/>
      <c r="B309" s="287" t="s">
        <v>92</v>
      </c>
      <c r="C309" s="287"/>
      <c r="D309" s="284" t="s">
        <v>93</v>
      </c>
      <c r="E309" s="234" t="s">
        <v>16</v>
      </c>
      <c r="F309" s="81"/>
      <c r="G309" s="75"/>
      <c r="H309" s="75">
        <f t="shared" si="13"/>
        <v>0</v>
      </c>
      <c r="I309" s="183"/>
      <c r="J309" s="137"/>
      <c r="M309" s="200"/>
    </row>
    <row r="310" spans="1:13" s="125" customFormat="1" ht="99.75" customHeight="1" hidden="1">
      <c r="A310" s="226"/>
      <c r="B310" s="226" t="s">
        <v>75</v>
      </c>
      <c r="C310" s="227"/>
      <c r="D310" s="234" t="s">
        <v>239</v>
      </c>
      <c r="E310" s="234" t="s">
        <v>221</v>
      </c>
      <c r="F310" s="81"/>
      <c r="G310" s="75"/>
      <c r="H310" s="75">
        <f t="shared" si="13"/>
        <v>0</v>
      </c>
      <c r="I310" s="183"/>
      <c r="J310" s="127"/>
      <c r="M310" s="200"/>
    </row>
    <row r="311" spans="1:13" s="125" customFormat="1" ht="63">
      <c r="A311" s="361"/>
      <c r="B311" s="362">
        <v>240601</v>
      </c>
      <c r="C311" s="361" t="s">
        <v>513</v>
      </c>
      <c r="D311" s="362" t="s">
        <v>110</v>
      </c>
      <c r="E311" s="362" t="s">
        <v>616</v>
      </c>
      <c r="F311" s="81"/>
      <c r="G311" s="75">
        <v>250000</v>
      </c>
      <c r="H311" s="75">
        <f t="shared" si="13"/>
        <v>250000</v>
      </c>
      <c r="I311" s="183"/>
      <c r="J311" s="127"/>
      <c r="M311" s="200"/>
    </row>
    <row r="312" spans="1:14" s="125" customFormat="1" ht="54" customHeight="1">
      <c r="A312" s="395"/>
      <c r="B312" s="400" t="s">
        <v>81</v>
      </c>
      <c r="C312" s="392" t="s">
        <v>504</v>
      </c>
      <c r="D312" s="416" t="s">
        <v>96</v>
      </c>
      <c r="E312" s="255" t="s">
        <v>595</v>
      </c>
      <c r="F312" s="81">
        <v>165360</v>
      </c>
      <c r="G312" s="89"/>
      <c r="H312" s="75">
        <f t="shared" si="13"/>
        <v>165360</v>
      </c>
      <c r="I312" s="183"/>
      <c r="J312" s="127"/>
      <c r="M312" s="138"/>
      <c r="N312" s="139"/>
    </row>
    <row r="313" spans="1:13" s="125" customFormat="1" ht="54" customHeight="1" hidden="1">
      <c r="A313" s="395"/>
      <c r="B313" s="400"/>
      <c r="C313" s="396"/>
      <c r="D313" s="416"/>
      <c r="E313" s="234" t="s">
        <v>363</v>
      </c>
      <c r="F313" s="81"/>
      <c r="G313" s="89"/>
      <c r="H313" s="75">
        <f t="shared" si="13"/>
        <v>0</v>
      </c>
      <c r="I313" s="183"/>
      <c r="J313" s="127"/>
      <c r="M313" s="200"/>
    </row>
    <row r="314" spans="1:13" s="125" customFormat="1" ht="53.25" customHeight="1">
      <c r="A314" s="395"/>
      <c r="B314" s="400"/>
      <c r="C314" s="396"/>
      <c r="D314" s="416"/>
      <c r="E314" s="329" t="s">
        <v>642</v>
      </c>
      <c r="F314" s="81">
        <f>51313-4437</f>
        <v>46876</v>
      </c>
      <c r="G314" s="89"/>
      <c r="H314" s="75">
        <f t="shared" si="13"/>
        <v>46876</v>
      </c>
      <c r="I314" s="183"/>
      <c r="J314" s="127"/>
      <c r="M314" s="200"/>
    </row>
    <row r="315" spans="1:13" s="125" customFormat="1" ht="67.5" customHeight="1" hidden="1">
      <c r="A315" s="395"/>
      <c r="B315" s="400"/>
      <c r="C315" s="396"/>
      <c r="D315" s="416"/>
      <c r="E315" s="234" t="s">
        <v>545</v>
      </c>
      <c r="F315" s="81"/>
      <c r="G315" s="89"/>
      <c r="H315" s="75">
        <f t="shared" si="13"/>
        <v>0</v>
      </c>
      <c r="I315" s="183"/>
      <c r="J315" s="127"/>
      <c r="M315" s="200"/>
    </row>
    <row r="316" spans="1:13" s="125" customFormat="1" ht="63">
      <c r="A316" s="395"/>
      <c r="B316" s="400"/>
      <c r="C316" s="396"/>
      <c r="D316" s="416"/>
      <c r="E316" s="283" t="s">
        <v>605</v>
      </c>
      <c r="F316" s="81">
        <f>14850+15928</f>
        <v>30778</v>
      </c>
      <c r="G316" s="89"/>
      <c r="H316" s="75">
        <f t="shared" si="13"/>
        <v>30778</v>
      </c>
      <c r="I316" s="183"/>
      <c r="J316" s="127"/>
      <c r="M316" s="200"/>
    </row>
    <row r="317" spans="1:13" s="125" customFormat="1" ht="63" customHeight="1">
      <c r="A317" s="395"/>
      <c r="B317" s="400"/>
      <c r="C317" s="224"/>
      <c r="D317" s="416"/>
      <c r="E317" s="372" t="s">
        <v>667</v>
      </c>
      <c r="F317" s="81">
        <f>96300-13741+15200</f>
        <v>97759</v>
      </c>
      <c r="G317" s="89"/>
      <c r="H317" s="75">
        <f t="shared" si="13"/>
        <v>97759</v>
      </c>
      <c r="I317" s="183"/>
      <c r="J317" s="127"/>
      <c r="M317" s="200"/>
    </row>
    <row r="318" spans="1:13" s="125" customFormat="1" ht="47.25" customHeight="1" hidden="1">
      <c r="A318" s="395"/>
      <c r="B318" s="400"/>
      <c r="C318" s="224"/>
      <c r="D318" s="416"/>
      <c r="E318" s="234" t="s">
        <v>124</v>
      </c>
      <c r="F318" s="81"/>
      <c r="G318" s="89"/>
      <c r="H318" s="75">
        <f t="shared" si="13"/>
        <v>0</v>
      </c>
      <c r="I318" s="183"/>
      <c r="J318" s="127"/>
      <c r="M318" s="200"/>
    </row>
    <row r="319" spans="1:13" s="125" customFormat="1" ht="63" customHeight="1" hidden="1">
      <c r="A319" s="395"/>
      <c r="B319" s="400"/>
      <c r="C319" s="225"/>
      <c r="D319" s="416"/>
      <c r="E319" s="234" t="s">
        <v>139</v>
      </c>
      <c r="F319" s="81"/>
      <c r="G319" s="89"/>
      <c r="H319" s="75">
        <f t="shared" si="13"/>
        <v>0</v>
      </c>
      <c r="I319" s="183"/>
      <c r="J319" s="127"/>
      <c r="M319" s="200"/>
    </row>
    <row r="320" spans="1:13" s="125" customFormat="1" ht="31.5">
      <c r="A320" s="112"/>
      <c r="B320" s="112" t="s">
        <v>152</v>
      </c>
      <c r="C320" s="112"/>
      <c r="D320" s="113" t="s">
        <v>615</v>
      </c>
      <c r="E320" s="234"/>
      <c r="F320" s="85">
        <f>F321+F323+F325+F327+F328+F330+F331+F332+F333+F335+F336+F324+F334+F322+F329</f>
        <v>8965423</v>
      </c>
      <c r="G320" s="85">
        <f>G321+G323+G325+G327+G328+G330+G331+G332+G333+G335+G336+G324+G334+G322+G329+G326</f>
        <v>15903069</v>
      </c>
      <c r="H320" s="85">
        <f>H321+H323+H325+H327+H328+H330+H331+H332+H333+H335+H336+H324+H334+H322+H329+H326</f>
        <v>24868492</v>
      </c>
      <c r="I320" s="181">
        <f>I321+I323+I325+I327+I328+I330+I331+I332+I333+I335+I336+I324+I334</f>
        <v>0</v>
      </c>
      <c r="J320" s="137"/>
      <c r="M320" s="200"/>
    </row>
    <row r="321" spans="1:13" s="125" customFormat="1" ht="47.25" customHeight="1">
      <c r="A321" s="226"/>
      <c r="B321" s="227" t="s">
        <v>180</v>
      </c>
      <c r="C321" s="227" t="s">
        <v>501</v>
      </c>
      <c r="D321" s="230" t="s">
        <v>181</v>
      </c>
      <c r="E321" s="377" t="s">
        <v>674</v>
      </c>
      <c r="F321" s="81"/>
      <c r="G321" s="75">
        <v>597595</v>
      </c>
      <c r="H321" s="75">
        <f>F321+G321</f>
        <v>597595</v>
      </c>
      <c r="I321" s="183"/>
      <c r="J321" s="137"/>
      <c r="M321" s="200"/>
    </row>
    <row r="322" spans="1:13" s="125" customFormat="1" ht="47.25" customHeight="1">
      <c r="A322" s="246"/>
      <c r="B322" s="244" t="s">
        <v>234</v>
      </c>
      <c r="C322" s="248" t="s">
        <v>530</v>
      </c>
      <c r="D322" s="246" t="s">
        <v>235</v>
      </c>
      <c r="E322" s="292" t="s">
        <v>621</v>
      </c>
      <c r="F322" s="81">
        <f>2358884-158169+1605005-194433</f>
        <v>3611287</v>
      </c>
      <c r="G322" s="75"/>
      <c r="H322" s="75">
        <f aca="true" t="shared" si="14" ref="H322:H336">F322+G322</f>
        <v>3611287</v>
      </c>
      <c r="I322" s="183"/>
      <c r="J322" s="137"/>
      <c r="M322" s="200"/>
    </row>
    <row r="323" spans="1:14" s="125" customFormat="1" ht="47.25">
      <c r="A323" s="392"/>
      <c r="B323" s="392" t="s">
        <v>98</v>
      </c>
      <c r="C323" s="392" t="s">
        <v>531</v>
      </c>
      <c r="D323" s="390" t="s">
        <v>99</v>
      </c>
      <c r="E323" s="336" t="s">
        <v>645</v>
      </c>
      <c r="F323" s="81">
        <f>1180491-38231+85000+103204+2579655+601616-1747130+1747130+156660+158169+100000+144433</f>
        <v>5070997</v>
      </c>
      <c r="G323" s="81">
        <f>116139+3361599+677137+270928+1440113+205228+922542+945572</f>
        <v>7939258</v>
      </c>
      <c r="H323" s="75">
        <f t="shared" si="14"/>
        <v>13010255</v>
      </c>
      <c r="I323" s="183"/>
      <c r="J323" s="137"/>
      <c r="M323" s="138"/>
      <c r="N323" s="139"/>
    </row>
    <row r="324" spans="1:14" s="125" customFormat="1" ht="42.75" customHeight="1" hidden="1">
      <c r="A324" s="399"/>
      <c r="B324" s="399"/>
      <c r="C324" s="393"/>
      <c r="D324" s="399"/>
      <c r="E324" s="126" t="s">
        <v>493</v>
      </c>
      <c r="F324" s="96"/>
      <c r="G324" s="94"/>
      <c r="H324" s="94">
        <f t="shared" si="14"/>
        <v>0</v>
      </c>
      <c r="I324" s="183"/>
      <c r="J324" s="137"/>
      <c r="M324" s="138"/>
      <c r="N324" s="139"/>
    </row>
    <row r="325" spans="1:13" s="125" customFormat="1" ht="49.5" customHeight="1">
      <c r="A325" s="226"/>
      <c r="B325" s="226" t="s">
        <v>88</v>
      </c>
      <c r="C325" s="226" t="s">
        <v>503</v>
      </c>
      <c r="D325" s="234" t="s">
        <v>89</v>
      </c>
      <c r="E325" s="336" t="s">
        <v>645</v>
      </c>
      <c r="F325" s="81"/>
      <c r="G325" s="75">
        <f>3264198-3264198+3361599+549960-3361599+6804357</f>
        <v>7354317</v>
      </c>
      <c r="H325" s="75">
        <f t="shared" si="14"/>
        <v>7354317</v>
      </c>
      <c r="I325" s="183"/>
      <c r="J325" s="137"/>
      <c r="M325" s="200"/>
    </row>
    <row r="326" spans="1:13" s="125" customFormat="1" ht="49.5" customHeight="1">
      <c r="A326" s="358"/>
      <c r="B326" s="358" t="s">
        <v>102</v>
      </c>
      <c r="C326" s="395" t="s">
        <v>503</v>
      </c>
      <c r="D326" s="402" t="s">
        <v>242</v>
      </c>
      <c r="E326" s="356" t="s">
        <v>645</v>
      </c>
      <c r="F326" s="81"/>
      <c r="G326" s="75">
        <v>11899</v>
      </c>
      <c r="H326" s="75">
        <f t="shared" si="14"/>
        <v>11899</v>
      </c>
      <c r="I326" s="183"/>
      <c r="J326" s="137"/>
      <c r="M326" s="200"/>
    </row>
    <row r="327" spans="1:13" s="125" customFormat="1" ht="53.25" customHeight="1" hidden="1">
      <c r="A327" s="226"/>
      <c r="B327" s="226" t="s">
        <v>222</v>
      </c>
      <c r="C327" s="395"/>
      <c r="D327" s="402"/>
      <c r="E327" s="234" t="s">
        <v>312</v>
      </c>
      <c r="F327" s="83"/>
      <c r="G327" s="75"/>
      <c r="H327" s="75">
        <f t="shared" si="14"/>
        <v>0</v>
      </c>
      <c r="I327" s="183"/>
      <c r="J327" s="127"/>
      <c r="M327" s="200"/>
    </row>
    <row r="328" spans="1:13" s="125" customFormat="1" ht="73.5" customHeight="1" hidden="1">
      <c r="A328" s="226"/>
      <c r="B328" s="226" t="s">
        <v>92</v>
      </c>
      <c r="C328" s="395"/>
      <c r="D328" s="402"/>
      <c r="E328" s="234" t="s">
        <v>16</v>
      </c>
      <c r="F328" s="83"/>
      <c r="G328" s="75"/>
      <c r="H328" s="75">
        <f t="shared" si="14"/>
        <v>0</v>
      </c>
      <c r="I328" s="183"/>
      <c r="J328" s="127"/>
      <c r="M328" s="200"/>
    </row>
    <row r="329" spans="1:13" s="125" customFormat="1" ht="73.5" customHeight="1" hidden="1">
      <c r="A329" s="334"/>
      <c r="B329" s="335" t="s">
        <v>100</v>
      </c>
      <c r="C329" s="395"/>
      <c r="D329" s="402"/>
      <c r="E329" s="336" t="s">
        <v>645</v>
      </c>
      <c r="F329" s="83"/>
      <c r="G329" s="75">
        <f>1287567-1016639-270928</f>
        <v>0</v>
      </c>
      <c r="H329" s="75">
        <f t="shared" si="14"/>
        <v>0</v>
      </c>
      <c r="I329" s="183"/>
      <c r="J329" s="127"/>
      <c r="M329" s="200"/>
    </row>
    <row r="330" spans="1:14" s="125" customFormat="1" ht="47.25">
      <c r="A330" s="395"/>
      <c r="B330" s="400" t="s">
        <v>81</v>
      </c>
      <c r="C330" s="392" t="s">
        <v>504</v>
      </c>
      <c r="D330" s="416" t="s">
        <v>96</v>
      </c>
      <c r="E330" s="255" t="s">
        <v>595</v>
      </c>
      <c r="F330" s="81">
        <v>171129</v>
      </c>
      <c r="G330" s="89"/>
      <c r="H330" s="75">
        <f t="shared" si="14"/>
        <v>171129</v>
      </c>
      <c r="I330" s="183"/>
      <c r="J330" s="127"/>
      <c r="M330" s="138"/>
      <c r="N330" s="139"/>
    </row>
    <row r="331" spans="1:13" s="125" customFormat="1" ht="52.5" customHeight="1" hidden="1">
      <c r="A331" s="395"/>
      <c r="B331" s="400"/>
      <c r="C331" s="396"/>
      <c r="D331" s="416"/>
      <c r="E331" s="234" t="s">
        <v>363</v>
      </c>
      <c r="F331" s="81"/>
      <c r="G331" s="89"/>
      <c r="H331" s="75">
        <f t="shared" si="14"/>
        <v>0</v>
      </c>
      <c r="I331" s="183"/>
      <c r="J331" s="127"/>
      <c r="M331" s="200"/>
    </row>
    <row r="332" spans="1:13" s="125" customFormat="1" ht="54" customHeight="1">
      <c r="A332" s="395"/>
      <c r="B332" s="400"/>
      <c r="C332" s="396"/>
      <c r="D332" s="416"/>
      <c r="E332" s="329" t="s">
        <v>642</v>
      </c>
      <c r="F332" s="81">
        <v>20991</v>
      </c>
      <c r="G332" s="89"/>
      <c r="H332" s="75">
        <f t="shared" si="14"/>
        <v>20991</v>
      </c>
      <c r="I332" s="183"/>
      <c r="J332" s="127"/>
      <c r="M332" s="200"/>
    </row>
    <row r="333" spans="1:13" s="125" customFormat="1" ht="68.25" customHeight="1">
      <c r="A333" s="395"/>
      <c r="B333" s="400"/>
      <c r="C333" s="396"/>
      <c r="D333" s="416"/>
      <c r="E333" s="283" t="s">
        <v>605</v>
      </c>
      <c r="F333" s="81">
        <f>14850+19829</f>
        <v>34679</v>
      </c>
      <c r="G333" s="89"/>
      <c r="H333" s="75">
        <f>F333+G333</f>
        <v>34679</v>
      </c>
      <c r="I333" s="183"/>
      <c r="J333" s="127"/>
      <c r="M333" s="200"/>
    </row>
    <row r="334" spans="1:13" s="125" customFormat="1" ht="66.75" customHeight="1" hidden="1">
      <c r="A334" s="395"/>
      <c r="B334" s="400"/>
      <c r="C334" s="396"/>
      <c r="D334" s="416"/>
      <c r="E334" s="234" t="s">
        <v>545</v>
      </c>
      <c r="F334" s="81"/>
      <c r="G334" s="89"/>
      <c r="H334" s="75">
        <f>F334+G334</f>
        <v>0</v>
      </c>
      <c r="I334" s="183"/>
      <c r="J334" s="127"/>
      <c r="M334" s="200"/>
    </row>
    <row r="335" spans="1:13" s="125" customFormat="1" ht="69" customHeight="1">
      <c r="A335" s="395"/>
      <c r="B335" s="400"/>
      <c r="C335" s="396"/>
      <c r="D335" s="416"/>
      <c r="E335" s="372" t="s">
        <v>667</v>
      </c>
      <c r="F335" s="81">
        <f>26099+13600+16641</f>
        <v>56340</v>
      </c>
      <c r="G335" s="89"/>
      <c r="H335" s="75">
        <f t="shared" si="14"/>
        <v>56340</v>
      </c>
      <c r="I335" s="183"/>
      <c r="J335" s="127"/>
      <c r="M335" s="200"/>
    </row>
    <row r="336" spans="1:13" s="125" customFormat="1" ht="47.25" customHeight="1" hidden="1">
      <c r="A336" s="395"/>
      <c r="B336" s="400"/>
      <c r="C336" s="396"/>
      <c r="D336" s="416"/>
      <c r="E336" s="234" t="s">
        <v>124</v>
      </c>
      <c r="F336" s="81"/>
      <c r="G336" s="89"/>
      <c r="H336" s="75">
        <f t="shared" si="14"/>
        <v>0</v>
      </c>
      <c r="I336" s="183"/>
      <c r="J336" s="127"/>
      <c r="M336" s="200"/>
    </row>
    <row r="337" spans="1:13" s="127" customFormat="1" ht="31.5">
      <c r="A337" s="112"/>
      <c r="B337" s="112" t="s">
        <v>153</v>
      </c>
      <c r="C337" s="112"/>
      <c r="D337" s="113" t="s">
        <v>50</v>
      </c>
      <c r="E337" s="113"/>
      <c r="F337" s="85">
        <f>F338+F339+F341+F345+F346+F347+F348+F349+F350+F352+F353+F343+F354+F340+F344+F342+F351</f>
        <v>16402048</v>
      </c>
      <c r="G337" s="85">
        <f>G338+G339+G341+G345+G346+G347+G348+G349+G350+G352+G353+G343+G354+G340+G344+G342+G351</f>
        <v>10082771</v>
      </c>
      <c r="H337" s="85">
        <f>H338+H339+H341+H345+H346+H347+H348+H349+H350+H352+H353+H343+H354+H340+H344+H342+H351</f>
        <v>26484819</v>
      </c>
      <c r="I337" s="181">
        <f>I338+I339+I341+I345+I346+I347+I348+I349+I350+I352+I353+I343+I354</f>
        <v>0</v>
      </c>
      <c r="J337" s="137"/>
      <c r="M337" s="147"/>
    </row>
    <row r="338" spans="1:13" s="169" customFormat="1" ht="54.75" customHeight="1">
      <c r="A338" s="225"/>
      <c r="B338" s="227" t="s">
        <v>180</v>
      </c>
      <c r="C338" s="227" t="s">
        <v>501</v>
      </c>
      <c r="D338" s="230" t="s">
        <v>181</v>
      </c>
      <c r="E338" s="377" t="s">
        <v>674</v>
      </c>
      <c r="F338" s="81"/>
      <c r="G338" s="75">
        <f>277488+1221822</f>
        <v>1499310</v>
      </c>
      <c r="H338" s="75">
        <f aca="true" t="shared" si="15" ref="H338:H354">F338+G338</f>
        <v>1499310</v>
      </c>
      <c r="I338" s="191"/>
      <c r="J338" s="170"/>
      <c r="K338" s="171"/>
      <c r="M338" s="177"/>
    </row>
    <row r="339" spans="1:13" s="127" customFormat="1" ht="54.75" customHeight="1" hidden="1">
      <c r="A339" s="227"/>
      <c r="B339" s="227" t="s">
        <v>90</v>
      </c>
      <c r="C339" s="227"/>
      <c r="D339" s="227" t="s">
        <v>97</v>
      </c>
      <c r="E339" s="229" t="s">
        <v>362</v>
      </c>
      <c r="F339" s="81"/>
      <c r="G339" s="75"/>
      <c r="H339" s="75">
        <f t="shared" si="15"/>
        <v>0</v>
      </c>
      <c r="I339" s="183"/>
      <c r="J339" s="137"/>
      <c r="K339" s="125"/>
      <c r="M339" s="147"/>
    </row>
    <row r="340" spans="1:13" s="127" customFormat="1" ht="54.75" customHeight="1">
      <c r="A340" s="248"/>
      <c r="B340" s="252" t="s">
        <v>234</v>
      </c>
      <c r="C340" s="248" t="s">
        <v>530</v>
      </c>
      <c r="D340" s="246" t="s">
        <v>235</v>
      </c>
      <c r="E340" s="292" t="s">
        <v>621</v>
      </c>
      <c r="F340" s="81">
        <f>3917280+3000000-349078</f>
        <v>6568202</v>
      </c>
      <c r="G340" s="75"/>
      <c r="H340" s="75">
        <f t="shared" si="15"/>
        <v>6568202</v>
      </c>
      <c r="I340" s="183"/>
      <c r="J340" s="137"/>
      <c r="K340" s="125"/>
      <c r="M340" s="147"/>
    </row>
    <row r="341" spans="1:14" s="125" customFormat="1" ht="54" customHeight="1">
      <c r="A341" s="392"/>
      <c r="B341" s="392" t="s">
        <v>98</v>
      </c>
      <c r="C341" s="392" t="s">
        <v>531</v>
      </c>
      <c r="D341" s="390" t="s">
        <v>99</v>
      </c>
      <c r="E341" s="336" t="s">
        <v>645</v>
      </c>
      <c r="F341" s="81">
        <f>923455+112352+4391581+4115219+89800+32100-80520-182088-176741+100000</f>
        <v>9325158</v>
      </c>
      <c r="G341" s="81">
        <f>80520+667157+2273108+182088</f>
        <v>3202873</v>
      </c>
      <c r="H341" s="75">
        <f t="shared" si="15"/>
        <v>12528031</v>
      </c>
      <c r="I341" s="183"/>
      <c r="J341" s="127"/>
      <c r="M341" s="138"/>
      <c r="N341" s="139"/>
    </row>
    <row r="342" spans="1:14" s="125" customFormat="1" ht="54" customHeight="1">
      <c r="A342" s="393"/>
      <c r="B342" s="393"/>
      <c r="C342" s="393"/>
      <c r="D342" s="391"/>
      <c r="E342" s="114" t="s">
        <v>612</v>
      </c>
      <c r="F342" s="81"/>
      <c r="G342" s="81">
        <v>60000</v>
      </c>
      <c r="H342" s="75">
        <f t="shared" si="15"/>
        <v>60000</v>
      </c>
      <c r="I342" s="183"/>
      <c r="J342" s="127"/>
      <c r="M342" s="138"/>
      <c r="N342" s="139"/>
    </row>
    <row r="343" spans="1:14" s="125" customFormat="1" ht="52.5" customHeight="1">
      <c r="A343" s="392"/>
      <c r="B343" s="392" t="s">
        <v>88</v>
      </c>
      <c r="C343" s="392" t="s">
        <v>503</v>
      </c>
      <c r="D343" s="390" t="s">
        <v>89</v>
      </c>
      <c r="E343" s="336" t="s">
        <v>645</v>
      </c>
      <c r="F343" s="81"/>
      <c r="G343" s="75">
        <f>4577657+217100+2812742-2273108-45861</f>
        <v>5288530</v>
      </c>
      <c r="H343" s="75">
        <f t="shared" si="15"/>
        <v>5288530</v>
      </c>
      <c r="I343" s="183"/>
      <c r="J343" s="127"/>
      <c r="M343" s="138"/>
      <c r="N343" s="139"/>
    </row>
    <row r="344" spans="1:14" s="125" customFormat="1" ht="52.5" customHeight="1" hidden="1">
      <c r="A344" s="393"/>
      <c r="B344" s="393"/>
      <c r="C344" s="393"/>
      <c r="D344" s="391"/>
      <c r="E344" s="114" t="s">
        <v>612</v>
      </c>
      <c r="F344" s="81"/>
      <c r="G344" s="75">
        <f>60000-60000</f>
        <v>0</v>
      </c>
      <c r="H344" s="75">
        <f t="shared" si="15"/>
        <v>0</v>
      </c>
      <c r="I344" s="183"/>
      <c r="J344" s="127"/>
      <c r="M344" s="138"/>
      <c r="N344" s="139"/>
    </row>
    <row r="345" spans="1:14" s="125" customFormat="1" ht="77.25" customHeight="1" hidden="1">
      <c r="A345" s="225"/>
      <c r="B345" s="225" t="s">
        <v>92</v>
      </c>
      <c r="C345" s="225"/>
      <c r="D345" s="231" t="s">
        <v>93</v>
      </c>
      <c r="E345" s="234" t="s">
        <v>16</v>
      </c>
      <c r="F345" s="81"/>
      <c r="G345" s="75"/>
      <c r="H345" s="75">
        <f t="shared" si="15"/>
        <v>0</v>
      </c>
      <c r="I345" s="183"/>
      <c r="J345" s="127"/>
      <c r="M345" s="138"/>
      <c r="N345" s="139"/>
    </row>
    <row r="346" spans="1:13" s="125" customFormat="1" ht="63" customHeight="1">
      <c r="A346" s="226"/>
      <c r="B346" s="226" t="s">
        <v>75</v>
      </c>
      <c r="C346" s="226" t="s">
        <v>504</v>
      </c>
      <c r="D346" s="234" t="s">
        <v>239</v>
      </c>
      <c r="E346" s="328" t="s">
        <v>641</v>
      </c>
      <c r="F346" s="81"/>
      <c r="G346" s="75">
        <f>30000+2058</f>
        <v>32058</v>
      </c>
      <c r="H346" s="75">
        <f t="shared" si="15"/>
        <v>32058</v>
      </c>
      <c r="I346" s="183"/>
      <c r="J346" s="137"/>
      <c r="M346" s="200"/>
    </row>
    <row r="347" spans="1:14" s="125" customFormat="1" ht="47.25">
      <c r="A347" s="395"/>
      <c r="B347" s="400" t="s">
        <v>81</v>
      </c>
      <c r="C347" s="392" t="s">
        <v>504</v>
      </c>
      <c r="D347" s="416" t="s">
        <v>96</v>
      </c>
      <c r="E347" s="255" t="s">
        <v>596</v>
      </c>
      <c r="F347" s="81">
        <v>375288</v>
      </c>
      <c r="G347" s="89"/>
      <c r="H347" s="75">
        <f t="shared" si="15"/>
        <v>375288</v>
      </c>
      <c r="I347" s="183"/>
      <c r="J347" s="127"/>
      <c r="M347" s="138"/>
      <c r="N347" s="139"/>
    </row>
    <row r="348" spans="1:13" s="125" customFormat="1" ht="47.25">
      <c r="A348" s="395"/>
      <c r="B348" s="400"/>
      <c r="C348" s="396"/>
      <c r="D348" s="416"/>
      <c r="E348" s="329" t="s">
        <v>642</v>
      </c>
      <c r="F348" s="81">
        <f>62260-43360</f>
        <v>18900</v>
      </c>
      <c r="G348" s="89"/>
      <c r="H348" s="75">
        <f t="shared" si="15"/>
        <v>18900</v>
      </c>
      <c r="I348" s="183"/>
      <c r="J348" s="127"/>
      <c r="M348" s="200"/>
    </row>
    <row r="349" spans="1:13" s="125" customFormat="1" ht="63">
      <c r="A349" s="395"/>
      <c r="B349" s="400"/>
      <c r="C349" s="396"/>
      <c r="D349" s="416"/>
      <c r="E349" s="283" t="s">
        <v>605</v>
      </c>
      <c r="F349" s="81">
        <f>28236+27664</f>
        <v>55900</v>
      </c>
      <c r="G349" s="89"/>
      <c r="H349" s="75">
        <f t="shared" si="15"/>
        <v>55900</v>
      </c>
      <c r="I349" s="183"/>
      <c r="J349" s="127"/>
      <c r="M349" s="200"/>
    </row>
    <row r="350" spans="1:13" s="125" customFormat="1" ht="47.25" customHeight="1">
      <c r="A350" s="395"/>
      <c r="B350" s="400"/>
      <c r="C350" s="396"/>
      <c r="D350" s="416"/>
      <c r="E350" s="372" t="s">
        <v>667</v>
      </c>
      <c r="F350" s="81">
        <f>23600+30000</f>
        <v>53600</v>
      </c>
      <c r="G350" s="89"/>
      <c r="H350" s="75">
        <f t="shared" si="15"/>
        <v>53600</v>
      </c>
      <c r="I350" s="183"/>
      <c r="J350" s="127"/>
      <c r="M350" s="200"/>
    </row>
    <row r="351" spans="1:13" s="125" customFormat="1" ht="47.25" customHeight="1">
      <c r="A351" s="395"/>
      <c r="B351" s="400"/>
      <c r="C351" s="396"/>
      <c r="D351" s="416"/>
      <c r="E351" s="114" t="s">
        <v>612</v>
      </c>
      <c r="F351" s="81">
        <v>5000</v>
      </c>
      <c r="G351" s="89"/>
      <c r="H351" s="75">
        <f t="shared" si="15"/>
        <v>5000</v>
      </c>
      <c r="I351" s="183"/>
      <c r="J351" s="127"/>
      <c r="M351" s="200"/>
    </row>
    <row r="352" spans="1:13" s="125" customFormat="1" ht="47.25" customHeight="1" hidden="1">
      <c r="A352" s="395"/>
      <c r="B352" s="400"/>
      <c r="C352" s="396"/>
      <c r="D352" s="416"/>
      <c r="E352" s="234" t="s">
        <v>363</v>
      </c>
      <c r="F352" s="81"/>
      <c r="G352" s="89"/>
      <c r="H352" s="75">
        <f t="shared" si="15"/>
        <v>0</v>
      </c>
      <c r="I352" s="183"/>
      <c r="J352" s="127"/>
      <c r="M352" s="200"/>
    </row>
    <row r="353" spans="1:13" s="125" customFormat="1" ht="47.25" customHeight="1" hidden="1">
      <c r="A353" s="395"/>
      <c r="B353" s="400"/>
      <c r="C353" s="396"/>
      <c r="D353" s="416"/>
      <c r="E353" s="234" t="s">
        <v>124</v>
      </c>
      <c r="F353" s="81"/>
      <c r="G353" s="89"/>
      <c r="H353" s="75">
        <f t="shared" si="15"/>
        <v>0</v>
      </c>
      <c r="I353" s="183"/>
      <c r="J353" s="127"/>
      <c r="M353" s="200"/>
    </row>
    <row r="354" spans="1:13" s="125" customFormat="1" ht="65.25" customHeight="1" hidden="1">
      <c r="A354" s="395"/>
      <c r="B354" s="400"/>
      <c r="C354" s="396"/>
      <c r="D354" s="416"/>
      <c r="E354" s="234" t="s">
        <v>545</v>
      </c>
      <c r="F354" s="81"/>
      <c r="G354" s="89"/>
      <c r="H354" s="75">
        <f t="shared" si="15"/>
        <v>0</v>
      </c>
      <c r="I354" s="183"/>
      <c r="J354" s="127"/>
      <c r="M354" s="200"/>
    </row>
    <row r="355" spans="1:13" s="127" customFormat="1" ht="31.5">
      <c r="A355" s="112"/>
      <c r="B355" s="112" t="s">
        <v>154</v>
      </c>
      <c r="C355" s="112"/>
      <c r="D355" s="113" t="s">
        <v>51</v>
      </c>
      <c r="E355" s="113"/>
      <c r="F355" s="85">
        <f>F356+F357+F359+F362+F363+F364+F365+F367+F368+F369+F370+F371+F372+F366+F358+F361+F360</f>
        <v>7800342</v>
      </c>
      <c r="G355" s="85">
        <f>G356+G357+G359+G362+G363+G364+G365+G367+G368+G369+G370+G371+G372+G366+G358+G361+G360</f>
        <v>5507983</v>
      </c>
      <c r="H355" s="85">
        <f>H356+H357+H359+H362+H363+H364+H365+H367+H368+H369+H370+H371+H372+H366+H358+H361+H360</f>
        <v>13308325</v>
      </c>
      <c r="I355" s="181">
        <f>I356+I359+I363+I364+I365+I366+I367+I372</f>
        <v>0</v>
      </c>
      <c r="J355" s="137"/>
      <c r="M355" s="147"/>
    </row>
    <row r="356" spans="1:13" s="169" customFormat="1" ht="49.5" customHeight="1">
      <c r="A356" s="174"/>
      <c r="B356" s="226" t="s">
        <v>180</v>
      </c>
      <c r="C356" s="227" t="s">
        <v>501</v>
      </c>
      <c r="D356" s="234" t="s">
        <v>181</v>
      </c>
      <c r="E356" s="377" t="s">
        <v>674</v>
      </c>
      <c r="F356" s="81"/>
      <c r="G356" s="75">
        <f>588366-60085+344440+220868</f>
        <v>1093589</v>
      </c>
      <c r="H356" s="75">
        <f>F356+G356</f>
        <v>1093589</v>
      </c>
      <c r="I356" s="191"/>
      <c r="J356" s="170"/>
      <c r="L356" s="170"/>
      <c r="M356" s="177"/>
    </row>
    <row r="357" spans="1:13" s="127" customFormat="1" ht="49.5" customHeight="1" hidden="1">
      <c r="A357" s="227"/>
      <c r="B357" s="227" t="s">
        <v>88</v>
      </c>
      <c r="C357" s="227"/>
      <c r="D357" s="230" t="s">
        <v>89</v>
      </c>
      <c r="E357" s="234" t="s">
        <v>363</v>
      </c>
      <c r="F357" s="81"/>
      <c r="G357" s="75"/>
      <c r="H357" s="75">
        <f aca="true" t="shared" si="16" ref="H357:H372">F357+G357</f>
        <v>0</v>
      </c>
      <c r="I357" s="183"/>
      <c r="J357" s="137"/>
      <c r="M357" s="147"/>
    </row>
    <row r="358" spans="1:13" s="127" customFormat="1" ht="49.5" customHeight="1">
      <c r="A358" s="246"/>
      <c r="B358" s="244" t="s">
        <v>234</v>
      </c>
      <c r="C358" s="248" t="s">
        <v>530</v>
      </c>
      <c r="D358" s="246" t="s">
        <v>235</v>
      </c>
      <c r="E358" s="292" t="s">
        <v>621</v>
      </c>
      <c r="F358" s="81">
        <f>1754260+439901-135745</f>
        <v>2058416</v>
      </c>
      <c r="G358" s="75"/>
      <c r="H358" s="75">
        <f t="shared" si="16"/>
        <v>2058416</v>
      </c>
      <c r="I358" s="183"/>
      <c r="J358" s="137"/>
      <c r="M358" s="147"/>
    </row>
    <row r="359" spans="1:14" s="125" customFormat="1" ht="48.75" customHeight="1">
      <c r="A359" s="392"/>
      <c r="B359" s="392" t="s">
        <v>98</v>
      </c>
      <c r="C359" s="392" t="s">
        <v>531</v>
      </c>
      <c r="D359" s="390" t="s">
        <v>99</v>
      </c>
      <c r="E359" s="336" t="s">
        <v>645</v>
      </c>
      <c r="F359" s="81">
        <f>1050231-57293+51707+2211810+1591741+16340+30656+158662+163780+196813+24556-77432+135745</f>
        <v>5497316</v>
      </c>
      <c r="G359" s="81">
        <f>663780+108328-108328+2823834+108328-185493</f>
        <v>3410449</v>
      </c>
      <c r="H359" s="75">
        <f t="shared" si="16"/>
        <v>8907765</v>
      </c>
      <c r="I359" s="183"/>
      <c r="J359" s="127"/>
      <c r="M359" s="138"/>
      <c r="N359" s="139"/>
    </row>
    <row r="360" spans="1:14" s="125" customFormat="1" ht="39" customHeight="1">
      <c r="A360" s="393"/>
      <c r="B360" s="393"/>
      <c r="C360" s="393"/>
      <c r="D360" s="391"/>
      <c r="E360" s="114" t="s">
        <v>612</v>
      </c>
      <c r="F360" s="81"/>
      <c r="G360" s="81">
        <v>10000</v>
      </c>
      <c r="H360" s="75">
        <f t="shared" si="16"/>
        <v>10000</v>
      </c>
      <c r="I360" s="183"/>
      <c r="J360" s="127"/>
      <c r="M360" s="138"/>
      <c r="N360" s="139"/>
    </row>
    <row r="361" spans="1:14" s="125" customFormat="1" ht="48.75" customHeight="1">
      <c r="A361" s="300"/>
      <c r="B361" s="300" t="s">
        <v>88</v>
      </c>
      <c r="C361" s="300" t="s">
        <v>503</v>
      </c>
      <c r="D361" s="283" t="s">
        <v>89</v>
      </c>
      <c r="E361" s="336" t="s">
        <v>645</v>
      </c>
      <c r="F361" s="81"/>
      <c r="G361" s="81">
        <f>2825494-2825494+2823834+469223-469223-2823834+469223+496446</f>
        <v>965669</v>
      </c>
      <c r="H361" s="75">
        <f t="shared" si="16"/>
        <v>965669</v>
      </c>
      <c r="I361" s="183"/>
      <c r="J361" s="127"/>
      <c r="M361" s="138"/>
      <c r="N361" s="139"/>
    </row>
    <row r="362" spans="1:14" s="125" customFormat="1" ht="73.5" customHeight="1" hidden="1">
      <c r="A362" s="300"/>
      <c r="B362" s="300" t="s">
        <v>92</v>
      </c>
      <c r="C362" s="300"/>
      <c r="D362" s="232" t="s">
        <v>93</v>
      </c>
      <c r="E362" s="234" t="s">
        <v>16</v>
      </c>
      <c r="F362" s="81"/>
      <c r="G362" s="75"/>
      <c r="H362" s="75">
        <f t="shared" si="16"/>
        <v>0</v>
      </c>
      <c r="I362" s="183"/>
      <c r="J362" s="127"/>
      <c r="M362" s="138"/>
      <c r="N362" s="139"/>
    </row>
    <row r="363" spans="1:13" s="125" customFormat="1" ht="50.25" customHeight="1">
      <c r="A363" s="227"/>
      <c r="B363" s="223" t="s">
        <v>75</v>
      </c>
      <c r="C363" s="227" t="s">
        <v>504</v>
      </c>
      <c r="D363" s="230" t="s">
        <v>239</v>
      </c>
      <c r="E363" s="328" t="s">
        <v>641</v>
      </c>
      <c r="F363" s="81"/>
      <c r="G363" s="75">
        <f>10000+3276+15000</f>
        <v>28276</v>
      </c>
      <c r="H363" s="75">
        <f t="shared" si="16"/>
        <v>28276</v>
      </c>
      <c r="I363" s="183"/>
      <c r="J363" s="137"/>
      <c r="M363" s="200"/>
    </row>
    <row r="364" spans="1:14" s="125" customFormat="1" ht="50.25" customHeight="1">
      <c r="A364" s="395"/>
      <c r="B364" s="400" t="s">
        <v>81</v>
      </c>
      <c r="C364" s="392" t="s">
        <v>504</v>
      </c>
      <c r="D364" s="416" t="s">
        <v>96</v>
      </c>
      <c r="E364" s="255" t="s">
        <v>596</v>
      </c>
      <c r="F364" s="81">
        <v>110240</v>
      </c>
      <c r="G364" s="89"/>
      <c r="H364" s="75">
        <f t="shared" si="16"/>
        <v>110240</v>
      </c>
      <c r="I364" s="183"/>
      <c r="J364" s="127"/>
      <c r="M364" s="138"/>
      <c r="N364" s="139"/>
    </row>
    <row r="365" spans="1:13" s="125" customFormat="1" ht="50.25" customHeight="1">
      <c r="A365" s="395"/>
      <c r="B365" s="400"/>
      <c r="C365" s="396"/>
      <c r="D365" s="416"/>
      <c r="E365" s="329" t="s">
        <v>642</v>
      </c>
      <c r="F365" s="81">
        <f>37305-5805</f>
        <v>31500</v>
      </c>
      <c r="G365" s="89"/>
      <c r="H365" s="75">
        <f t="shared" si="16"/>
        <v>31500</v>
      </c>
      <c r="I365" s="183"/>
      <c r="J365" s="127"/>
      <c r="M365" s="200"/>
    </row>
    <row r="366" spans="1:13" s="125" customFormat="1" ht="66.75" customHeight="1" hidden="1">
      <c r="A366" s="395"/>
      <c r="B366" s="400"/>
      <c r="C366" s="396"/>
      <c r="D366" s="416"/>
      <c r="E366" s="234" t="s">
        <v>545</v>
      </c>
      <c r="F366" s="81"/>
      <c r="G366" s="89"/>
      <c r="H366" s="75">
        <f t="shared" si="16"/>
        <v>0</v>
      </c>
      <c r="I366" s="183"/>
      <c r="J366" s="127"/>
      <c r="M366" s="200"/>
    </row>
    <row r="367" spans="1:13" s="125" customFormat="1" ht="66" customHeight="1">
      <c r="A367" s="395"/>
      <c r="B367" s="400"/>
      <c r="C367" s="396"/>
      <c r="D367" s="416"/>
      <c r="E367" s="283" t="s">
        <v>605</v>
      </c>
      <c r="F367" s="81">
        <f>17280+35087</f>
        <v>52367</v>
      </c>
      <c r="G367" s="89"/>
      <c r="H367" s="75">
        <f t="shared" si="16"/>
        <v>52367</v>
      </c>
      <c r="I367" s="183"/>
      <c r="J367" s="127"/>
      <c r="M367" s="200"/>
    </row>
    <row r="368" spans="1:13" s="125" customFormat="1" ht="57.75" customHeight="1">
      <c r="A368" s="395"/>
      <c r="B368" s="400"/>
      <c r="C368" s="396"/>
      <c r="D368" s="416"/>
      <c r="E368" s="372" t="s">
        <v>667</v>
      </c>
      <c r="F368" s="81">
        <f>25503+10000+15000</f>
        <v>50503</v>
      </c>
      <c r="G368" s="89"/>
      <c r="H368" s="75">
        <f t="shared" si="16"/>
        <v>50503</v>
      </c>
      <c r="I368" s="183"/>
      <c r="J368" s="127"/>
      <c r="M368" s="200"/>
    </row>
    <row r="369" spans="1:13" s="125" customFormat="1" ht="69.75" customHeight="1" hidden="1">
      <c r="A369" s="395"/>
      <c r="B369" s="400"/>
      <c r="C369" s="224"/>
      <c r="D369" s="416"/>
      <c r="E369" s="234" t="s">
        <v>124</v>
      </c>
      <c r="F369" s="81"/>
      <c r="G369" s="89"/>
      <c r="H369" s="75">
        <f t="shared" si="16"/>
        <v>0</v>
      </c>
      <c r="I369" s="183"/>
      <c r="J369" s="127"/>
      <c r="M369" s="200"/>
    </row>
    <row r="370" spans="1:13" s="125" customFormat="1" ht="53.25" customHeight="1" hidden="1">
      <c r="A370" s="395"/>
      <c r="B370" s="400"/>
      <c r="C370" s="224"/>
      <c r="D370" s="416"/>
      <c r="E370" s="234" t="s">
        <v>363</v>
      </c>
      <c r="F370" s="81"/>
      <c r="G370" s="89"/>
      <c r="H370" s="75">
        <f t="shared" si="16"/>
        <v>0</v>
      </c>
      <c r="I370" s="183"/>
      <c r="J370" s="127"/>
      <c r="M370" s="200"/>
    </row>
    <row r="371" spans="1:13" s="125" customFormat="1" ht="69" customHeight="1" hidden="1">
      <c r="A371" s="395"/>
      <c r="B371" s="400"/>
      <c r="C371" s="225"/>
      <c r="D371" s="416"/>
      <c r="E371" s="234" t="s">
        <v>139</v>
      </c>
      <c r="F371" s="81"/>
      <c r="G371" s="89"/>
      <c r="H371" s="75">
        <f t="shared" si="16"/>
        <v>0</v>
      </c>
      <c r="I371" s="183"/>
      <c r="J371" s="127"/>
      <c r="M371" s="200"/>
    </row>
    <row r="372" spans="1:13" s="125" customFormat="1" ht="60.75" customHeight="1" hidden="1">
      <c r="A372" s="226"/>
      <c r="B372" s="228" t="s">
        <v>88</v>
      </c>
      <c r="C372" s="226" t="s">
        <v>503</v>
      </c>
      <c r="D372" s="229" t="s">
        <v>89</v>
      </c>
      <c r="E372" s="234" t="s">
        <v>547</v>
      </c>
      <c r="F372" s="81"/>
      <c r="G372" s="89"/>
      <c r="H372" s="75">
        <f t="shared" si="16"/>
        <v>0</v>
      </c>
      <c r="I372" s="183"/>
      <c r="J372" s="127"/>
      <c r="M372" s="200"/>
    </row>
    <row r="373" spans="1:13" s="125" customFormat="1" ht="46.5" customHeight="1">
      <c r="A373" s="112"/>
      <c r="B373" s="112" t="s">
        <v>155</v>
      </c>
      <c r="C373" s="112"/>
      <c r="D373" s="113" t="s">
        <v>52</v>
      </c>
      <c r="E373" s="242"/>
      <c r="F373" s="85">
        <f>F374+F375+F377+F381+F383+F384+F385+F387+F388+F390+F389+F391+F376+F386+F379+F378+F380+F382</f>
        <v>16431763</v>
      </c>
      <c r="G373" s="85">
        <f>G374+G375+G377+G381+G383+G384+G385+G387+G388+G390+G389+G391+G376+G386+G379+G378+G380+G382</f>
        <v>14119328</v>
      </c>
      <c r="H373" s="85">
        <f>H374+H375+H377+H381+H383+H384+H385+H387+H388+H390+H389+H391+H376+H386+H379+H378+H380+H382</f>
        <v>30551091</v>
      </c>
      <c r="I373" s="181">
        <f>I374+I375+I377+I381+I383+I384+I385+I387+I388+I390+I389+I391</f>
        <v>0</v>
      </c>
      <c r="J373" s="137"/>
      <c r="M373" s="200"/>
    </row>
    <row r="374" spans="1:13" s="125" customFormat="1" ht="75" customHeight="1" hidden="1">
      <c r="A374" s="395"/>
      <c r="B374" s="400" t="s">
        <v>180</v>
      </c>
      <c r="C374" s="227"/>
      <c r="D374" s="416" t="s">
        <v>181</v>
      </c>
      <c r="E374" s="234" t="s">
        <v>139</v>
      </c>
      <c r="F374" s="81"/>
      <c r="G374" s="85"/>
      <c r="H374" s="75">
        <f>F374+G374</f>
        <v>0</v>
      </c>
      <c r="I374" s="181"/>
      <c r="J374" s="137"/>
      <c r="M374" s="200"/>
    </row>
    <row r="375" spans="1:13" s="171" customFormat="1" ht="45" customHeight="1">
      <c r="A375" s="392"/>
      <c r="B375" s="404"/>
      <c r="C375" s="227" t="s">
        <v>501</v>
      </c>
      <c r="D375" s="417"/>
      <c r="E375" s="377" t="s">
        <v>674</v>
      </c>
      <c r="F375" s="81"/>
      <c r="G375" s="75">
        <f>117635-26435+190000+75716+350000+1072872-945757</f>
        <v>834031</v>
      </c>
      <c r="H375" s="75">
        <f aca="true" t="shared" si="17" ref="H375:H391">F375+G375</f>
        <v>834031</v>
      </c>
      <c r="I375" s="191"/>
      <c r="J375" s="170"/>
      <c r="M375" s="172"/>
    </row>
    <row r="376" spans="1:13" s="171" customFormat="1" ht="51" customHeight="1">
      <c r="A376" s="248"/>
      <c r="B376" s="254" t="s">
        <v>234</v>
      </c>
      <c r="C376" s="248" t="s">
        <v>530</v>
      </c>
      <c r="D376" s="246" t="s">
        <v>235</v>
      </c>
      <c r="E376" s="292" t="s">
        <v>621</v>
      </c>
      <c r="F376" s="81">
        <f>5007306+49997+2000000-522949</f>
        <v>6534354</v>
      </c>
      <c r="G376" s="75"/>
      <c r="H376" s="75">
        <f t="shared" si="17"/>
        <v>6534354</v>
      </c>
      <c r="I376" s="191"/>
      <c r="J376" s="170"/>
      <c r="M376" s="172"/>
    </row>
    <row r="377" spans="1:14" s="125" customFormat="1" ht="50.25" customHeight="1">
      <c r="A377" s="392"/>
      <c r="B377" s="392" t="s">
        <v>98</v>
      </c>
      <c r="C377" s="392" t="s">
        <v>531</v>
      </c>
      <c r="D377" s="390" t="s">
        <v>99</v>
      </c>
      <c r="E377" s="336" t="s">
        <v>645</v>
      </c>
      <c r="F377" s="81">
        <f>702435+25646+120000+2982062+6343287-370000+199595-422808</f>
        <v>9580217</v>
      </c>
      <c r="G377" s="75">
        <f>198591+3274667</f>
        <v>3473258</v>
      </c>
      <c r="H377" s="75">
        <f aca="true" t="shared" si="18" ref="H377:H382">F377+G377</f>
        <v>13053475</v>
      </c>
      <c r="I377" s="183"/>
      <c r="J377" s="137"/>
      <c r="M377" s="138"/>
      <c r="N377" s="139"/>
    </row>
    <row r="378" spans="1:14" s="125" customFormat="1" ht="50.25" customHeight="1" hidden="1">
      <c r="A378" s="393"/>
      <c r="B378" s="393"/>
      <c r="C378" s="393"/>
      <c r="D378" s="391"/>
      <c r="E378" s="114" t="s">
        <v>612</v>
      </c>
      <c r="F378" s="81">
        <f>8000-8000</f>
        <v>0</v>
      </c>
      <c r="G378" s="75"/>
      <c r="H378" s="75">
        <f t="shared" si="18"/>
        <v>0</v>
      </c>
      <c r="I378" s="183"/>
      <c r="J378" s="137"/>
      <c r="M378" s="138"/>
      <c r="N378" s="139"/>
    </row>
    <row r="379" spans="1:14" s="125" customFormat="1" ht="50.25" customHeight="1">
      <c r="A379" s="300"/>
      <c r="B379" s="299" t="s">
        <v>88</v>
      </c>
      <c r="C379" s="300" t="s">
        <v>503</v>
      </c>
      <c r="D379" s="297" t="s">
        <v>89</v>
      </c>
      <c r="E379" s="336" t="s">
        <v>645</v>
      </c>
      <c r="F379" s="81"/>
      <c r="G379" s="89">
        <f>8175965+3274667-3274667+180000</f>
        <v>8355965</v>
      </c>
      <c r="H379" s="75">
        <f t="shared" si="18"/>
        <v>8355965</v>
      </c>
      <c r="I379" s="183"/>
      <c r="J379" s="137"/>
      <c r="M379" s="138"/>
      <c r="N379" s="139"/>
    </row>
    <row r="380" spans="1:14" s="125" customFormat="1" ht="50.25" customHeight="1">
      <c r="A380" s="371"/>
      <c r="B380" s="373" t="s">
        <v>100</v>
      </c>
      <c r="C380" s="371" t="s">
        <v>532</v>
      </c>
      <c r="D380" s="374" t="s">
        <v>101</v>
      </c>
      <c r="E380" s="374" t="s">
        <v>645</v>
      </c>
      <c r="F380" s="81"/>
      <c r="G380" s="89">
        <v>1456074</v>
      </c>
      <c r="H380" s="75">
        <f t="shared" si="18"/>
        <v>1456074</v>
      </c>
      <c r="I380" s="183"/>
      <c r="J380" s="137"/>
      <c r="M380" s="138"/>
      <c r="N380" s="139"/>
    </row>
    <row r="381" spans="1:14" s="125" customFormat="1" ht="73.5" customHeight="1" hidden="1">
      <c r="A381" s="300"/>
      <c r="B381" s="225" t="s">
        <v>92</v>
      </c>
      <c r="C381" s="224"/>
      <c r="D381" s="231" t="s">
        <v>93</v>
      </c>
      <c r="E381" s="234" t="s">
        <v>16</v>
      </c>
      <c r="F381" s="81"/>
      <c r="G381" s="75"/>
      <c r="H381" s="75">
        <f t="shared" si="18"/>
        <v>0</v>
      </c>
      <c r="I381" s="183"/>
      <c r="J381" s="137"/>
      <c r="M381" s="138"/>
      <c r="N381" s="139"/>
    </row>
    <row r="382" spans="1:14" s="125" customFormat="1" ht="73.5" customHeight="1" hidden="1">
      <c r="A382" s="381"/>
      <c r="B382" s="380" t="s">
        <v>33</v>
      </c>
      <c r="C382" s="381" t="s">
        <v>513</v>
      </c>
      <c r="D382" s="379" t="s">
        <v>110</v>
      </c>
      <c r="E382" s="379" t="s">
        <v>616</v>
      </c>
      <c r="F382" s="81"/>
      <c r="G382" s="75">
        <f>24000-24000</f>
        <v>0</v>
      </c>
      <c r="H382" s="75">
        <f t="shared" si="18"/>
        <v>0</v>
      </c>
      <c r="I382" s="183"/>
      <c r="J382" s="137"/>
      <c r="M382" s="138"/>
      <c r="N382" s="139"/>
    </row>
    <row r="383" spans="1:14" s="125" customFormat="1" ht="47.25">
      <c r="A383" s="395"/>
      <c r="B383" s="400" t="s">
        <v>81</v>
      </c>
      <c r="C383" s="392" t="s">
        <v>504</v>
      </c>
      <c r="D383" s="416" t="s">
        <v>96</v>
      </c>
      <c r="E383" s="255" t="s">
        <v>596</v>
      </c>
      <c r="F383" s="81">
        <v>154552</v>
      </c>
      <c r="G383" s="89"/>
      <c r="H383" s="75">
        <f t="shared" si="17"/>
        <v>154552</v>
      </c>
      <c r="I383" s="183"/>
      <c r="J383" s="127"/>
      <c r="M383" s="138"/>
      <c r="N383" s="139"/>
    </row>
    <row r="384" spans="1:13" s="125" customFormat="1" ht="47.25">
      <c r="A384" s="395"/>
      <c r="B384" s="400"/>
      <c r="C384" s="396"/>
      <c r="D384" s="416"/>
      <c r="E384" s="329" t="s">
        <v>642</v>
      </c>
      <c r="F384" s="81">
        <v>80000</v>
      </c>
      <c r="G384" s="89"/>
      <c r="H384" s="75">
        <f t="shared" si="17"/>
        <v>80000</v>
      </c>
      <c r="I384" s="183"/>
      <c r="J384" s="127"/>
      <c r="M384" s="200"/>
    </row>
    <row r="385" spans="1:13" s="125" customFormat="1" ht="63">
      <c r="A385" s="395"/>
      <c r="B385" s="400"/>
      <c r="C385" s="396"/>
      <c r="D385" s="416"/>
      <c r="E385" s="283" t="s">
        <v>605</v>
      </c>
      <c r="F385" s="81">
        <f>21140</f>
        <v>21140</v>
      </c>
      <c r="G385" s="89"/>
      <c r="H385" s="75">
        <f t="shared" si="17"/>
        <v>21140</v>
      </c>
      <c r="I385" s="183"/>
      <c r="J385" s="127"/>
      <c r="M385" s="200"/>
    </row>
    <row r="386" spans="1:13" s="125" customFormat="1" ht="56.25" customHeight="1">
      <c r="A386" s="395"/>
      <c r="B386" s="400"/>
      <c r="C386" s="396"/>
      <c r="D386" s="416"/>
      <c r="E386" s="372" t="s">
        <v>667</v>
      </c>
      <c r="F386" s="81">
        <f>20000+26500+15000</f>
        <v>61500</v>
      </c>
      <c r="G386" s="89"/>
      <c r="H386" s="75">
        <f t="shared" si="17"/>
        <v>61500</v>
      </c>
      <c r="I386" s="183"/>
      <c r="J386" s="127"/>
      <c r="M386" s="200"/>
    </row>
    <row r="387" spans="1:13" s="125" customFormat="1" ht="47.25" customHeight="1" hidden="1">
      <c r="A387" s="395"/>
      <c r="B387" s="400"/>
      <c r="C387" s="396"/>
      <c r="D387" s="416"/>
      <c r="E387" s="234" t="s">
        <v>124</v>
      </c>
      <c r="F387" s="81"/>
      <c r="G387" s="89"/>
      <c r="H387" s="75">
        <f t="shared" si="17"/>
        <v>0</v>
      </c>
      <c r="I387" s="183"/>
      <c r="J387" s="127"/>
      <c r="M387" s="200"/>
    </row>
    <row r="388" spans="1:13" s="125" customFormat="1" ht="47.25" customHeight="1" hidden="1">
      <c r="A388" s="395"/>
      <c r="B388" s="400"/>
      <c r="C388" s="396"/>
      <c r="D388" s="416"/>
      <c r="E388" s="234" t="s">
        <v>363</v>
      </c>
      <c r="F388" s="81"/>
      <c r="G388" s="89"/>
      <c r="H388" s="75">
        <f t="shared" si="17"/>
        <v>0</v>
      </c>
      <c r="I388" s="183"/>
      <c r="J388" s="127"/>
      <c r="M388" s="200"/>
    </row>
    <row r="389" spans="1:13" s="125" customFormat="1" ht="66.75" customHeight="1" hidden="1">
      <c r="A389" s="395"/>
      <c r="B389" s="400"/>
      <c r="C389" s="396"/>
      <c r="D389" s="416"/>
      <c r="E389" s="234" t="s">
        <v>545</v>
      </c>
      <c r="F389" s="81"/>
      <c r="G389" s="89"/>
      <c r="H389" s="75">
        <f t="shared" si="17"/>
        <v>0</v>
      </c>
      <c r="I389" s="183"/>
      <c r="J389" s="127"/>
      <c r="M389" s="200"/>
    </row>
    <row r="390" spans="1:13" s="125" customFormat="1" ht="63" customHeight="1" hidden="1">
      <c r="A390" s="395"/>
      <c r="B390" s="400"/>
      <c r="C390" s="393"/>
      <c r="D390" s="416"/>
      <c r="E390" s="234" t="s">
        <v>492</v>
      </c>
      <c r="F390" s="166"/>
      <c r="G390" s="89"/>
      <c r="H390" s="75">
        <f t="shared" si="17"/>
        <v>0</v>
      </c>
      <c r="I390" s="183"/>
      <c r="J390" s="127"/>
      <c r="M390" s="200"/>
    </row>
    <row r="391" spans="1:13" s="125" customFormat="1" ht="63" customHeight="1" hidden="1">
      <c r="A391" s="226"/>
      <c r="B391" s="228" t="s">
        <v>88</v>
      </c>
      <c r="C391" s="226" t="s">
        <v>503</v>
      </c>
      <c r="D391" s="229" t="s">
        <v>89</v>
      </c>
      <c r="E391" s="292" t="s">
        <v>621</v>
      </c>
      <c r="F391" s="81"/>
      <c r="G391" s="89"/>
      <c r="H391" s="75">
        <f t="shared" si="17"/>
        <v>0</v>
      </c>
      <c r="I391" s="183"/>
      <c r="J391" s="127"/>
      <c r="M391" s="200"/>
    </row>
    <row r="392" spans="1:13" s="150" customFormat="1" ht="21" customHeight="1">
      <c r="A392" s="113"/>
      <c r="B392" s="113"/>
      <c r="C392" s="113"/>
      <c r="D392" s="113" t="s">
        <v>70</v>
      </c>
      <c r="E392" s="113"/>
      <c r="F392" s="88">
        <f>F11+F24+F83+F103+F129+F150+F160+F205+F208+F219+F222+F228+F247+F251+F259+F268+F286+F302+F320+F337+F355+F373+F264+F217+F123+F127+F158+F70+F192+F215</f>
        <v>1366284385</v>
      </c>
      <c r="G392" s="88">
        <f>G11+G24+G83+G103+G129+G150+G160+G205+G208+G219+G222+G228+G247+G251+G259+G268+G286+G302+G320+G337+G355+G373+G264+G217+G123+G127+G158+G70+G192+G215</f>
        <v>1337035885</v>
      </c>
      <c r="H392" s="88">
        <f>H11+H24+H83+H103+H129+H150+H160+H205+H208+H219+H222+H228+H247+H251+H259+H268+H286+H302+H320+H337+H355+H373+H264+H217+H123+H127+H158+H70+H192+H215</f>
        <v>2703320270</v>
      </c>
      <c r="I392" s="181">
        <f>I11+I24+I83+I103+I129+I150+I160+I205+I208+I219+I222+I228+I247+I251+I259+I268+I286+I302+I320+I337+I355+I373+I264+I217+I123+I127</f>
        <v>3235109</v>
      </c>
      <c r="J392" s="148">
        <v>0</v>
      </c>
      <c r="K392" s="149">
        <f>H392-J392</f>
        <v>2703320270</v>
      </c>
      <c r="M392" s="151"/>
    </row>
    <row r="393" spans="1:13" s="150" customFormat="1" ht="21" customHeight="1">
      <c r="A393" s="147"/>
      <c r="B393" s="147"/>
      <c r="C393" s="147"/>
      <c r="D393" s="147"/>
      <c r="E393" s="147"/>
      <c r="F393" s="178"/>
      <c r="G393" s="178"/>
      <c r="H393" s="178"/>
      <c r="I393" s="181"/>
      <c r="J393" s="148"/>
      <c r="K393" s="149"/>
      <c r="M393" s="151"/>
    </row>
    <row r="394" spans="1:13" s="150" customFormat="1" ht="21" customHeight="1">
      <c r="A394" s="147"/>
      <c r="B394" s="147"/>
      <c r="C394" s="147"/>
      <c r="D394" s="147"/>
      <c r="E394" s="147"/>
      <c r="F394" s="178"/>
      <c r="G394" s="178"/>
      <c r="H394" s="178"/>
      <c r="I394" s="181"/>
      <c r="J394" s="148"/>
      <c r="K394" s="149"/>
      <c r="M394" s="151"/>
    </row>
    <row r="395" spans="1:13" s="152" customFormat="1" ht="35.25" customHeight="1">
      <c r="A395" s="217" t="s">
        <v>215</v>
      </c>
      <c r="B395" s="217"/>
      <c r="C395" s="217"/>
      <c r="D395" s="217"/>
      <c r="E395" s="217"/>
      <c r="F395" s="217" t="s">
        <v>569</v>
      </c>
      <c r="G395" s="217"/>
      <c r="I395" s="192"/>
      <c r="J395" s="153"/>
      <c r="M395" s="154"/>
    </row>
    <row r="396" spans="7:8" ht="18" customHeight="1">
      <c r="G396" s="150"/>
      <c r="H396" s="149"/>
    </row>
    <row r="397" spans="5:8" ht="18" customHeight="1">
      <c r="E397" s="108" t="s">
        <v>668</v>
      </c>
      <c r="F397" s="155">
        <f>F373+F355+F337+F320+F302+F286+F268+F259+F251+F247+F228+F222+F219+F208+F205+F160+F150+F129+F103+F83+F24+F11+F264+F217+F123+F127+F158+F215+F192+F70</f>
        <v>1366284385</v>
      </c>
      <c r="G397" s="155">
        <f>G373+G355+G337+G320+G302+G286+G268+G259+G251+G247+G228+G222+G219+G208+G205+G160+G150+G129+G103+G83+G24+G11+G264+G217+G123+G127+G158+G215+G192+G70</f>
        <v>1337035885</v>
      </c>
      <c r="H397" s="156">
        <f>G397+F397</f>
        <v>2703320270</v>
      </c>
    </row>
    <row r="398" spans="6:13" ht="18" customHeight="1">
      <c r="F398" s="157">
        <f>F392-F397</f>
        <v>0</v>
      </c>
      <c r="G398" s="157">
        <f>G392-G397</f>
        <v>0</v>
      </c>
      <c r="H398" s="157">
        <f>H392-H397</f>
        <v>0</v>
      </c>
      <c r="J398" s="108"/>
      <c r="M398" s="108"/>
    </row>
    <row r="399" spans="4:13" ht="18" customHeight="1">
      <c r="D399" s="260">
        <f>F399+G399-H399</f>
        <v>0</v>
      </c>
      <c r="E399" s="97" t="s">
        <v>549</v>
      </c>
      <c r="F399" s="98">
        <f>F282+F299+F318+F336+F353+F369+F387</f>
        <v>0</v>
      </c>
      <c r="G399" s="98">
        <f>G282+G299+G318+G336+G353+G369+G387</f>
        <v>0</v>
      </c>
      <c r="H399" s="98">
        <f>H282+H299+H318+H336+H353+H369+H387</f>
        <v>0</v>
      </c>
      <c r="J399" s="108"/>
      <c r="M399" s="108"/>
    </row>
    <row r="400" spans="4:9" s="296" customFormat="1" ht="15.75">
      <c r="D400" s="294">
        <f aca="true" t="shared" si="19" ref="D400:D462">F400+G400-H400</f>
        <v>0</v>
      </c>
      <c r="E400" s="97" t="s">
        <v>285</v>
      </c>
      <c r="F400" s="98">
        <f>F12+F25+F128+F161+F206+F220+F223+F229+F252+F260+F269+F287+F303+F321+F338+F356+F375+F218+F124+F159+F248+F216</f>
        <v>0</v>
      </c>
      <c r="G400" s="98">
        <f>G12+G25+G128+G161+G206+G220+G223+G229+G252+G260+G269+G287+G303+G321+G338+G356+G375+G218+G124+G159+G248+G216+G152</f>
        <v>17629189</v>
      </c>
      <c r="H400" s="98">
        <f>H12+H25+H128+H161+H206+H220+H223+H229+H252+H260+H269+H287+H303+H321+H338+H356+H375+H218+H124+H159+H248+H216+H152</f>
        <v>17629189</v>
      </c>
      <c r="I400" s="295"/>
    </row>
    <row r="401" spans="4:13" ht="15.75">
      <c r="D401" s="260">
        <f t="shared" si="19"/>
        <v>0</v>
      </c>
      <c r="E401" s="97" t="s">
        <v>286</v>
      </c>
      <c r="F401" s="98">
        <f>F14</f>
        <v>878904</v>
      </c>
      <c r="G401" s="98">
        <f>G14</f>
        <v>0</v>
      </c>
      <c r="H401" s="98">
        <f>H14</f>
        <v>878904</v>
      </c>
      <c r="J401" s="108"/>
      <c r="M401" s="108"/>
    </row>
    <row r="402" spans="4:13" ht="15.75">
      <c r="D402" s="260">
        <f t="shared" si="19"/>
        <v>0</v>
      </c>
      <c r="E402" s="97" t="s">
        <v>413</v>
      </c>
      <c r="F402" s="98">
        <f>F18</f>
        <v>320052</v>
      </c>
      <c r="G402" s="98">
        <f>G18</f>
        <v>0</v>
      </c>
      <c r="H402" s="98">
        <f>H18</f>
        <v>320052</v>
      </c>
      <c r="J402" s="108"/>
      <c r="M402" s="108"/>
    </row>
    <row r="403" spans="4:13" ht="15.75">
      <c r="D403" s="260">
        <f t="shared" si="19"/>
        <v>0</v>
      </c>
      <c r="E403" s="97" t="s">
        <v>287</v>
      </c>
      <c r="F403" s="98">
        <f>F363+F346+F310+F293+F277+F16+F256</f>
        <v>0</v>
      </c>
      <c r="G403" s="98">
        <f>G363+G346+G310+G293+G277+G16+G256+G149+G67</f>
        <v>10048292</v>
      </c>
      <c r="H403" s="98">
        <f>H363+H346+H310+H293+H277+H16+H256+H149+H67</f>
        <v>10048292</v>
      </c>
      <c r="J403" s="108"/>
      <c r="M403" s="108"/>
    </row>
    <row r="404" spans="4:13" ht="15.75">
      <c r="D404" s="260">
        <f t="shared" si="19"/>
        <v>0</v>
      </c>
      <c r="E404" s="97" t="s">
        <v>412</v>
      </c>
      <c r="F404" s="98">
        <f>F17</f>
        <v>364797</v>
      </c>
      <c r="G404" s="98">
        <f>G17</f>
        <v>0</v>
      </c>
      <c r="H404" s="98">
        <f>H17</f>
        <v>364797</v>
      </c>
      <c r="J404" s="108"/>
      <c r="M404" s="108"/>
    </row>
    <row r="405" spans="4:13" ht="15.75">
      <c r="D405" s="260">
        <f t="shared" si="19"/>
        <v>0</v>
      </c>
      <c r="E405" s="97" t="s">
        <v>406</v>
      </c>
      <c r="F405" s="98">
        <f>F19</f>
        <v>5145470</v>
      </c>
      <c r="G405" s="98">
        <f>G19</f>
        <v>0</v>
      </c>
      <c r="H405" s="98">
        <f>H19</f>
        <v>5145470</v>
      </c>
      <c r="J405" s="108"/>
      <c r="M405" s="108"/>
    </row>
    <row r="406" spans="4:13" ht="31.5">
      <c r="D406" s="260">
        <f t="shared" si="19"/>
        <v>0</v>
      </c>
      <c r="E406" s="97" t="s">
        <v>568</v>
      </c>
      <c r="F406" s="98">
        <f>F22</f>
        <v>240000</v>
      </c>
      <c r="G406" s="98">
        <f>G22</f>
        <v>275000</v>
      </c>
      <c r="H406" s="98">
        <f>G406+F406</f>
        <v>515000</v>
      </c>
      <c r="J406" s="108"/>
      <c r="M406" s="108"/>
    </row>
    <row r="407" spans="2:13" ht="23.25" customHeight="1">
      <c r="B407" s="260">
        <f>H407-590197935</f>
        <v>382432706</v>
      </c>
      <c r="D407" s="260">
        <f>F407+G407-H407</f>
        <v>0</v>
      </c>
      <c r="E407" s="97" t="s">
        <v>288</v>
      </c>
      <c r="F407" s="98">
        <f>F188+F183+F180+F177+F173+F171+F167+F165+F163+F270+F301+F372+F391+F186+F358+F340+F322+F304+F288+F271+F162+F253+F254+F308+F376+F176+F181+F182</f>
        <v>513004851</v>
      </c>
      <c r="G407" s="98">
        <f>G188+G183+G180+G177+G173+G171+G167+G165+G163+G270+G301+G372+G391+G186+G358+G340+G322+G304+G288+G271+G162+G253+G254+G308+G376+G176+G181+G182</f>
        <v>459625790</v>
      </c>
      <c r="H407" s="98">
        <f>H188+H183+H180+H177+H173+H171+H167+H165+H163+H270+H301+H372+H391+H186+H358+H340+H322+H304+H288+H271+H162+H253+H254+H308+H376+H176+H181+H182</f>
        <v>972630641</v>
      </c>
      <c r="I407" s="193"/>
      <c r="J407" s="108"/>
      <c r="M407" s="108"/>
    </row>
    <row r="408" spans="4:13" ht="30" customHeight="1">
      <c r="D408" s="260"/>
      <c r="E408" s="97" t="s">
        <v>639</v>
      </c>
      <c r="F408" s="98">
        <f>F194+F196+F199+F201+F202+F204+F359+F361+F341+F343+F325+F323+F305+F306+F289+F291+F273+F275+F266+F377+F379+F329+F193+F326+F380</f>
        <v>298600938</v>
      </c>
      <c r="G408" s="98">
        <f>G194+G196+G199+G201+G202+G204+G359+G361+G341+G343+G325+G323+G305+G306+G289+G291+G273+G275+G266+G377+G379+G329+G193+G326+G380</f>
        <v>365876221</v>
      </c>
      <c r="H408" s="98">
        <f>H194+H196+H199+H201+H202+H204+H359+H361+H341+H343+H325+H323+H305+H306+H289+H291+H273+H275+H266+H377+H379+H329+H193+H326+H380</f>
        <v>664477159</v>
      </c>
      <c r="I408" s="193"/>
      <c r="J408" s="108"/>
      <c r="M408" s="108"/>
    </row>
    <row r="409" spans="4:13" ht="27" customHeight="1">
      <c r="D409" s="260"/>
      <c r="E409" s="97" t="s">
        <v>640</v>
      </c>
      <c r="F409" s="98">
        <f>F168</f>
        <v>0</v>
      </c>
      <c r="G409" s="98">
        <f>G168</f>
        <v>3478227</v>
      </c>
      <c r="H409" s="98">
        <f>H168</f>
        <v>3478227</v>
      </c>
      <c r="I409" s="193"/>
      <c r="J409" s="108"/>
      <c r="M409" s="108"/>
    </row>
    <row r="410" spans="4:13" ht="15.75">
      <c r="D410" s="260">
        <f t="shared" si="19"/>
        <v>0</v>
      </c>
      <c r="E410" s="97" t="s">
        <v>289</v>
      </c>
      <c r="F410" s="98">
        <f>F27+F30+F34+F40+F41+F47+F48+F49+F60+F62+F36+F26+F63+F45+F46</f>
        <v>111028115</v>
      </c>
      <c r="G410" s="98">
        <f>G27+G30+G34+G40+G41+G47+G48+G49+G60+G62+G36+G26+G63+G45+G46</f>
        <v>150070437</v>
      </c>
      <c r="H410" s="98">
        <f>H27+H30+H34+H40+H41+H47+H48+H49+H60+H62+H36+H26+H63+H45+H46</f>
        <v>261098552</v>
      </c>
      <c r="J410" s="108"/>
      <c r="M410" s="108"/>
    </row>
    <row r="411" spans="4:13" ht="15.75">
      <c r="D411" s="260">
        <f t="shared" si="19"/>
        <v>0</v>
      </c>
      <c r="E411" s="97" t="s">
        <v>290</v>
      </c>
      <c r="F411" s="98">
        <f>F31+F53</f>
        <v>10769777</v>
      </c>
      <c r="G411" s="98">
        <f>G31+G53</f>
        <v>169486</v>
      </c>
      <c r="H411" s="98">
        <f>H31+H53</f>
        <v>10939263</v>
      </c>
      <c r="J411" s="108"/>
      <c r="M411" s="108"/>
    </row>
    <row r="412" spans="4:13" ht="15.75">
      <c r="D412" s="260">
        <f t="shared" si="19"/>
        <v>0</v>
      </c>
      <c r="E412" s="97" t="s">
        <v>291</v>
      </c>
      <c r="F412" s="98">
        <f>F52+F72</f>
        <v>570109</v>
      </c>
      <c r="G412" s="98">
        <f>G52+G72</f>
        <v>0</v>
      </c>
      <c r="H412" s="98">
        <f>H52+H72</f>
        <v>570109</v>
      </c>
      <c r="J412" s="108"/>
      <c r="M412" s="108"/>
    </row>
    <row r="413" spans="4:13" ht="15.75">
      <c r="D413" s="260">
        <f t="shared" si="19"/>
        <v>0</v>
      </c>
      <c r="E413" s="97" t="s">
        <v>292</v>
      </c>
      <c r="F413" s="98">
        <f>F54+F55+F56+F59+F61+F58+F79+F73+F74+F75+F77+F78+F80+F71+F307</f>
        <v>8257341</v>
      </c>
      <c r="G413" s="98">
        <f>G54+G55+G56+G59+G61+G58+G79+G73+G74+G75+G77+G78+G80+G71+G307</f>
        <v>8914930</v>
      </c>
      <c r="H413" s="98">
        <f>H54+H55+H56+H59+H61+H58+H79+H73+H74+H75+H77+H78+H80+H71+H307</f>
        <v>17172271</v>
      </c>
      <c r="J413" s="108"/>
      <c r="M413" s="108"/>
    </row>
    <row r="414" spans="4:13" ht="15.75">
      <c r="D414" s="260">
        <f t="shared" si="19"/>
        <v>0</v>
      </c>
      <c r="E414" s="97" t="s">
        <v>293</v>
      </c>
      <c r="F414" s="97">
        <f>F327+F64</f>
        <v>0</v>
      </c>
      <c r="G414" s="97">
        <f>G327+G64</f>
        <v>0</v>
      </c>
      <c r="H414" s="97">
        <f>H327+H64</f>
        <v>0</v>
      </c>
      <c r="I414" s="194"/>
      <c r="J414" s="108"/>
      <c r="M414" s="108"/>
    </row>
    <row r="415" spans="4:13" ht="15.75">
      <c r="D415" s="260">
        <f t="shared" si="19"/>
        <v>0</v>
      </c>
      <c r="E415" s="97" t="s">
        <v>439</v>
      </c>
      <c r="F415" s="98">
        <f>F65+F185+F203+F225+F66+F187+F226+F311+F382</f>
        <v>0</v>
      </c>
      <c r="G415" s="98">
        <f>G65+G185+G203+G225+G66+G187+G226+G311+G382</f>
        <v>50806763</v>
      </c>
      <c r="H415" s="98">
        <f>H65+H185+H203+H225+H66+H187+H226+H311+H382</f>
        <v>50806763</v>
      </c>
      <c r="I415" s="194"/>
      <c r="J415" s="108"/>
      <c r="M415" s="108"/>
    </row>
    <row r="416" spans="4:13" ht="15.75">
      <c r="D416" s="260">
        <f t="shared" si="19"/>
        <v>0</v>
      </c>
      <c r="E416" s="97" t="s">
        <v>294</v>
      </c>
      <c r="F416" s="97">
        <f>F68+F69+F81+F82</f>
        <v>3459492</v>
      </c>
      <c r="G416" s="97">
        <f>G68+G69+G81+G82</f>
        <v>305729</v>
      </c>
      <c r="H416" s="97">
        <f>H68+H69+H81+H82</f>
        <v>3765221</v>
      </c>
      <c r="I416" s="194"/>
      <c r="J416" s="108"/>
      <c r="M416" s="108"/>
    </row>
    <row r="417" spans="4:13" ht="15.75">
      <c r="D417" s="260">
        <f t="shared" si="19"/>
        <v>0</v>
      </c>
      <c r="E417" s="97" t="s">
        <v>316</v>
      </c>
      <c r="F417" s="98">
        <f>F85+F88+F90+F92+F99+F101+F94+F100+F98+F84</f>
        <v>54544853</v>
      </c>
      <c r="G417" s="98">
        <f>G85+G88+G90+G92+G99+G101+G94+G100+G98+G84</f>
        <v>98073488</v>
      </c>
      <c r="H417" s="98">
        <f>H85+H88+H90+H92+H99+H101+H94+H100+H98+H84</f>
        <v>152618341</v>
      </c>
      <c r="I417" s="194">
        <v>75346103</v>
      </c>
      <c r="J417" s="260">
        <f>I417-G417</f>
        <v>-22727385</v>
      </c>
      <c r="M417" s="108"/>
    </row>
    <row r="418" spans="4:13" ht="15.75">
      <c r="D418" s="260">
        <f t="shared" si="19"/>
        <v>0</v>
      </c>
      <c r="E418" s="259" t="s">
        <v>599</v>
      </c>
      <c r="F418" s="98">
        <f>F86+F95+F102</f>
        <v>43005046</v>
      </c>
      <c r="G418" s="98">
        <f>G86+G95+G102</f>
        <v>38258273</v>
      </c>
      <c r="H418" s="98">
        <f>H86+H95+H102</f>
        <v>81263319</v>
      </c>
      <c r="I418" s="194"/>
      <c r="J418" s="108"/>
      <c r="M418" s="108"/>
    </row>
    <row r="419" spans="4:13" ht="15.75">
      <c r="D419" s="260">
        <f t="shared" si="19"/>
        <v>0</v>
      </c>
      <c r="E419" s="97" t="s">
        <v>434</v>
      </c>
      <c r="F419" s="98">
        <f>F104+F106+F107+F108+F109+F113+F114+F116+F118+F119+F120+F121+F122</f>
        <v>118949467</v>
      </c>
      <c r="G419" s="98">
        <f>G104+G106+G107+G108+G109+G113+G114+G116+G118+G119+G120+G121+G122</f>
        <v>17126964</v>
      </c>
      <c r="H419" s="98">
        <f>H104+H106+H107+H108+H109+H113+H114+H116+H118+H119+H120+H121+H122</f>
        <v>136076431</v>
      </c>
      <c r="I419" s="194"/>
      <c r="J419" s="108"/>
      <c r="M419" s="108"/>
    </row>
    <row r="420" spans="4:13" ht="15.75">
      <c r="D420" s="260">
        <f t="shared" si="19"/>
        <v>0</v>
      </c>
      <c r="E420" s="97" t="s">
        <v>295</v>
      </c>
      <c r="F420" s="98">
        <f>F164+F51+F195+F112</f>
        <v>477089</v>
      </c>
      <c r="G420" s="98">
        <f>G164+G51+G195+G112</f>
        <v>0</v>
      </c>
      <c r="H420" s="98">
        <f>H164+H51+H195+H112</f>
        <v>477089</v>
      </c>
      <c r="I420" s="194"/>
      <c r="J420" s="108"/>
      <c r="M420" s="108"/>
    </row>
    <row r="421" spans="4:13" ht="15.75">
      <c r="D421" s="260">
        <f t="shared" si="19"/>
        <v>0</v>
      </c>
      <c r="E421" s="97" t="s">
        <v>431</v>
      </c>
      <c r="F421" s="98">
        <f>F131+F134+F137+F139+F144+F147+F142+F130+F133+F148</f>
        <v>5449721</v>
      </c>
      <c r="G421" s="98">
        <f>G131+G134+G137+G139+G144+G147+G142+G130+G133+G148</f>
        <v>10941137</v>
      </c>
      <c r="H421" s="98">
        <f>H131+H134+H137+H139+H144+H147+H142+H130+H133+H148</f>
        <v>16390858</v>
      </c>
      <c r="I421" s="194"/>
      <c r="J421" s="108"/>
      <c r="M421" s="108"/>
    </row>
    <row r="422" spans="4:13" ht="15.75">
      <c r="D422" s="260">
        <f t="shared" si="19"/>
        <v>0</v>
      </c>
      <c r="E422" s="97" t="s">
        <v>296</v>
      </c>
      <c r="F422" s="97">
        <f>F145</f>
        <v>0</v>
      </c>
      <c r="G422" s="97">
        <f>G145</f>
        <v>0</v>
      </c>
      <c r="H422" s="97">
        <f>H145</f>
        <v>0</v>
      </c>
      <c r="I422" s="194"/>
      <c r="J422" s="108"/>
      <c r="M422" s="108"/>
    </row>
    <row r="423" spans="4:13" ht="15.75">
      <c r="D423" s="260">
        <f t="shared" si="19"/>
        <v>0</v>
      </c>
      <c r="E423" s="97" t="s">
        <v>297</v>
      </c>
      <c r="F423" s="97">
        <f>F153</f>
        <v>0</v>
      </c>
      <c r="G423" s="98">
        <f>G153</f>
        <v>0</v>
      </c>
      <c r="H423" s="98">
        <f>H153</f>
        <v>0</v>
      </c>
      <c r="I423" s="194"/>
      <c r="J423" s="108"/>
      <c r="M423" s="108"/>
    </row>
    <row r="424" spans="4:13" ht="15.75">
      <c r="D424" s="260">
        <f t="shared" si="19"/>
        <v>0</v>
      </c>
      <c r="E424" s="97" t="s">
        <v>298</v>
      </c>
      <c r="F424" s="98">
        <f>F156+F175+F198</f>
        <v>1600922</v>
      </c>
      <c r="G424" s="98">
        <f>G156+G175+G198</f>
        <v>0</v>
      </c>
      <c r="H424" s="98">
        <f>H156+H175+H198</f>
        <v>1600922</v>
      </c>
      <c r="I424" s="194"/>
      <c r="J424" s="108"/>
      <c r="M424" s="108"/>
    </row>
    <row r="425" spans="4:13" ht="15.75">
      <c r="D425" s="260">
        <f t="shared" si="19"/>
        <v>0</v>
      </c>
      <c r="E425" s="97" t="s">
        <v>299</v>
      </c>
      <c r="F425" s="98">
        <f>F155</f>
        <v>485000</v>
      </c>
      <c r="G425" s="98">
        <f>G155</f>
        <v>0</v>
      </c>
      <c r="H425" s="98">
        <f>H155</f>
        <v>485000</v>
      </c>
      <c r="I425" s="194"/>
      <c r="J425" s="108"/>
      <c r="M425" s="108"/>
    </row>
    <row r="426" spans="4:13" ht="15.75">
      <c r="D426" s="260">
        <f t="shared" si="19"/>
        <v>0</v>
      </c>
      <c r="E426" s="97" t="s">
        <v>300</v>
      </c>
      <c r="F426" s="98"/>
      <c r="G426" s="98"/>
      <c r="H426" s="98"/>
      <c r="M426" s="108"/>
    </row>
    <row r="427" spans="4:13" ht="15.75">
      <c r="D427" s="260">
        <f t="shared" si="19"/>
        <v>0</v>
      </c>
      <c r="E427" s="97" t="s">
        <v>301</v>
      </c>
      <c r="F427" s="98">
        <f>F210+F211</f>
        <v>391511</v>
      </c>
      <c r="G427" s="98">
        <f>G210+G211+G209</f>
        <v>1304200</v>
      </c>
      <c r="H427" s="98">
        <f>H210+H211+H209</f>
        <v>1695711</v>
      </c>
      <c r="M427" s="108"/>
    </row>
    <row r="428" spans="4:13" ht="15.75">
      <c r="D428" s="260">
        <f t="shared" si="19"/>
        <v>0</v>
      </c>
      <c r="E428" s="97" t="s">
        <v>302</v>
      </c>
      <c r="F428" s="98">
        <f>F214</f>
        <v>0</v>
      </c>
      <c r="G428" s="98">
        <f>G214</f>
        <v>0</v>
      </c>
      <c r="H428" s="98">
        <f>H214</f>
        <v>0</v>
      </c>
      <c r="M428" s="108"/>
    </row>
    <row r="429" spans="4:13" ht="15.75">
      <c r="D429" s="260">
        <f t="shared" si="19"/>
        <v>0</v>
      </c>
      <c r="E429" s="97" t="s">
        <v>303</v>
      </c>
      <c r="F429" s="98">
        <f>F221</f>
        <v>0</v>
      </c>
      <c r="G429" s="98">
        <f>G221</f>
        <v>0</v>
      </c>
      <c r="H429" s="98">
        <f>H221</f>
        <v>0</v>
      </c>
      <c r="M429" s="108"/>
    </row>
    <row r="430" spans="4:13" ht="15.75">
      <c r="D430" s="260">
        <f t="shared" si="19"/>
        <v>0</v>
      </c>
      <c r="E430" s="97" t="s">
        <v>414</v>
      </c>
      <c r="F430" s="98">
        <f>F13</f>
        <v>4400317</v>
      </c>
      <c r="G430" s="98">
        <f>G13</f>
        <v>1791172</v>
      </c>
      <c r="H430" s="98">
        <f>H13</f>
        <v>6191489</v>
      </c>
      <c r="M430" s="108"/>
    </row>
    <row r="431" spans="4:13" ht="15.75">
      <c r="D431" s="260">
        <f t="shared" si="19"/>
        <v>0</v>
      </c>
      <c r="E431" s="97" t="s">
        <v>304</v>
      </c>
      <c r="F431" s="98">
        <f>F232+F233+F237+F242</f>
        <v>57303931</v>
      </c>
      <c r="G431" s="98">
        <f>G232+G233+G237+G242</f>
        <v>59007785</v>
      </c>
      <c r="H431" s="98">
        <f>H232+H233+H237+H242</f>
        <v>116311716</v>
      </c>
      <c r="M431" s="108"/>
    </row>
    <row r="432" spans="4:13" ht="15.75">
      <c r="D432" s="260">
        <f t="shared" si="19"/>
        <v>0</v>
      </c>
      <c r="E432" s="97" t="s">
        <v>305</v>
      </c>
      <c r="F432" s="98">
        <f>F244+F230+F240+F234</f>
        <v>0</v>
      </c>
      <c r="G432" s="98">
        <f>G244+G230+G240+G234</f>
        <v>19948600</v>
      </c>
      <c r="H432" s="98">
        <f>H244+H230+H240+H234</f>
        <v>19948600</v>
      </c>
      <c r="M432" s="108"/>
    </row>
    <row r="433" spans="4:13" ht="15.75">
      <c r="D433" s="260">
        <f t="shared" si="19"/>
        <v>0</v>
      </c>
      <c r="E433" s="97" t="s">
        <v>14</v>
      </c>
      <c r="F433" s="98">
        <f>F249+F250</f>
        <v>8128108</v>
      </c>
      <c r="G433" s="98">
        <f>G249+G250</f>
        <v>1794369</v>
      </c>
      <c r="H433" s="98">
        <f>H249+H250</f>
        <v>9922477</v>
      </c>
      <c r="M433" s="108"/>
    </row>
    <row r="434" spans="4:13" ht="15.75">
      <c r="D434" s="260">
        <f t="shared" si="19"/>
        <v>0</v>
      </c>
      <c r="E434" s="97" t="s">
        <v>306</v>
      </c>
      <c r="F434" s="98">
        <f>F253+F254</f>
        <v>0</v>
      </c>
      <c r="G434" s="98"/>
      <c r="H434" s="98"/>
      <c r="M434" s="108"/>
    </row>
    <row r="435" spans="4:13" ht="15.75">
      <c r="D435" s="260">
        <f t="shared" si="19"/>
        <v>0</v>
      </c>
      <c r="E435" s="97" t="s">
        <v>307</v>
      </c>
      <c r="F435" s="98">
        <f>F263</f>
        <v>26700</v>
      </c>
      <c r="G435" s="98">
        <f>G263</f>
        <v>0</v>
      </c>
      <c r="H435" s="98">
        <f>H263</f>
        <v>26700</v>
      </c>
      <c r="M435" s="108"/>
    </row>
    <row r="436" spans="4:13" ht="15.75">
      <c r="D436" s="260">
        <f t="shared" si="19"/>
        <v>0</v>
      </c>
      <c r="E436" s="97" t="s">
        <v>308</v>
      </c>
      <c r="F436" s="98">
        <f>F383+F364+F347+F330+F312+F294+F278</f>
        <v>1219462</v>
      </c>
      <c r="G436" s="98">
        <f>G383+G364+G347+G330+G312+G294+G278</f>
        <v>0</v>
      </c>
      <c r="H436" s="98">
        <f>H383+H364+H347+H330+H312+H294+H278</f>
        <v>1219462</v>
      </c>
      <c r="M436" s="108"/>
    </row>
    <row r="437" spans="4:13" ht="15.75">
      <c r="D437" s="260">
        <f t="shared" si="19"/>
        <v>0</v>
      </c>
      <c r="E437" s="97" t="s">
        <v>309</v>
      </c>
      <c r="F437" s="98">
        <f>F384+F365+F348+F332+F314+F295+F280</f>
        <v>266697</v>
      </c>
      <c r="G437" s="98">
        <f>G384+G365+G348+G332+G314+G295+G280</f>
        <v>0</v>
      </c>
      <c r="H437" s="98">
        <f>H384+H365+H348+H332+H314+H295+H280</f>
        <v>266697</v>
      </c>
      <c r="M437" s="108"/>
    </row>
    <row r="438" spans="4:13" ht="15.75">
      <c r="D438" s="260">
        <f t="shared" si="19"/>
        <v>0</v>
      </c>
      <c r="E438" s="97" t="s">
        <v>310</v>
      </c>
      <c r="F438" s="98">
        <f>F385+F367+F349+F333+F316+F296+F281</f>
        <v>306038</v>
      </c>
      <c r="G438" s="98">
        <f>G385+G367+G349+G333+G316+G296+G281</f>
        <v>0</v>
      </c>
      <c r="H438" s="98">
        <f>H385+H367+H349+H333+H316+H296+H281</f>
        <v>306038</v>
      </c>
      <c r="M438" s="108"/>
    </row>
    <row r="439" spans="4:13" ht="15.75">
      <c r="D439" s="260">
        <f t="shared" si="19"/>
        <v>0</v>
      </c>
      <c r="E439" s="97" t="s">
        <v>311</v>
      </c>
      <c r="F439" s="98">
        <f>F386+F368+F350+F335+F317+F300+F283</f>
        <v>446539</v>
      </c>
      <c r="G439" s="98">
        <f>G386+G368+G350+G335+G317+G300+G283</f>
        <v>0</v>
      </c>
      <c r="H439" s="98">
        <f>H386+H368+H350+H335+H317+H300+H283</f>
        <v>446539</v>
      </c>
      <c r="M439" s="108"/>
    </row>
    <row r="440" spans="4:8" ht="15.75">
      <c r="D440" s="260">
        <f t="shared" si="19"/>
        <v>0</v>
      </c>
      <c r="E440" s="97" t="s">
        <v>490</v>
      </c>
      <c r="F440" s="98">
        <f>F21+F284+F298+F315+F334+F354+F366+F389</f>
        <v>49800</v>
      </c>
      <c r="G440" s="98">
        <f>G21+G284+G298+G315+G334+G354+G366+G389</f>
        <v>0</v>
      </c>
      <c r="H440" s="98">
        <f>H21+H284+H298+H315+H334+H354+H366+H389</f>
        <v>49800</v>
      </c>
    </row>
    <row r="441" spans="4:8" ht="47.25">
      <c r="D441" s="260">
        <f t="shared" si="19"/>
        <v>0</v>
      </c>
      <c r="E441" s="97" t="s">
        <v>607</v>
      </c>
      <c r="F441" s="98">
        <f>F265</f>
        <v>5674776</v>
      </c>
      <c r="G441" s="98">
        <f>G265</f>
        <v>3701495</v>
      </c>
      <c r="H441" s="98">
        <f>H265</f>
        <v>9376271</v>
      </c>
    </row>
    <row r="442" spans="4:8" ht="30" customHeight="1">
      <c r="D442" s="260">
        <f t="shared" si="19"/>
        <v>0</v>
      </c>
      <c r="E442" s="97" t="s">
        <v>498</v>
      </c>
      <c r="F442" s="98">
        <f>F235+F243</f>
        <v>0</v>
      </c>
      <c r="G442" s="98">
        <f>G235+G243</f>
        <v>5000000</v>
      </c>
      <c r="H442" s="98">
        <f>H235+H243</f>
        <v>5000000</v>
      </c>
    </row>
    <row r="443" spans="4:8" ht="33.75" customHeight="1">
      <c r="D443" s="260">
        <f t="shared" si="19"/>
        <v>0</v>
      </c>
      <c r="E443" s="97" t="s">
        <v>499</v>
      </c>
      <c r="F443" s="98">
        <f>F236</f>
        <v>0</v>
      </c>
      <c r="G443" s="98">
        <f>G236</f>
        <v>0</v>
      </c>
      <c r="H443" s="98">
        <f>H236</f>
        <v>0</v>
      </c>
    </row>
    <row r="444" spans="4:8" ht="28.5" customHeight="1">
      <c r="D444" s="260">
        <f t="shared" si="19"/>
        <v>0</v>
      </c>
      <c r="E444" s="97" t="s">
        <v>500</v>
      </c>
      <c r="F444" s="98">
        <f>F257</f>
        <v>0</v>
      </c>
      <c r="G444" s="98">
        <f>G257</f>
        <v>0</v>
      </c>
      <c r="H444" s="98">
        <f>H257</f>
        <v>0</v>
      </c>
    </row>
    <row r="445" spans="4:8" ht="28.5" customHeight="1">
      <c r="D445" s="260">
        <f t="shared" si="19"/>
        <v>0</v>
      </c>
      <c r="E445" s="97" t="s">
        <v>550</v>
      </c>
      <c r="F445" s="98">
        <f>F207</f>
        <v>0</v>
      </c>
      <c r="G445" s="98">
        <f>G207</f>
        <v>0</v>
      </c>
      <c r="H445" s="98">
        <f>H207</f>
        <v>0</v>
      </c>
    </row>
    <row r="446" spans="4:8" ht="28.5" customHeight="1">
      <c r="D446" s="260">
        <f t="shared" si="19"/>
        <v>0</v>
      </c>
      <c r="E446" s="97" t="s">
        <v>541</v>
      </c>
      <c r="F446" s="98">
        <f>F154+F151</f>
        <v>3503750</v>
      </c>
      <c r="G446" s="98">
        <f>G154+G151</f>
        <v>6776665</v>
      </c>
      <c r="H446" s="98">
        <f>H154+H151</f>
        <v>10280415</v>
      </c>
    </row>
    <row r="447" spans="4:8" ht="28.5" customHeight="1">
      <c r="D447" s="260">
        <f t="shared" si="19"/>
        <v>0</v>
      </c>
      <c r="E447" s="97" t="s">
        <v>554</v>
      </c>
      <c r="F447" s="98">
        <f>F255</f>
        <v>0</v>
      </c>
      <c r="G447" s="98">
        <f>G255</f>
        <v>0</v>
      </c>
      <c r="H447" s="98">
        <f>H255</f>
        <v>0</v>
      </c>
    </row>
    <row r="448" spans="4:8" ht="38.25" customHeight="1">
      <c r="D448" s="260">
        <f t="shared" si="19"/>
        <v>0</v>
      </c>
      <c r="E448" s="97" t="s">
        <v>552</v>
      </c>
      <c r="F448" s="98">
        <f>F190</f>
        <v>353947</v>
      </c>
      <c r="G448" s="98">
        <f>G190</f>
        <v>0</v>
      </c>
      <c r="H448" s="98">
        <f>H190</f>
        <v>353947</v>
      </c>
    </row>
    <row r="449" spans="4:8" ht="21.75" customHeight="1">
      <c r="D449" s="260">
        <f t="shared" si="19"/>
        <v>0</v>
      </c>
      <c r="E449" s="106" t="s">
        <v>555</v>
      </c>
      <c r="F449" s="98">
        <f>F238+F246</f>
        <v>0</v>
      </c>
      <c r="G449" s="98">
        <f>G238+G246</f>
        <v>0</v>
      </c>
      <c r="H449" s="98">
        <f>H238+H246</f>
        <v>0</v>
      </c>
    </row>
    <row r="450" spans="4:8" ht="39.75" customHeight="1">
      <c r="D450" s="260"/>
      <c r="E450" s="97" t="s">
        <v>664</v>
      </c>
      <c r="F450" s="98">
        <f>F157</f>
        <v>216888</v>
      </c>
      <c r="G450" s="98">
        <f>G157</f>
        <v>0</v>
      </c>
      <c r="H450" s="98">
        <f>H157</f>
        <v>216888</v>
      </c>
    </row>
    <row r="451" spans="4:8" ht="38.25" customHeight="1">
      <c r="D451" s="260">
        <f t="shared" si="19"/>
        <v>0</v>
      </c>
      <c r="E451" s="97" t="s">
        <v>557</v>
      </c>
      <c r="F451" s="98">
        <f>F258</f>
        <v>136197</v>
      </c>
      <c r="G451" s="98">
        <f>G258</f>
        <v>0</v>
      </c>
      <c r="H451" s="98">
        <f>H258</f>
        <v>136197</v>
      </c>
    </row>
    <row r="452" spans="4:8" ht="38.25" customHeight="1">
      <c r="D452" s="260">
        <f t="shared" si="19"/>
        <v>0</v>
      </c>
      <c r="E452" s="97" t="s">
        <v>666</v>
      </c>
      <c r="F452" s="98">
        <f>F227</f>
        <v>22978</v>
      </c>
      <c r="G452" s="98">
        <f>G227</f>
        <v>0</v>
      </c>
      <c r="H452" s="98">
        <f>H227</f>
        <v>22978</v>
      </c>
    </row>
    <row r="453" spans="4:8" ht="27.75" customHeight="1">
      <c r="D453" s="260">
        <f t="shared" si="19"/>
        <v>0</v>
      </c>
      <c r="E453" s="97" t="s">
        <v>560</v>
      </c>
      <c r="F453" s="98">
        <f>F28+F32+F37</f>
        <v>0</v>
      </c>
      <c r="G453" s="98">
        <f>G28+G32+G37</f>
        <v>0</v>
      </c>
      <c r="H453" s="98">
        <f>H28+H32+H37</f>
        <v>0</v>
      </c>
    </row>
    <row r="454" spans="4:8" ht="27.75" customHeight="1">
      <c r="D454" s="260">
        <f t="shared" si="19"/>
        <v>0</v>
      </c>
      <c r="E454" s="97" t="s">
        <v>583</v>
      </c>
      <c r="F454" s="98">
        <f>F43</f>
        <v>50289342</v>
      </c>
      <c r="G454" s="98">
        <f>G43</f>
        <v>0</v>
      </c>
      <c r="H454" s="98">
        <f>H43</f>
        <v>50289342</v>
      </c>
    </row>
    <row r="455" spans="4:8" ht="35.25" customHeight="1">
      <c r="D455" s="260"/>
      <c r="E455" s="357" t="s">
        <v>659</v>
      </c>
      <c r="F455" s="98">
        <f>F15+F23</f>
        <v>1905786</v>
      </c>
      <c r="G455" s="98">
        <f>G15+G23</f>
        <v>2208000</v>
      </c>
      <c r="H455" s="98">
        <f>H15+H23</f>
        <v>4113786</v>
      </c>
    </row>
    <row r="456" spans="4:8" ht="50.25" customHeight="1">
      <c r="D456" s="260"/>
      <c r="E456" s="344" t="s">
        <v>650</v>
      </c>
      <c r="F456" s="98">
        <f>F245</f>
        <v>1200000</v>
      </c>
      <c r="G456" s="98">
        <f>G245</f>
        <v>0</v>
      </c>
      <c r="H456" s="98">
        <f>H245</f>
        <v>1200000</v>
      </c>
    </row>
    <row r="457" spans="4:8" ht="50.25" customHeight="1">
      <c r="D457" s="260"/>
      <c r="E457" s="384" t="s">
        <v>661</v>
      </c>
      <c r="F457" s="98">
        <f aca="true" t="shared" si="20" ref="F457:H458">F125</f>
        <v>255640</v>
      </c>
      <c r="G457" s="98">
        <f t="shared" si="20"/>
        <v>198100</v>
      </c>
      <c r="H457" s="98">
        <f t="shared" si="20"/>
        <v>453740</v>
      </c>
    </row>
    <row r="458" spans="4:8" ht="50.25" customHeight="1">
      <c r="D458" s="260"/>
      <c r="E458" s="384" t="s">
        <v>662</v>
      </c>
      <c r="F458" s="98">
        <f t="shared" si="20"/>
        <v>97207</v>
      </c>
      <c r="G458" s="98">
        <f t="shared" si="20"/>
        <v>0</v>
      </c>
      <c r="H458" s="98">
        <f t="shared" si="20"/>
        <v>97207</v>
      </c>
    </row>
    <row r="459" spans="4:8" ht="50.25" customHeight="1">
      <c r="D459" s="260"/>
      <c r="E459" s="384" t="s">
        <v>675</v>
      </c>
      <c r="F459" s="98">
        <f>F110</f>
        <v>24002400</v>
      </c>
      <c r="G459" s="98">
        <f>G110</f>
        <v>0</v>
      </c>
      <c r="H459" s="98">
        <f>H110</f>
        <v>24002400</v>
      </c>
    </row>
    <row r="460" spans="4:8" ht="50.25" customHeight="1">
      <c r="D460" s="260"/>
      <c r="E460" s="388" t="s">
        <v>677</v>
      </c>
      <c r="F460" s="98">
        <f>F189</f>
        <v>640000</v>
      </c>
      <c r="G460" s="98">
        <f>G189</f>
        <v>0</v>
      </c>
      <c r="H460" s="98">
        <f>H189</f>
        <v>640000</v>
      </c>
    </row>
    <row r="461" spans="4:13" s="159" customFormat="1" ht="25.5" customHeight="1">
      <c r="D461" s="260">
        <f t="shared" si="19"/>
        <v>0</v>
      </c>
      <c r="E461" s="99" t="s">
        <v>283</v>
      </c>
      <c r="F461" s="100">
        <f>F111+F29+F33+F38+F44+F87+F96+F166+F169+F135+F115+F89+F174+F117+F360+F140+F138+F344+F35+F197+F378+F342+F290+F172+F76+F351+F191+F272+F200+F274</f>
        <v>28294427</v>
      </c>
      <c r="G461" s="100">
        <f>G111+G29+G33+G38+G44+G87+G96+G166+G169+G135+G115+G89+G174+G117+G360+G140+G138+G344+G35+G197+G378+G342+G290+G172+G76+G351+G191+G272+G200+G274</f>
        <v>3705573</v>
      </c>
      <c r="H461" s="100">
        <f>H111+H29+H33+H38+H44+H87+H96+H166+H169+H135+H115+H89+H174+H117+H360+H140+H138+H344+H35+H197+H378+H342+H290+H172+H76+H351+H191+H272+H200+H274</f>
        <v>32000000</v>
      </c>
      <c r="I461" s="195"/>
      <c r="J461" s="158"/>
      <c r="M461" s="160"/>
    </row>
    <row r="462" spans="4:13" s="162" customFormat="1" ht="27" customHeight="1">
      <c r="D462" s="260">
        <f t="shared" si="19"/>
        <v>0</v>
      </c>
      <c r="E462" s="101" t="s">
        <v>284</v>
      </c>
      <c r="F462" s="102"/>
      <c r="G462" s="102"/>
      <c r="H462" s="102"/>
      <c r="I462" s="196"/>
      <c r="J462" s="161"/>
      <c r="M462" s="163"/>
    </row>
    <row r="463" spans="4:13" s="162" customFormat="1" ht="27" customHeight="1">
      <c r="D463" s="291"/>
      <c r="F463" s="102"/>
      <c r="G463" s="102"/>
      <c r="H463" s="102"/>
      <c r="I463" s="196"/>
      <c r="J463" s="161"/>
      <c r="M463" s="163"/>
    </row>
    <row r="464" spans="5:13" s="164" customFormat="1" ht="15.75">
      <c r="E464" s="103" t="s">
        <v>314</v>
      </c>
      <c r="F464" s="104">
        <f>SUM(F399:F463)</f>
        <v>1366284385</v>
      </c>
      <c r="G464" s="104">
        <f>SUM(G399:G463)</f>
        <v>1337035885</v>
      </c>
      <c r="H464" s="104">
        <f>SUM(H399:H463)</f>
        <v>2703320270</v>
      </c>
      <c r="I464" s="197"/>
      <c r="M464" s="165"/>
    </row>
    <row r="465" spans="5:13" ht="27.75" customHeight="1">
      <c r="E465" s="105"/>
      <c r="F465" s="109">
        <f>F392-F464</f>
        <v>0</v>
      </c>
      <c r="G465" s="109">
        <f>G392-G464</f>
        <v>0</v>
      </c>
      <c r="H465" s="109">
        <f>H392-H464</f>
        <v>0</v>
      </c>
      <c r="I465" s="193"/>
      <c r="M465" s="108"/>
    </row>
    <row r="466" spans="5:13" ht="27.75" customHeight="1">
      <c r="E466" s="78">
        <v>70303</v>
      </c>
      <c r="F466" s="359">
        <f>F125</f>
        <v>255640</v>
      </c>
      <c r="G466" s="359">
        <f>G125</f>
        <v>198100</v>
      </c>
      <c r="H466" s="359">
        <f>H125</f>
        <v>453740</v>
      </c>
      <c r="I466" s="193"/>
      <c r="M466" s="108"/>
    </row>
    <row r="467" spans="4:13" ht="18.75">
      <c r="D467" s="260">
        <f>F467+G467-H467</f>
        <v>0</v>
      </c>
      <c r="E467" s="78" t="s">
        <v>495</v>
      </c>
      <c r="F467" s="76">
        <f>F52+F113+F72</f>
        <v>845012</v>
      </c>
      <c r="G467" s="76">
        <f>G52+G113+G72</f>
        <v>0</v>
      </c>
      <c r="H467" s="76">
        <f>H52+H113+H72</f>
        <v>845012</v>
      </c>
      <c r="I467" s="193"/>
      <c r="M467" s="108"/>
    </row>
    <row r="468" spans="4:13" ht="18.75">
      <c r="D468" s="260">
        <f aca="true" t="shared" si="21" ref="D468:D515">F468+G468-H468</f>
        <v>0</v>
      </c>
      <c r="E468" s="78">
        <v>90412</v>
      </c>
      <c r="F468" s="76">
        <f>F163+F270+F109+F111+F194+F110</f>
        <v>68176622</v>
      </c>
      <c r="G468" s="76">
        <f>G163+G270+G109+G111+G194+G110</f>
        <v>0</v>
      </c>
      <c r="H468" s="76">
        <f>H163+H270+H109+H111+H194+H110</f>
        <v>68176622</v>
      </c>
      <c r="I468" s="193"/>
      <c r="M468" s="108"/>
    </row>
    <row r="469" spans="4:13" ht="18.75">
      <c r="D469" s="260">
        <f t="shared" si="21"/>
        <v>0</v>
      </c>
      <c r="E469" s="78">
        <v>91108</v>
      </c>
      <c r="F469" s="76">
        <f>F53</f>
        <v>9996158</v>
      </c>
      <c r="G469" s="76">
        <f>G53</f>
        <v>0</v>
      </c>
      <c r="H469" s="76">
        <f>H53</f>
        <v>9996158</v>
      </c>
      <c r="I469" s="193"/>
      <c r="M469" s="108"/>
    </row>
    <row r="470" spans="4:13" ht="18.75">
      <c r="D470" s="260">
        <f t="shared" si="21"/>
        <v>0</v>
      </c>
      <c r="E470" s="78">
        <v>91209</v>
      </c>
      <c r="F470" s="76">
        <f>F116+F117</f>
        <v>2040555</v>
      </c>
      <c r="G470" s="76">
        <f>G116+G117</f>
        <v>20000</v>
      </c>
      <c r="H470" s="76">
        <f>H116+H117</f>
        <v>2060555</v>
      </c>
      <c r="I470" s="193"/>
      <c r="M470" s="108"/>
    </row>
    <row r="471" spans="4:13" ht="18.75">
      <c r="D471" s="260">
        <f t="shared" si="21"/>
        <v>0</v>
      </c>
      <c r="E471" s="78">
        <v>90203</v>
      </c>
      <c r="F471" s="76">
        <f aca="true" t="shared" si="22" ref="F471:H473">F106</f>
        <v>1101160</v>
      </c>
      <c r="G471" s="76">
        <f t="shared" si="22"/>
        <v>40000</v>
      </c>
      <c r="H471" s="76">
        <f t="shared" si="22"/>
        <v>1141160</v>
      </c>
      <c r="I471" s="193"/>
      <c r="M471" s="108"/>
    </row>
    <row r="472" spans="4:13" ht="18.75">
      <c r="D472" s="260">
        <f t="shared" si="21"/>
        <v>0</v>
      </c>
      <c r="E472" s="78">
        <v>90209</v>
      </c>
      <c r="F472" s="76">
        <f t="shared" si="22"/>
        <v>44797</v>
      </c>
      <c r="G472" s="76">
        <f t="shared" si="22"/>
        <v>0</v>
      </c>
      <c r="H472" s="76">
        <f t="shared" si="22"/>
        <v>44797</v>
      </c>
      <c r="I472" s="193"/>
      <c r="M472" s="108"/>
    </row>
    <row r="473" spans="4:13" ht="18.75">
      <c r="D473" s="260">
        <f t="shared" si="21"/>
        <v>0</v>
      </c>
      <c r="E473" s="78">
        <v>90214</v>
      </c>
      <c r="F473" s="76">
        <f t="shared" si="22"/>
        <v>4555923</v>
      </c>
      <c r="G473" s="76">
        <f t="shared" si="22"/>
        <v>0</v>
      </c>
      <c r="H473" s="76">
        <f t="shared" si="22"/>
        <v>4555923</v>
      </c>
      <c r="I473" s="193"/>
      <c r="M473" s="108"/>
    </row>
    <row r="474" spans="4:13" ht="18.75">
      <c r="D474" s="260">
        <f t="shared" si="21"/>
        <v>0</v>
      </c>
      <c r="E474" s="78">
        <v>90501</v>
      </c>
      <c r="F474" s="76">
        <f>F51+F164+F195+F112</f>
        <v>477089</v>
      </c>
      <c r="G474" s="76">
        <f>G51+G164+G195+G112</f>
        <v>0</v>
      </c>
      <c r="H474" s="76">
        <f>H51+H164+H195+H112</f>
        <v>477089</v>
      </c>
      <c r="I474" s="193"/>
      <c r="M474" s="108"/>
    </row>
    <row r="475" spans="4:13" ht="18.75">
      <c r="D475" s="260"/>
      <c r="E475" s="78">
        <v>90802</v>
      </c>
      <c r="F475" s="76">
        <f>F126</f>
        <v>97207</v>
      </c>
      <c r="G475" s="76">
        <f>G126</f>
        <v>0</v>
      </c>
      <c r="H475" s="76">
        <f>H126</f>
        <v>97207</v>
      </c>
      <c r="I475" s="193"/>
      <c r="M475" s="108"/>
    </row>
    <row r="476" spans="4:13" ht="19.5" customHeight="1">
      <c r="D476" s="260">
        <f t="shared" si="21"/>
        <v>0</v>
      </c>
      <c r="E476" s="78">
        <v>110300</v>
      </c>
      <c r="F476" s="76">
        <f>F142</f>
        <v>1806603</v>
      </c>
      <c r="G476" s="76">
        <f>G142</f>
        <v>0</v>
      </c>
      <c r="H476" s="76">
        <f>H142</f>
        <v>1806603</v>
      </c>
      <c r="I476" s="193"/>
      <c r="M476" s="108"/>
    </row>
    <row r="477" spans="4:13" ht="18.75">
      <c r="D477" s="260">
        <f t="shared" si="21"/>
        <v>0</v>
      </c>
      <c r="E477" s="78">
        <v>100101</v>
      </c>
      <c r="F477" s="76">
        <f>F165+F166+F271+F288+F304+F322+F340+F358+F376+F272</f>
        <v>61152392</v>
      </c>
      <c r="G477" s="76">
        <f>G165+G166+G271+G288+G304+G322+G340+G358+G376+G272</f>
        <v>0</v>
      </c>
      <c r="H477" s="76">
        <f>H165+H166+H271+H288+H304+H322+H340+H358+H376+H272</f>
        <v>61152392</v>
      </c>
      <c r="I477" s="193"/>
      <c r="M477" s="108"/>
    </row>
    <row r="478" spans="1:13" ht="18.75">
      <c r="A478" s="260">
        <f>F478-151768435</f>
        <v>-2080183</v>
      </c>
      <c r="C478" s="260">
        <f>J478-31431741</f>
        <v>4656419</v>
      </c>
      <c r="D478" s="260">
        <f t="shared" si="21"/>
        <v>0</v>
      </c>
      <c r="E478" s="78">
        <v>100203</v>
      </c>
      <c r="F478" s="76">
        <f>F173+F273+F289+F305+F323+F341+F359+F377+F174+F324+F175+F360+F196+F197+F198+F378+F342+F290+F274</f>
        <v>149688252</v>
      </c>
      <c r="G478" s="76">
        <f>G173+G273+G289+G305+G323+G341+G359+G377+G174+G324+G175+G360+G196+G197+G198+G378+G342+G290+G274</f>
        <v>36373016</v>
      </c>
      <c r="H478" s="76">
        <f>H173+H273+H289+H305+H323+H341+H359+H377+H174+H324+H175+H360+H196+H197+H198+H378+H342+H290+H274</f>
        <v>186061268</v>
      </c>
      <c r="I478" s="199">
        <v>284856</v>
      </c>
      <c r="J478" s="257">
        <f>G478-I478</f>
        <v>36088160</v>
      </c>
      <c r="M478" s="108"/>
    </row>
    <row r="479" spans="4:13" ht="18.75">
      <c r="D479" s="260">
        <f t="shared" si="21"/>
        <v>0</v>
      </c>
      <c r="E479" s="78">
        <v>170703</v>
      </c>
      <c r="F479" s="76">
        <f>F308+F201+F329+F380</f>
        <v>148794647</v>
      </c>
      <c r="G479" s="76">
        <f>G308+G201+G329+G380</f>
        <v>97448486</v>
      </c>
      <c r="H479" s="76">
        <f>H308+H201+H329+H380</f>
        <v>246243133</v>
      </c>
      <c r="I479" s="193">
        <v>389888</v>
      </c>
      <c r="J479" s="257">
        <f>G479-I479</f>
        <v>97058598</v>
      </c>
      <c r="M479" s="108"/>
    </row>
    <row r="480" spans="4:13" ht="18.75">
      <c r="D480" s="260">
        <f t="shared" si="21"/>
        <v>0</v>
      </c>
      <c r="E480" s="78">
        <v>120000</v>
      </c>
      <c r="F480" s="76">
        <f>F14+F13</f>
        <v>5279221</v>
      </c>
      <c r="G480" s="76">
        <f>G14+G13</f>
        <v>1791172</v>
      </c>
      <c r="H480" s="76">
        <f>H14+H13</f>
        <v>7070393</v>
      </c>
      <c r="I480" s="193"/>
      <c r="M480" s="108"/>
    </row>
    <row r="481" spans="4:9" ht="18.75">
      <c r="D481" s="260">
        <f t="shared" si="21"/>
        <v>0</v>
      </c>
      <c r="E481" s="78">
        <v>170102</v>
      </c>
      <c r="F481" s="76">
        <f>F119</f>
        <v>11187188</v>
      </c>
      <c r="G481" s="76">
        <f>G119</f>
        <v>0</v>
      </c>
      <c r="H481" s="76">
        <f>H119</f>
        <v>11187188</v>
      </c>
      <c r="I481" s="193"/>
    </row>
    <row r="482" spans="4:9" ht="18.75">
      <c r="D482" s="260">
        <f t="shared" si="21"/>
        <v>0</v>
      </c>
      <c r="E482" s="78">
        <v>170302</v>
      </c>
      <c r="F482" s="76">
        <f aca="true" t="shared" si="23" ref="F482:H483">F121</f>
        <v>5021187</v>
      </c>
      <c r="G482" s="76">
        <f t="shared" si="23"/>
        <v>0</v>
      </c>
      <c r="H482" s="76">
        <f t="shared" si="23"/>
        <v>5021187</v>
      </c>
      <c r="I482" s="193"/>
    </row>
    <row r="483" spans="4:9" ht="18.75">
      <c r="D483" s="260">
        <f t="shared" si="21"/>
        <v>0</v>
      </c>
      <c r="E483" s="78">
        <v>170602</v>
      </c>
      <c r="F483" s="76">
        <f t="shared" si="23"/>
        <v>44076775</v>
      </c>
      <c r="G483" s="76">
        <f t="shared" si="23"/>
        <v>0</v>
      </c>
      <c r="H483" s="76">
        <f t="shared" si="23"/>
        <v>44076775</v>
      </c>
      <c r="I483" s="193"/>
    </row>
    <row r="484" spans="4:9" ht="18.75">
      <c r="D484" s="260">
        <f t="shared" si="21"/>
        <v>0</v>
      </c>
      <c r="E484" s="78">
        <v>170203</v>
      </c>
      <c r="F484" s="76">
        <f>F120</f>
        <v>1764117</v>
      </c>
      <c r="G484" s="76">
        <f>G120</f>
        <v>0</v>
      </c>
      <c r="H484" s="76">
        <f>H120</f>
        <v>1764117</v>
      </c>
      <c r="I484" s="193"/>
    </row>
    <row r="485" spans="4:9" ht="18.75">
      <c r="D485" s="260">
        <f t="shared" si="21"/>
        <v>0</v>
      </c>
      <c r="E485" s="78">
        <v>170603</v>
      </c>
      <c r="F485" s="76">
        <f>F232</f>
        <v>56800000</v>
      </c>
      <c r="G485" s="76">
        <f>G232</f>
        <v>0</v>
      </c>
      <c r="H485" s="76">
        <f>H232</f>
        <v>56800000</v>
      </c>
      <c r="I485" s="193"/>
    </row>
    <row r="486" spans="4:9" ht="18.75">
      <c r="D486" s="260">
        <f t="shared" si="21"/>
        <v>0</v>
      </c>
      <c r="E486" s="78">
        <v>171000</v>
      </c>
      <c r="F486" s="76">
        <f>F244+F243+F242+F245</f>
        <v>1703931</v>
      </c>
      <c r="G486" s="76">
        <f>G244+G243+G242+G245</f>
        <v>9695946</v>
      </c>
      <c r="H486" s="76">
        <f>H244+H243+H242+H245</f>
        <v>11399877</v>
      </c>
      <c r="I486" s="193"/>
    </row>
    <row r="487" spans="4:9" ht="18.75">
      <c r="D487" s="260">
        <f t="shared" si="21"/>
        <v>0</v>
      </c>
      <c r="E487" s="78">
        <v>180404</v>
      </c>
      <c r="F487" s="76">
        <f>F155</f>
        <v>485000</v>
      </c>
      <c r="G487" s="76">
        <f>G155</f>
        <v>0</v>
      </c>
      <c r="H487" s="76">
        <f>H155</f>
        <v>485000</v>
      </c>
      <c r="I487" s="193"/>
    </row>
    <row r="488" spans="4:9" ht="18.75">
      <c r="D488" s="260">
        <f t="shared" si="21"/>
        <v>0</v>
      </c>
      <c r="E488" s="78">
        <v>180410</v>
      </c>
      <c r="F488" s="76">
        <f>F148</f>
        <v>94782</v>
      </c>
      <c r="G488" s="76">
        <f>G148</f>
        <v>0</v>
      </c>
      <c r="H488" s="76">
        <f>H148</f>
        <v>94782</v>
      </c>
      <c r="I488" s="193"/>
    </row>
    <row r="489" spans="4:9" ht="18.75">
      <c r="D489" s="260">
        <f t="shared" si="21"/>
        <v>0</v>
      </c>
      <c r="E489" s="78">
        <v>210105</v>
      </c>
      <c r="F489" s="76">
        <f>F249+F186</f>
        <v>4188744</v>
      </c>
      <c r="G489" s="76">
        <f>G249+G186</f>
        <v>1029092</v>
      </c>
      <c r="H489" s="76">
        <f>H249+H186</f>
        <v>5217836</v>
      </c>
      <c r="I489" s="199">
        <v>83956</v>
      </c>
    </row>
    <row r="490" spans="4:9" ht="18.75">
      <c r="D490" s="260">
        <f t="shared" si="21"/>
        <v>0</v>
      </c>
      <c r="E490" s="78">
        <v>210110</v>
      </c>
      <c r="F490" s="76">
        <f>F250</f>
        <v>3939364</v>
      </c>
      <c r="G490" s="76">
        <f>G250</f>
        <v>765277</v>
      </c>
      <c r="H490" s="76">
        <f>H250</f>
        <v>4704641</v>
      </c>
      <c r="I490" s="199">
        <v>114582</v>
      </c>
    </row>
    <row r="491" spans="4:9" ht="18.75">
      <c r="D491" s="260">
        <f t="shared" si="21"/>
        <v>0</v>
      </c>
      <c r="E491" s="78">
        <v>250913</v>
      </c>
      <c r="F491" s="76">
        <f>F69+F82</f>
        <v>112000</v>
      </c>
      <c r="G491" s="76">
        <f>G69+G82</f>
        <v>0</v>
      </c>
      <c r="H491" s="76">
        <f>H69+H82</f>
        <v>112000</v>
      </c>
      <c r="I491" s="193"/>
    </row>
    <row r="492" spans="4:9" ht="18.75">
      <c r="D492" s="260">
        <f t="shared" si="21"/>
        <v>0</v>
      </c>
      <c r="E492" s="78">
        <v>100102</v>
      </c>
      <c r="F492" s="76">
        <f>F167+F168+F169</f>
        <v>0</v>
      </c>
      <c r="G492" s="76">
        <f>G167+G168+G169</f>
        <v>271009346</v>
      </c>
      <c r="H492" s="76">
        <f>H167+H168+H169</f>
        <v>271009346</v>
      </c>
      <c r="I492" s="193"/>
    </row>
    <row r="493" spans="4:13" s="77" customFormat="1" ht="18.75">
      <c r="D493" s="260">
        <f t="shared" si="21"/>
        <v>0</v>
      </c>
      <c r="E493" s="78">
        <v>150101</v>
      </c>
      <c r="F493" s="76">
        <f>F60+F61+F118+F147+F153+F177+F233+F234+F253+F306+F325+F343+F101+F235+F236+F301+F372+F391+F154+F102+F361+F291+F275+F379+F344+F199</f>
        <v>0</v>
      </c>
      <c r="G493" s="76">
        <f>G60+G61+G118+G147+G153+G177+G233+G234+G253+G306+G325+G343+G101+G235+G236+G301+G372+G391+G154+G102+G361+G291+G275+G379+G344+G199+G80+G307+G200</f>
        <v>336848449</v>
      </c>
      <c r="H493" s="76">
        <f>H60+H61+H118+H147+H153+H177+H233+H234+H253+H306+H325+H343+H101+H235+H236+H301+H372+H391+H154+H102+H361+H291+H275+H379+H344+H199+H80+H307+H200</f>
        <v>336848449</v>
      </c>
      <c r="I493" s="199">
        <f>G493-336821449</f>
        <v>27000</v>
      </c>
      <c r="M493" s="79"/>
    </row>
    <row r="494" spans="4:13" s="77" customFormat="1" ht="18.75">
      <c r="D494" s="260">
        <f t="shared" si="21"/>
        <v>0</v>
      </c>
      <c r="E494" s="78">
        <v>150110</v>
      </c>
      <c r="F494" s="76">
        <f aca="true" t="shared" si="24" ref="F494:H495">F62</f>
        <v>0</v>
      </c>
      <c r="G494" s="76">
        <f>G62</f>
        <v>4858617</v>
      </c>
      <c r="H494" s="76">
        <f t="shared" si="24"/>
        <v>4858617</v>
      </c>
      <c r="I494" s="199">
        <f>G494-4858617</f>
        <v>0</v>
      </c>
      <c r="M494" s="79"/>
    </row>
    <row r="495" spans="4:13" s="77" customFormat="1" ht="18.75">
      <c r="D495" s="260">
        <f t="shared" si="21"/>
        <v>0</v>
      </c>
      <c r="E495" s="78">
        <v>150112</v>
      </c>
      <c r="F495" s="76">
        <f t="shared" si="24"/>
        <v>0</v>
      </c>
      <c r="G495" s="76">
        <f t="shared" si="24"/>
        <v>2000000</v>
      </c>
      <c r="H495" s="76">
        <f t="shared" si="24"/>
        <v>2000000</v>
      </c>
      <c r="I495" s="198"/>
      <c r="M495" s="79"/>
    </row>
    <row r="496" spans="4:13" s="77" customFormat="1" ht="18.75">
      <c r="D496" s="260">
        <f t="shared" si="21"/>
        <v>0</v>
      </c>
      <c r="E496" s="78">
        <v>150118</v>
      </c>
      <c r="F496" s="76">
        <f>F180</f>
        <v>0</v>
      </c>
      <c r="G496" s="76">
        <f>G180+G181</f>
        <v>1648220</v>
      </c>
      <c r="H496" s="76">
        <f>H180+H181</f>
        <v>1648220</v>
      </c>
      <c r="I496" s="198"/>
      <c r="M496" s="79"/>
    </row>
    <row r="497" spans="4:13" s="77" customFormat="1" ht="18.75">
      <c r="D497" s="260">
        <f t="shared" si="21"/>
        <v>0</v>
      </c>
      <c r="E497" s="78">
        <v>150121</v>
      </c>
      <c r="F497" s="76">
        <f>F182</f>
        <v>0</v>
      </c>
      <c r="G497" s="76">
        <f>G182</f>
        <v>1352362</v>
      </c>
      <c r="H497" s="76">
        <f>H182</f>
        <v>1352362</v>
      </c>
      <c r="I497" s="198"/>
      <c r="M497" s="79"/>
    </row>
    <row r="498" spans="4:13" s="77" customFormat="1" ht="18.75">
      <c r="D498" s="260">
        <f t="shared" si="21"/>
        <v>0</v>
      </c>
      <c r="E498" s="78">
        <v>150202</v>
      </c>
      <c r="F498" s="76">
        <f>F210</f>
        <v>0</v>
      </c>
      <c r="G498" s="76">
        <f>G210</f>
        <v>1199430</v>
      </c>
      <c r="H498" s="76">
        <f>H210</f>
        <v>1199430</v>
      </c>
      <c r="I498" s="198"/>
      <c r="M498" s="79"/>
    </row>
    <row r="499" spans="4:13" s="77" customFormat="1" ht="18.75">
      <c r="D499" s="260">
        <f t="shared" si="21"/>
        <v>0</v>
      </c>
      <c r="E499" s="78">
        <v>180409</v>
      </c>
      <c r="F499" s="76">
        <f>F237+F240+F183+F15+F184+F255+F238+F239+F202+F326</f>
        <v>0</v>
      </c>
      <c r="G499" s="76">
        <f>G237+G240+G183+G15+G184+G255+G238+G239+G202+G326</f>
        <v>165428113</v>
      </c>
      <c r="H499" s="76">
        <f>H237+H240+H183+H15+H184+H255+H238+H239+H202+H326</f>
        <v>165428113</v>
      </c>
      <c r="I499" s="198"/>
      <c r="M499" s="79"/>
    </row>
    <row r="500" spans="4:13" s="77" customFormat="1" ht="18.75">
      <c r="D500" s="260">
        <f t="shared" si="21"/>
        <v>0</v>
      </c>
      <c r="E500" s="78">
        <v>100106</v>
      </c>
      <c r="F500" s="76">
        <f>F171</f>
        <v>0</v>
      </c>
      <c r="G500" s="76">
        <f>G171+G172</f>
        <v>55261439</v>
      </c>
      <c r="H500" s="76">
        <f>H171+H172</f>
        <v>55261439</v>
      </c>
      <c r="I500" s="198"/>
      <c r="M500" s="79"/>
    </row>
    <row r="501" spans="4:13" s="77" customFormat="1" ht="18.75">
      <c r="D501" s="260">
        <f t="shared" si="21"/>
        <v>0</v>
      </c>
      <c r="E501" s="78">
        <v>200700</v>
      </c>
      <c r="F501" s="106">
        <f>F225+F185+F65</f>
        <v>0</v>
      </c>
      <c r="G501" s="106">
        <f>G225+G185+G65</f>
        <v>0</v>
      </c>
      <c r="H501" s="106">
        <f>H225+H185+H65</f>
        <v>0</v>
      </c>
      <c r="I501" s="198"/>
      <c r="M501" s="79"/>
    </row>
    <row r="502" spans="4:13" s="77" customFormat="1" ht="18.75">
      <c r="D502" s="260">
        <f t="shared" si="21"/>
        <v>0</v>
      </c>
      <c r="E502" s="78">
        <v>240900</v>
      </c>
      <c r="F502" s="76">
        <f>F16+F346+F363+F293</f>
        <v>0</v>
      </c>
      <c r="G502" s="76">
        <f>G16+G346+G363+G293+G256+G149+G67</f>
        <v>10048292</v>
      </c>
      <c r="H502" s="76">
        <f>H16+H346+H363+H293+H256+H149+H67</f>
        <v>10048292</v>
      </c>
      <c r="I502" s="198"/>
      <c r="M502" s="79"/>
    </row>
    <row r="503" spans="4:13" s="77" customFormat="1" ht="16.5" customHeight="1">
      <c r="D503" s="260">
        <f>F503+G503-H503</f>
        <v>0</v>
      </c>
      <c r="E503" s="78" t="s">
        <v>570</v>
      </c>
      <c r="F503" s="76">
        <f>F12+F84+F104+F124+F218+F229+F252+F321+F269+F303+F209+F151+F260+F161+F287+F338+F356+F375+F206+F128+F26+F130+F162+F220+F223+F248+F159+F71+F193+F216+F152</f>
        <v>3503750</v>
      </c>
      <c r="G503" s="76">
        <f>G12+G84+G104+G124+G218+G229+G252+G321+G269+G303+G209+G151+G260+G161+G287+G338+G356+G375+G206+G128+G26+G130+G162+G220+G223+G248+G159+G71+G193+G216+G152</f>
        <v>34746885</v>
      </c>
      <c r="H503" s="76">
        <f>H12+H84+H104+H124+H218+H229+H252+H321+H269+H303+H209+H151+H260+H161+H287+H338+H356+H375+H206+H128+H26+H130+H162+H220+H223+H248+H159+H71+H193+H216+H152</f>
        <v>38250635</v>
      </c>
      <c r="I503" s="198"/>
      <c r="M503" s="79"/>
    </row>
    <row r="504" spans="4:13" s="77" customFormat="1" ht="16.5" customHeight="1">
      <c r="D504" s="260">
        <f t="shared" si="21"/>
        <v>0</v>
      </c>
      <c r="E504" s="78" t="s">
        <v>496</v>
      </c>
      <c r="F504" s="76">
        <f>F105+F162+F261</f>
        <v>0</v>
      </c>
      <c r="G504" s="76">
        <f>G105+G261</f>
        <v>0</v>
      </c>
      <c r="H504" s="76">
        <f>H105+H261</f>
        <v>0</v>
      </c>
      <c r="I504" s="198"/>
      <c r="M504" s="79"/>
    </row>
    <row r="505" spans="4:13" s="77" customFormat="1" ht="16.5" customHeight="1">
      <c r="D505" s="260">
        <f t="shared" si="21"/>
        <v>0</v>
      </c>
      <c r="E505" s="78">
        <v>250344</v>
      </c>
      <c r="F505" s="76">
        <f>F265</f>
        <v>5674776</v>
      </c>
      <c r="G505" s="76">
        <f>G265</f>
        <v>3701495</v>
      </c>
      <c r="H505" s="76">
        <f>H265</f>
        <v>9376271</v>
      </c>
      <c r="I505" s="198"/>
      <c r="M505" s="79"/>
    </row>
    <row r="506" spans="4:13" s="77" customFormat="1" ht="16.5" customHeight="1">
      <c r="D506" s="260">
        <f t="shared" si="21"/>
        <v>0</v>
      </c>
      <c r="E506" s="78">
        <v>250404</v>
      </c>
      <c r="F506" s="304">
        <f>F17+F18+F19+F21+F188+F211+F212+F214+F263+F278+F280+F281+F283+F285+F294+F295+F296+F299+F312+F314+F316+F330+F332+F333+F335+F347+F348+F349+F364+F365+F367+F383+F384+F385+F390+F257+F156+F191+F284+F298+F315+F334+F354+F366+F389+F189+F207+F190+F258+F227+F22+F246+F300+F317+F350+F368+F386+F204+F23+F157+F351</f>
        <v>466858859</v>
      </c>
      <c r="G506" s="304">
        <f>G17+G18+G19+G21+G188+G211+G212+G214+G263+G278+G280+G281+G283+G285+G294+G295+G296+G299+G312+G314+G316+G330+G332+G333+G335+G347+G348+G349+G364+G365+G367+G383+G384+G385+G390+G257+G156+G191+G284+G298+G315+G334+G354+G366+G389+G189+G207+G190+G258+G227+G22+G246+G300+G317+G350+G368+G386+G204+G23+G157+G351</f>
        <v>616697</v>
      </c>
      <c r="H506" s="304">
        <f>H17+H18+H19+H21+H188+H211+H212+H214+H263+H278+H280+H281+H283+H285+H294+H295+H296+H299+H312+H314+H316+H330+H332+H333+H335+H347+H348+H349+H364+H365+H367+H383+H384+H385+H390+H257+H156+H191+H284+H298+H315+H334+H354+H366+H389+H189+H207+H190+H258+H227+H22+H246+H300+H317+H350+H368+H386+H204+H23+H157+H351</f>
        <v>467475556</v>
      </c>
      <c r="I506" s="198"/>
      <c r="M506" s="79"/>
    </row>
    <row r="507" spans="4:13" s="77" customFormat="1" ht="16.5" customHeight="1">
      <c r="D507" s="260">
        <f>F507+G507-H507</f>
        <v>0</v>
      </c>
      <c r="E507" s="78">
        <v>70000</v>
      </c>
      <c r="F507" s="76">
        <f>F27+F29+F30+F31+F33+F34+F35+F36+F38+F40+F41+F47+F48+F49+F50+F39+F43+F44+F45+F46</f>
        <v>167810957</v>
      </c>
      <c r="G507" s="76">
        <f>G27+G29+G30+G31+G33+G34+G35+G36+G38+G40+G41+G47+G48+G49+G50+G39+G43+G44+G45+G46</f>
        <v>93324671</v>
      </c>
      <c r="H507" s="76">
        <f>H27+H29+H30+H31+H33+H34+H35+H36+H38+H40+H41+H47+H48+H49+H50+H39+H43+H44+H45+H46</f>
        <v>261135628</v>
      </c>
      <c r="I507" s="199">
        <f>I30+I31+I48</f>
        <v>488297</v>
      </c>
      <c r="J507" s="256">
        <f>G507-I507</f>
        <v>92836374</v>
      </c>
      <c r="M507" s="332">
        <f>J507-52807882</f>
        <v>40028492</v>
      </c>
    </row>
    <row r="508" spans="4:13" s="77" customFormat="1" ht="16.5" customHeight="1">
      <c r="D508" s="260">
        <f t="shared" si="21"/>
        <v>0</v>
      </c>
      <c r="E508" s="78">
        <v>80000</v>
      </c>
      <c r="F508" s="76">
        <f>F85+F87+F88+F89+F90+F92+F93+F95+F96+F97+F100+F86+F98+F99</f>
        <v>97998160</v>
      </c>
      <c r="G508" s="76">
        <f>G85+G87+G88+G89+G90+G92+G93+G95+G96+G97+G100+G86+G98+G99</f>
        <v>104018313</v>
      </c>
      <c r="H508" s="76">
        <f>H85+H87+H88+H89+H90+H92+H93+H95+H96+H97+H100+H86+H98+H99</f>
        <v>202016473</v>
      </c>
      <c r="I508" s="199">
        <f>I83</f>
        <v>2126849</v>
      </c>
      <c r="J508" s="256">
        <f>G508-I508</f>
        <v>101891464</v>
      </c>
      <c r="M508" s="332">
        <f>J508-77967004</f>
        <v>23924460</v>
      </c>
    </row>
    <row r="509" spans="4:13" s="77" customFormat="1" ht="16.5" customHeight="1">
      <c r="D509" s="260">
        <f t="shared" si="21"/>
        <v>0</v>
      </c>
      <c r="E509" s="78">
        <v>130000</v>
      </c>
      <c r="F509" s="76">
        <f>F54+F55+F56+F59+F58+F79+F78+F77+F75+F74+F73+F76</f>
        <v>8291781</v>
      </c>
      <c r="G509" s="76">
        <f>G54+G55+G56+G59+G58+G79+G78+G77+G75+G74+G73+G76</f>
        <v>5468009</v>
      </c>
      <c r="H509" s="76">
        <f>H54+H55+H56+H59+H58+H79+H78+H77+H75+H74+H73+H76</f>
        <v>13759790</v>
      </c>
      <c r="I509" s="193">
        <v>65880</v>
      </c>
      <c r="J509" s="256">
        <f>G509-I509</f>
        <v>5402129</v>
      </c>
      <c r="M509" s="79"/>
    </row>
    <row r="510" spans="4:13" s="77" customFormat="1" ht="16.5" customHeight="1">
      <c r="D510" s="260">
        <f t="shared" si="21"/>
        <v>0</v>
      </c>
      <c r="E510" s="78">
        <v>91204</v>
      </c>
      <c r="F510" s="76">
        <f>F114+F115</f>
        <v>25453355</v>
      </c>
      <c r="G510" s="76">
        <f>G114+G115</f>
        <v>2200172</v>
      </c>
      <c r="H510" s="76">
        <f>H114+H115</f>
        <v>27653527</v>
      </c>
      <c r="I510" s="198"/>
      <c r="M510" s="79"/>
    </row>
    <row r="511" spans="4:13" s="77" customFormat="1" ht="16.5" customHeight="1">
      <c r="D511" s="260">
        <f t="shared" si="21"/>
        <v>0</v>
      </c>
      <c r="E511" s="78">
        <v>250908</v>
      </c>
      <c r="F511" s="76">
        <f>F68+F81</f>
        <v>3347492</v>
      </c>
      <c r="G511" s="76">
        <f>G68+G81</f>
        <v>305729</v>
      </c>
      <c r="H511" s="76">
        <f>H68+H81</f>
        <v>3653221</v>
      </c>
      <c r="I511" s="198"/>
      <c r="M511" s="79"/>
    </row>
    <row r="512" spans="4:13" s="77" customFormat="1" ht="16.5" customHeight="1">
      <c r="D512" s="260">
        <f t="shared" si="21"/>
        <v>0</v>
      </c>
      <c r="E512" s="78">
        <v>110000</v>
      </c>
      <c r="F512" s="76">
        <f>F131+F134+F136+F137+F139+F141+F144+F138+F135+F140+F133</f>
        <v>3660889</v>
      </c>
      <c r="G512" s="76">
        <f>G131+G134+G136+G137+G139+G141+G144+G138+G135+G140+G133</f>
        <v>10392061</v>
      </c>
      <c r="H512" s="76">
        <f>H131+H134+H136+H137+H139+H141+H144+H138+H135+H140+H133</f>
        <v>14052950</v>
      </c>
      <c r="I512" s="198">
        <v>70689</v>
      </c>
      <c r="J512" s="256">
        <f>G512-I512</f>
        <v>10321372</v>
      </c>
      <c r="M512" s="79"/>
    </row>
    <row r="513" spans="4:13" s="77" customFormat="1" ht="16.5" customHeight="1">
      <c r="D513" s="260">
        <f t="shared" si="21"/>
        <v>0</v>
      </c>
      <c r="E513" s="78">
        <v>240601</v>
      </c>
      <c r="F513" s="76">
        <f>F226+F66+F187+F203</f>
        <v>0</v>
      </c>
      <c r="G513" s="76">
        <f>G226+G66+G187+G203+G311+G382</f>
        <v>50806763</v>
      </c>
      <c r="H513" s="76">
        <f>H226+H66+H187+H203+H311+H382</f>
        <v>50806763</v>
      </c>
      <c r="I513" s="198"/>
      <c r="M513" s="79"/>
    </row>
    <row r="514" spans="4:13" s="77" customFormat="1" ht="16.5" customHeight="1">
      <c r="D514" s="260">
        <f t="shared" si="21"/>
        <v>0</v>
      </c>
      <c r="E514" s="78">
        <v>100208</v>
      </c>
      <c r="F514" s="76">
        <f>F176</f>
        <v>0</v>
      </c>
      <c r="G514" s="76">
        <f>G176</f>
        <v>28209242</v>
      </c>
      <c r="H514" s="76">
        <f>H176</f>
        <v>28209242</v>
      </c>
      <c r="I514" s="198"/>
      <c r="M514" s="79"/>
    </row>
    <row r="515" spans="4:13" s="77" customFormat="1" ht="16.5" customHeight="1">
      <c r="D515" s="260">
        <f t="shared" si="21"/>
        <v>0</v>
      </c>
      <c r="E515" s="78">
        <v>250380</v>
      </c>
      <c r="F515" s="76">
        <f>F266</f>
        <v>0</v>
      </c>
      <c r="G515" s="76">
        <f>G266</f>
        <v>6230491</v>
      </c>
      <c r="H515" s="76">
        <f>H266</f>
        <v>6230491</v>
      </c>
      <c r="I515" s="198"/>
      <c r="M515" s="79"/>
    </row>
    <row r="516" spans="5:13" s="77" customFormat="1" ht="23.25" customHeight="1">
      <c r="E516" s="107" t="s">
        <v>491</v>
      </c>
      <c r="F516" s="104">
        <f>SUM(F466:F515)</f>
        <v>1366284385</v>
      </c>
      <c r="G516" s="104">
        <f>SUM(G466:G515)</f>
        <v>1337035885</v>
      </c>
      <c r="H516" s="104">
        <f>SUM(H466:H515)</f>
        <v>2703320270</v>
      </c>
      <c r="I516" s="199">
        <f>SUM(I467:I515)</f>
        <v>3651997</v>
      </c>
      <c r="M516" s="79"/>
    </row>
    <row r="517" spans="5:13" s="77" customFormat="1" ht="20.25" customHeight="1">
      <c r="E517" s="78"/>
      <c r="F517" s="109">
        <f>F392-F516</f>
        <v>0</v>
      </c>
      <c r="G517" s="109">
        <f>G392-G516</f>
        <v>0</v>
      </c>
      <c r="H517" s="109">
        <f>H392-H516</f>
        <v>0</v>
      </c>
      <c r="I517" s="198"/>
      <c r="M517" s="79"/>
    </row>
    <row r="519" ht="15.75">
      <c r="F519" s="108">
        <f>455051610+11807249</f>
        <v>466858859</v>
      </c>
    </row>
    <row r="520" ht="15.75">
      <c r="F520" s="260"/>
    </row>
    <row r="521" ht="15.75">
      <c r="F521" s="260">
        <f>F506-F519</f>
        <v>0</v>
      </c>
    </row>
    <row r="522" ht="15.75">
      <c r="F522" s="260">
        <f>F506-F521</f>
        <v>466858859</v>
      </c>
    </row>
  </sheetData>
  <sheetProtection/>
  <autoFilter ref="A10:O392"/>
  <mergeCells count="236">
    <mergeCell ref="C273:C274"/>
    <mergeCell ref="B273:B274"/>
    <mergeCell ref="D75:D76"/>
    <mergeCell ref="C75:C76"/>
    <mergeCell ref="B75:B76"/>
    <mergeCell ref="B116:B117"/>
    <mergeCell ref="B101:B102"/>
    <mergeCell ref="D90:D91"/>
    <mergeCell ref="C151:C152"/>
    <mergeCell ref="E81:E82"/>
    <mergeCell ref="B341:B342"/>
    <mergeCell ref="C341:C342"/>
    <mergeCell ref="D341:D342"/>
    <mergeCell ref="D233:D236"/>
    <mergeCell ref="C233:C236"/>
    <mergeCell ref="D237:D240"/>
    <mergeCell ref="B289:B290"/>
    <mergeCell ref="C257:C258"/>
    <mergeCell ref="D242:D245"/>
    <mergeCell ref="B278:B285"/>
    <mergeCell ref="C242:C245"/>
    <mergeCell ref="C326:C329"/>
    <mergeCell ref="D326:D329"/>
    <mergeCell ref="D289:D290"/>
    <mergeCell ref="C289:C290"/>
    <mergeCell ref="D278:D285"/>
    <mergeCell ref="D323:D324"/>
    <mergeCell ref="D312:D319"/>
    <mergeCell ref="D273:D274"/>
    <mergeCell ref="C17:C23"/>
    <mergeCell ref="D17:D23"/>
    <mergeCell ref="B294:B300"/>
    <mergeCell ref="D266:D267"/>
    <mergeCell ref="B173:B175"/>
    <mergeCell ref="D95:D97"/>
    <mergeCell ref="C167:C169"/>
    <mergeCell ref="C49:C50"/>
    <mergeCell ref="D60:D61"/>
    <mergeCell ref="D114:D115"/>
    <mergeCell ref="D137:D138"/>
    <mergeCell ref="C137:C138"/>
    <mergeCell ref="C139:C141"/>
    <mergeCell ref="D109:D111"/>
    <mergeCell ref="D92:D93"/>
    <mergeCell ref="C101:C102"/>
    <mergeCell ref="C109:C111"/>
    <mergeCell ref="D25:D26"/>
    <mergeCell ref="C134:C136"/>
    <mergeCell ref="C60:C61"/>
    <mergeCell ref="D104:D105"/>
    <mergeCell ref="C104:C105"/>
    <mergeCell ref="D134:D136"/>
    <mergeCell ref="D27:D29"/>
    <mergeCell ref="C30:C33"/>
    <mergeCell ref="D116:D117"/>
    <mergeCell ref="D41:D42"/>
    <mergeCell ref="D34:D35"/>
    <mergeCell ref="C43:C44"/>
    <mergeCell ref="C34:C35"/>
    <mergeCell ref="C36:C39"/>
    <mergeCell ref="D88:D89"/>
    <mergeCell ref="C114:C115"/>
    <mergeCell ref="D43:D44"/>
    <mergeCell ref="D36:D39"/>
    <mergeCell ref="D85:D87"/>
    <mergeCell ref="D142:D143"/>
    <mergeCell ref="C116:C117"/>
    <mergeCell ref="D130:D132"/>
    <mergeCell ref="C130:C132"/>
    <mergeCell ref="D139:D141"/>
    <mergeCell ref="A196:A198"/>
    <mergeCell ref="A167:A169"/>
    <mergeCell ref="B167:B169"/>
    <mergeCell ref="A134:A136"/>
    <mergeCell ref="A156:A157"/>
    <mergeCell ref="B114:B115"/>
    <mergeCell ref="A131:A132"/>
    <mergeCell ref="B257:B258"/>
    <mergeCell ref="B237:B240"/>
    <mergeCell ref="B196:B198"/>
    <mergeCell ref="B233:B236"/>
    <mergeCell ref="A242:A245"/>
    <mergeCell ref="B188:B191"/>
    <mergeCell ref="A173:A174"/>
    <mergeCell ref="A266:A267"/>
    <mergeCell ref="B242:B245"/>
    <mergeCell ref="A237:A240"/>
    <mergeCell ref="D257:D258"/>
    <mergeCell ref="C312:C316"/>
    <mergeCell ref="C278:C285"/>
    <mergeCell ref="C306:C307"/>
    <mergeCell ref="D306:D307"/>
    <mergeCell ref="D294:D300"/>
    <mergeCell ref="C237:C240"/>
    <mergeCell ref="A374:A375"/>
    <mergeCell ref="D374:D375"/>
    <mergeCell ref="D359:D360"/>
    <mergeCell ref="B377:B378"/>
    <mergeCell ref="C377:C378"/>
    <mergeCell ref="D377:D378"/>
    <mergeCell ref="A383:A390"/>
    <mergeCell ref="B383:B390"/>
    <mergeCell ref="D347:D354"/>
    <mergeCell ref="A364:A371"/>
    <mergeCell ref="D364:D371"/>
    <mergeCell ref="A359:A360"/>
    <mergeCell ref="A377:A378"/>
    <mergeCell ref="D383:D390"/>
    <mergeCell ref="B347:B354"/>
    <mergeCell ref="C383:C390"/>
    <mergeCell ref="D330:D336"/>
    <mergeCell ref="B359:B360"/>
    <mergeCell ref="C359:C360"/>
    <mergeCell ref="B330:B336"/>
    <mergeCell ref="C343:C344"/>
    <mergeCell ref="B374:B375"/>
    <mergeCell ref="D343:D344"/>
    <mergeCell ref="C347:C354"/>
    <mergeCell ref="B364:B371"/>
    <mergeCell ref="C364:C368"/>
    <mergeCell ref="C323:C324"/>
    <mergeCell ref="C294:C299"/>
    <mergeCell ref="A347:A354"/>
    <mergeCell ref="A109:A111"/>
    <mergeCell ref="A116:A117"/>
    <mergeCell ref="B137:B138"/>
    <mergeCell ref="A144:A146"/>
    <mergeCell ref="B165:B166"/>
    <mergeCell ref="A188:A191"/>
    <mergeCell ref="A341:A342"/>
    <mergeCell ref="A6:H6"/>
    <mergeCell ref="A30:A33"/>
    <mergeCell ref="D30:D33"/>
    <mergeCell ref="C27:C29"/>
    <mergeCell ref="B27:B29"/>
    <mergeCell ref="A139:A141"/>
    <mergeCell ref="B139:B141"/>
    <mergeCell ref="E68:E69"/>
    <mergeCell ref="D49:D50"/>
    <mergeCell ref="A114:A115"/>
    <mergeCell ref="A41:A42"/>
    <mergeCell ref="A104:A105"/>
    <mergeCell ref="A142:A143"/>
    <mergeCell ref="A75:A76"/>
    <mergeCell ref="B90:B91"/>
    <mergeCell ref="A88:A89"/>
    <mergeCell ref="B60:B61"/>
    <mergeCell ref="B49:B50"/>
    <mergeCell ref="A60:A61"/>
    <mergeCell ref="B43:B44"/>
    <mergeCell ref="A85:A87"/>
    <mergeCell ref="A90:A91"/>
    <mergeCell ref="B85:B87"/>
    <mergeCell ref="B17:B23"/>
    <mergeCell ref="A27:A29"/>
    <mergeCell ref="B34:B35"/>
    <mergeCell ref="B30:B33"/>
    <mergeCell ref="A56:A57"/>
    <mergeCell ref="A43:A44"/>
    <mergeCell ref="A17:A23"/>
    <mergeCell ref="B41:B42"/>
    <mergeCell ref="B36:B39"/>
    <mergeCell ref="A36:A39"/>
    <mergeCell ref="C260:C261"/>
    <mergeCell ref="B88:B89"/>
    <mergeCell ref="D260:D261"/>
    <mergeCell ref="C85:C87"/>
    <mergeCell ref="B130:B132"/>
    <mergeCell ref="B109:B111"/>
    <mergeCell ref="B104:B105"/>
    <mergeCell ref="B134:B136"/>
    <mergeCell ref="A137:A138"/>
    <mergeCell ref="A161:A162"/>
    <mergeCell ref="B142:B143"/>
    <mergeCell ref="B171:B172"/>
    <mergeCell ref="B153:B154"/>
    <mergeCell ref="B151:B152"/>
    <mergeCell ref="B156:B157"/>
    <mergeCell ref="A171:A172"/>
    <mergeCell ref="A151:A152"/>
    <mergeCell ref="B161:B162"/>
    <mergeCell ref="D165:D166"/>
    <mergeCell ref="C153:C154"/>
    <mergeCell ref="D173:D175"/>
    <mergeCell ref="C165:C166"/>
    <mergeCell ref="D151:D152"/>
    <mergeCell ref="C156:C157"/>
    <mergeCell ref="D156:D157"/>
    <mergeCell ref="D153:D154"/>
    <mergeCell ref="D161:D162"/>
    <mergeCell ref="C173:C175"/>
    <mergeCell ref="A101:A102"/>
    <mergeCell ref="A95:A96"/>
    <mergeCell ref="C88:C89"/>
    <mergeCell ref="B95:B97"/>
    <mergeCell ref="A92:A93"/>
    <mergeCell ref="B92:B93"/>
    <mergeCell ref="C92:C93"/>
    <mergeCell ref="C90:C91"/>
    <mergeCell ref="C95:C97"/>
    <mergeCell ref="D167:D169"/>
    <mergeCell ref="D211:D214"/>
    <mergeCell ref="D171:D172"/>
    <mergeCell ref="C171:C172"/>
    <mergeCell ref="D188:D191"/>
    <mergeCell ref="C188:C191"/>
    <mergeCell ref="C196:C198"/>
    <mergeCell ref="D196:D198"/>
    <mergeCell ref="D177:D179"/>
    <mergeCell ref="D180:D181"/>
    <mergeCell ref="A294:A300"/>
    <mergeCell ref="B343:B344"/>
    <mergeCell ref="C330:C336"/>
    <mergeCell ref="B323:B324"/>
    <mergeCell ref="B312:B319"/>
    <mergeCell ref="B306:B307"/>
    <mergeCell ref="A306:A307"/>
    <mergeCell ref="A323:A324"/>
    <mergeCell ref="A343:A344"/>
    <mergeCell ref="A330:A336"/>
    <mergeCell ref="A211:A214"/>
    <mergeCell ref="A312:A319"/>
    <mergeCell ref="A233:A235"/>
    <mergeCell ref="C211:C214"/>
    <mergeCell ref="B211:B214"/>
    <mergeCell ref="A278:A285"/>
    <mergeCell ref="A289:A290"/>
    <mergeCell ref="B260:B261"/>
    <mergeCell ref="B266:B267"/>
    <mergeCell ref="A260:A261"/>
    <mergeCell ref="D199:D200"/>
    <mergeCell ref="C199:C200"/>
    <mergeCell ref="B199:B200"/>
    <mergeCell ref="B271:B272"/>
    <mergeCell ref="C271:C272"/>
    <mergeCell ref="D271:D272"/>
  </mergeCells>
  <printOptions/>
  <pageMargins left="1.1811023622047245" right="0.3937007874015748" top="1.1811023622047245" bottom="0.7874015748031497" header="0.1968503937007874" footer="0.1968503937007874"/>
  <pageSetup fitToHeight="26" horizontalDpi="600" verticalDpi="600" orientation="landscape" paperSize="9" scale="60" r:id="rId1"/>
  <headerFooter differentFirst="1" alignWithMargins="0">
    <oddHeader>&amp;C&amp;P</oddHeader>
  </headerFooter>
  <rowBreaks count="4" manualBreakCount="4">
    <brk id="42" max="7" man="1"/>
    <brk id="115" max="7" man="1"/>
    <brk id="150" max="7" man="1"/>
    <brk id="270"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212</v>
      </c>
      <c r="G1" s="13"/>
    </row>
    <row r="2" spans="5:7" ht="28.5" customHeight="1">
      <c r="E2" s="14" t="s">
        <v>213</v>
      </c>
      <c r="G2" s="13"/>
    </row>
    <row r="3" spans="3:7" ht="39.75" customHeight="1">
      <c r="C3" s="8"/>
      <c r="E3" s="14" t="s">
        <v>357</v>
      </c>
      <c r="G3" s="13"/>
    </row>
    <row r="5" spans="1:10" s="6" customFormat="1" ht="28.5" customHeight="1">
      <c r="A5" s="425" t="s">
        <v>387</v>
      </c>
      <c r="B5" s="425"/>
      <c r="C5" s="425"/>
      <c r="D5" s="425"/>
      <c r="E5" s="425"/>
      <c r="F5" s="425"/>
      <c r="G5" s="425"/>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423" t="s">
        <v>40</v>
      </c>
      <c r="C8" s="423" t="s">
        <v>64</v>
      </c>
      <c r="D8" s="423"/>
      <c r="E8" s="423" t="s">
        <v>67</v>
      </c>
      <c r="F8" s="423"/>
      <c r="G8" s="4" t="s">
        <v>68</v>
      </c>
      <c r="H8" s="426" t="s">
        <v>12</v>
      </c>
    </row>
    <row r="9" spans="1:8" s="2" customFormat="1" ht="57.75" customHeight="1">
      <c r="A9" s="64" t="s">
        <v>39</v>
      </c>
      <c r="B9" s="423"/>
      <c r="C9" s="4" t="s">
        <v>65</v>
      </c>
      <c r="D9" s="4" t="s">
        <v>66</v>
      </c>
      <c r="E9" s="4" t="s">
        <v>65</v>
      </c>
      <c r="F9" s="4" t="s">
        <v>66</v>
      </c>
      <c r="G9" s="4" t="s">
        <v>66</v>
      </c>
      <c r="H9" s="427"/>
    </row>
    <row r="10" spans="1:8" s="2" customFormat="1" ht="16.5" customHeight="1">
      <c r="A10" s="4">
        <v>1</v>
      </c>
      <c r="B10" s="4">
        <v>2</v>
      </c>
      <c r="C10" s="4">
        <v>3</v>
      </c>
      <c r="D10" s="4">
        <v>4</v>
      </c>
      <c r="E10" s="4">
        <v>5</v>
      </c>
      <c r="F10" s="4">
        <v>6</v>
      </c>
      <c r="G10" s="4">
        <v>7</v>
      </c>
      <c r="H10" s="4"/>
    </row>
    <row r="11" spans="1:9" s="2" customFormat="1" ht="31.5" hidden="1">
      <c r="A11" s="22" t="s">
        <v>148</v>
      </c>
      <c r="B11" s="23" t="s">
        <v>42</v>
      </c>
      <c r="C11" s="4"/>
      <c r="D11" s="24">
        <f>D13+D14+D23+D24+D26+D28+D29+D30</f>
        <v>4344270</v>
      </c>
      <c r="E11" s="4"/>
      <c r="F11" s="28">
        <f>F12+F15+F16+F20+F21+F23+F24+F26+F28+F29+F30+F14</f>
        <v>910383</v>
      </c>
      <c r="G11" s="28">
        <f>D11+F11</f>
        <v>5254653</v>
      </c>
      <c r="H11" s="71"/>
      <c r="I11" s="46"/>
    </row>
    <row r="12" spans="1:9" s="20" customFormat="1" ht="31.5" hidden="1">
      <c r="A12" s="424" t="s">
        <v>180</v>
      </c>
      <c r="B12" s="423" t="s">
        <v>181</v>
      </c>
      <c r="C12" s="4"/>
      <c r="D12" s="17"/>
      <c r="E12" s="4" t="s">
        <v>448</v>
      </c>
      <c r="F12" s="19">
        <v>253199</v>
      </c>
      <c r="G12" s="19">
        <f>D12+F12</f>
        <v>253199</v>
      </c>
      <c r="H12" s="4"/>
      <c r="I12" s="46"/>
    </row>
    <row r="13" spans="1:9" s="20" customFormat="1" ht="68.25" customHeight="1" hidden="1">
      <c r="A13" s="424"/>
      <c r="B13" s="423"/>
      <c r="C13" s="4" t="s">
        <v>417</v>
      </c>
      <c r="D13" s="17">
        <v>1315</v>
      </c>
      <c r="E13" s="4"/>
      <c r="F13" s="19"/>
      <c r="G13" s="19">
        <f aca="true" t="shared" si="0" ref="G13:G31">D13+F13</f>
        <v>1315</v>
      </c>
      <c r="H13" s="4"/>
      <c r="I13" s="46"/>
    </row>
    <row r="14" spans="1:9" s="20" customFormat="1" ht="51" customHeight="1" hidden="1">
      <c r="A14" s="424" t="s">
        <v>82</v>
      </c>
      <c r="B14" s="423" t="s">
        <v>108</v>
      </c>
      <c r="C14" s="4" t="s">
        <v>10</v>
      </c>
      <c r="D14" s="17">
        <v>480000</v>
      </c>
      <c r="E14" s="4"/>
      <c r="F14" s="9"/>
      <c r="G14" s="19">
        <f t="shared" si="0"/>
        <v>480000</v>
      </c>
      <c r="H14" s="4"/>
      <c r="I14" s="46"/>
    </row>
    <row r="15" spans="1:9" s="20" customFormat="1" ht="47.25" hidden="1">
      <c r="A15" s="424"/>
      <c r="B15" s="423"/>
      <c r="C15" s="4"/>
      <c r="D15" s="17"/>
      <c r="E15" s="35" t="s">
        <v>7</v>
      </c>
      <c r="F15" s="36">
        <v>41424</v>
      </c>
      <c r="G15" s="59">
        <f t="shared" si="0"/>
        <v>41424</v>
      </c>
      <c r="H15" s="4"/>
      <c r="I15" s="46"/>
    </row>
    <row r="16" spans="1:9" s="20" customFormat="1" ht="52.5" customHeight="1" hidden="1">
      <c r="A16" s="424" t="s">
        <v>88</v>
      </c>
      <c r="B16" s="423" t="s">
        <v>89</v>
      </c>
      <c r="C16" s="423"/>
      <c r="D16" s="17"/>
      <c r="E16" s="4" t="s">
        <v>441</v>
      </c>
      <c r="F16" s="19">
        <v>415760</v>
      </c>
      <c r="G16" s="19">
        <f t="shared" si="0"/>
        <v>415760</v>
      </c>
      <c r="H16" s="4"/>
      <c r="I16" s="46"/>
    </row>
    <row r="17" spans="1:9" s="20" customFormat="1" ht="44.25" customHeight="1" hidden="1">
      <c r="A17" s="424"/>
      <c r="B17" s="423"/>
      <c r="C17" s="423"/>
      <c r="D17" s="5"/>
      <c r="E17" s="4" t="s">
        <v>143</v>
      </c>
      <c r="F17" s="9"/>
      <c r="G17" s="19">
        <f t="shared" si="0"/>
        <v>0</v>
      </c>
      <c r="H17" s="4"/>
      <c r="I17" s="46"/>
    </row>
    <row r="18" spans="1:9" s="20" customFormat="1" ht="47.25" customHeight="1" hidden="1">
      <c r="A18" s="424"/>
      <c r="B18" s="423"/>
      <c r="C18" s="423"/>
      <c r="D18" s="5"/>
      <c r="E18" s="4" t="s">
        <v>142</v>
      </c>
      <c r="F18" s="19">
        <v>0</v>
      </c>
      <c r="G18" s="19">
        <f t="shared" si="0"/>
        <v>0</v>
      </c>
      <c r="H18" s="4"/>
      <c r="I18" s="46"/>
    </row>
    <row r="19" spans="1:9" s="20" customFormat="1" ht="15.75" hidden="1">
      <c r="A19" s="424"/>
      <c r="B19" s="423"/>
      <c r="C19" s="423"/>
      <c r="D19" s="5"/>
      <c r="E19" s="4"/>
      <c r="F19" s="19">
        <v>0</v>
      </c>
      <c r="G19" s="19">
        <f t="shared" si="0"/>
        <v>0</v>
      </c>
      <c r="H19" s="4"/>
      <c r="I19" s="46"/>
    </row>
    <row r="20" spans="1:9" s="20" customFormat="1" ht="222" customHeight="1" hidden="1">
      <c r="A20" s="18" t="s">
        <v>229</v>
      </c>
      <c r="B20" s="40" t="s">
        <v>230</v>
      </c>
      <c r="C20" s="4"/>
      <c r="D20" s="5"/>
      <c r="E20" s="4" t="s">
        <v>272</v>
      </c>
      <c r="F20" s="19"/>
      <c r="G20" s="19">
        <f t="shared" si="0"/>
        <v>0</v>
      </c>
      <c r="H20" s="4"/>
      <c r="I20" s="46"/>
    </row>
    <row r="21" spans="1:9" s="20" customFormat="1" ht="46.5" customHeight="1" hidden="1">
      <c r="A21" s="26">
        <v>240900</v>
      </c>
      <c r="B21" s="4" t="s">
        <v>109</v>
      </c>
      <c r="C21" s="16"/>
      <c r="D21" s="15"/>
      <c r="E21" s="4" t="s">
        <v>407</v>
      </c>
      <c r="F21" s="19">
        <v>200000</v>
      </c>
      <c r="G21" s="19">
        <f t="shared" si="0"/>
        <v>200000</v>
      </c>
      <c r="H21" s="4"/>
      <c r="I21" s="46"/>
    </row>
    <row r="22" spans="1:9" s="20" customFormat="1" ht="75" customHeight="1" hidden="1">
      <c r="A22" s="26">
        <v>250203</v>
      </c>
      <c r="B22" s="4" t="s">
        <v>207</v>
      </c>
      <c r="C22" s="4"/>
      <c r="D22" s="21">
        <v>0</v>
      </c>
      <c r="E22" s="4"/>
      <c r="F22" s="9"/>
      <c r="G22" s="19">
        <f t="shared" si="0"/>
        <v>0</v>
      </c>
      <c r="H22" s="4"/>
      <c r="I22" s="46"/>
    </row>
    <row r="23" spans="1:9" s="20" customFormat="1" ht="78.75" hidden="1">
      <c r="A23" s="422">
        <v>250404</v>
      </c>
      <c r="B23" s="423" t="s">
        <v>96</v>
      </c>
      <c r="C23" s="4" t="s">
        <v>411</v>
      </c>
      <c r="D23" s="21">
        <v>304955</v>
      </c>
      <c r="E23" s="9"/>
      <c r="F23" s="12"/>
      <c r="G23" s="19">
        <f t="shared" si="0"/>
        <v>304955</v>
      </c>
      <c r="H23" s="4"/>
      <c r="I23" s="46"/>
    </row>
    <row r="24" spans="1:9" s="20" customFormat="1" ht="47.25" hidden="1">
      <c r="A24" s="422"/>
      <c r="B24" s="423"/>
      <c r="C24" s="4" t="s">
        <v>410</v>
      </c>
      <c r="D24" s="17">
        <v>209200</v>
      </c>
      <c r="E24" s="4"/>
      <c r="F24" s="19">
        <v>0</v>
      </c>
      <c r="G24" s="19">
        <f t="shared" si="0"/>
        <v>209200</v>
      </c>
      <c r="H24" s="4"/>
      <c r="I24" s="46"/>
    </row>
    <row r="25" spans="1:9" s="20" customFormat="1" ht="32.25" customHeight="1" hidden="1">
      <c r="A25" s="422"/>
      <c r="B25" s="423"/>
      <c r="C25" s="4" t="s">
        <v>144</v>
      </c>
      <c r="D25" s="17">
        <v>120000</v>
      </c>
      <c r="E25" s="4" t="s">
        <v>144</v>
      </c>
      <c r="F25" s="19">
        <v>0</v>
      </c>
      <c r="G25" s="19">
        <f t="shared" si="0"/>
        <v>120000</v>
      </c>
      <c r="H25" s="4"/>
      <c r="I25" s="46"/>
    </row>
    <row r="26" spans="1:9" s="20" customFormat="1" ht="65.25" customHeight="1" hidden="1">
      <c r="A26" s="422"/>
      <c r="B26" s="423"/>
      <c r="C26" s="4" t="s">
        <v>405</v>
      </c>
      <c r="D26" s="17">
        <v>3348800</v>
      </c>
      <c r="E26" s="4"/>
      <c r="F26" s="19">
        <v>0</v>
      </c>
      <c r="G26" s="19">
        <f t="shared" si="0"/>
        <v>3348800</v>
      </c>
      <c r="H26" s="4"/>
      <c r="I26" s="46"/>
    </row>
    <row r="27" spans="1:9" s="20" customFormat="1" ht="38.25" customHeight="1" hidden="1">
      <c r="A27" s="422"/>
      <c r="B27" s="423"/>
      <c r="C27" s="4" t="s">
        <v>211</v>
      </c>
      <c r="D27" s="17">
        <v>0</v>
      </c>
      <c r="E27" s="4"/>
      <c r="F27" s="19"/>
      <c r="G27" s="19">
        <f t="shared" si="0"/>
        <v>0</v>
      </c>
      <c r="H27" s="4"/>
      <c r="I27" s="46"/>
    </row>
    <row r="28" spans="1:9" s="20" customFormat="1" ht="46.5" customHeight="1" hidden="1">
      <c r="A28" s="422"/>
      <c r="B28" s="423"/>
      <c r="C28" s="35" t="s">
        <v>282</v>
      </c>
      <c r="D28" s="38">
        <v>0</v>
      </c>
      <c r="E28" s="35"/>
      <c r="F28" s="36"/>
      <c r="G28" s="59">
        <f t="shared" si="0"/>
        <v>0</v>
      </c>
      <c r="H28" s="4"/>
      <c r="I28" s="46"/>
    </row>
    <row r="29" spans="1:9" s="20" customFormat="1" ht="62.25" customHeight="1" hidden="1">
      <c r="A29" s="422"/>
      <c r="B29" s="423"/>
      <c r="C29" s="4" t="s">
        <v>364</v>
      </c>
      <c r="D29" s="17"/>
      <c r="E29" s="35"/>
      <c r="F29" s="36"/>
      <c r="G29" s="19">
        <f t="shared" si="0"/>
        <v>0</v>
      </c>
      <c r="H29" s="4"/>
      <c r="I29" s="46"/>
    </row>
    <row r="30" spans="1:9" s="20" customFormat="1" ht="63" hidden="1">
      <c r="A30" s="422"/>
      <c r="B30" s="423"/>
      <c r="C30" s="4" t="s">
        <v>272</v>
      </c>
      <c r="D30" s="17"/>
      <c r="E30" s="4"/>
      <c r="F30" s="19"/>
      <c r="G30" s="19">
        <f t="shared" si="0"/>
        <v>0</v>
      </c>
      <c r="H30" s="4"/>
      <c r="I30" s="46"/>
    </row>
    <row r="31" spans="1:9" s="20" customFormat="1" ht="47.25">
      <c r="A31" s="22" t="s">
        <v>156</v>
      </c>
      <c r="B31" s="23" t="s">
        <v>53</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180</v>
      </c>
      <c r="B32" s="4" t="s">
        <v>181</v>
      </c>
      <c r="C32" s="4" t="s">
        <v>205</v>
      </c>
      <c r="D32" s="17"/>
      <c r="E32" s="4"/>
      <c r="F32" s="19"/>
      <c r="G32" s="9">
        <v>0</v>
      </c>
      <c r="H32" s="4"/>
      <c r="I32" s="46"/>
    </row>
    <row r="33" spans="1:9" s="20" customFormat="1" ht="66" customHeight="1" hidden="1">
      <c r="A33" s="18" t="s">
        <v>180</v>
      </c>
      <c r="B33" s="4" t="s">
        <v>181</v>
      </c>
      <c r="C33" s="4" t="s">
        <v>417</v>
      </c>
      <c r="D33" s="17">
        <v>885</v>
      </c>
      <c r="E33" s="4" t="s">
        <v>448</v>
      </c>
      <c r="F33" s="19">
        <v>14000</v>
      </c>
      <c r="G33" s="19">
        <f>D33+F33</f>
        <v>14885</v>
      </c>
      <c r="H33" s="4"/>
      <c r="I33" s="46"/>
    </row>
    <row r="34" spans="1:9" s="20" customFormat="1" ht="33" customHeight="1">
      <c r="A34" s="424" t="s">
        <v>71</v>
      </c>
      <c r="B34" s="423" t="s">
        <v>111</v>
      </c>
      <c r="C34" s="4" t="s">
        <v>480</v>
      </c>
      <c r="D34" s="17">
        <v>4567066</v>
      </c>
      <c r="E34" s="4" t="s">
        <v>461</v>
      </c>
      <c r="F34" s="19">
        <f>3158108-F35</f>
        <v>2760193</v>
      </c>
      <c r="G34" s="19">
        <f>D34+F34</f>
        <v>7327259</v>
      </c>
      <c r="H34" s="71" t="s">
        <v>13</v>
      </c>
      <c r="I34" s="46"/>
    </row>
    <row r="35" spans="1:9" s="20" customFormat="1" ht="47.25" hidden="1">
      <c r="A35" s="424"/>
      <c r="B35" s="423"/>
      <c r="C35" s="35" t="s">
        <v>7</v>
      </c>
      <c r="D35" s="38">
        <v>24450</v>
      </c>
      <c r="E35" s="35" t="s">
        <v>7</v>
      </c>
      <c r="F35" s="36">
        <v>397915</v>
      </c>
      <c r="G35" s="19">
        <f>D35+F35</f>
        <v>422365</v>
      </c>
      <c r="H35" s="4"/>
      <c r="I35" s="46"/>
    </row>
    <row r="36" spans="1:9" s="20" customFormat="1" ht="71.25" customHeight="1" hidden="1">
      <c r="A36" s="424"/>
      <c r="B36" s="423"/>
      <c r="C36" s="4" t="s">
        <v>417</v>
      </c>
      <c r="D36" s="17">
        <v>209486</v>
      </c>
      <c r="E36" s="35"/>
      <c r="F36" s="36"/>
      <c r="G36" s="19">
        <f>D36+F36</f>
        <v>209486</v>
      </c>
      <c r="H36" s="4"/>
      <c r="I36" s="46"/>
    </row>
    <row r="37" spans="1:9" s="20" customFormat="1" ht="35.25" customHeight="1">
      <c r="A37" s="424" t="s">
        <v>72</v>
      </c>
      <c r="B37" s="424" t="s">
        <v>112</v>
      </c>
      <c r="C37" s="4" t="s">
        <v>480</v>
      </c>
      <c r="D37" s="17">
        <v>6523141</v>
      </c>
      <c r="E37" s="4" t="s">
        <v>461</v>
      </c>
      <c r="F37" s="19">
        <f>5369916-F41</f>
        <v>3882915</v>
      </c>
      <c r="G37" s="19">
        <f>D37+F37</f>
        <v>10406056</v>
      </c>
      <c r="H37" s="71">
        <v>127071</v>
      </c>
      <c r="I37" s="46"/>
    </row>
    <row r="38" spans="1:9" s="20" customFormat="1" ht="32.25" customHeight="1" hidden="1">
      <c r="A38" s="424"/>
      <c r="B38" s="424"/>
      <c r="C38" s="4" t="s">
        <v>245</v>
      </c>
      <c r="D38" s="17"/>
      <c r="E38" s="4" t="s">
        <v>245</v>
      </c>
      <c r="F38" s="19"/>
      <c r="G38" s="19">
        <f aca="true" t="shared" si="1" ref="G38:G48">D38+F38</f>
        <v>0</v>
      </c>
      <c r="H38" s="4"/>
      <c r="I38" s="46"/>
    </row>
    <row r="39" spans="1:9" s="20" customFormat="1" ht="66" customHeight="1" hidden="1">
      <c r="A39" s="424"/>
      <c r="B39" s="424"/>
      <c r="C39" s="4" t="s">
        <v>245</v>
      </c>
      <c r="D39" s="17"/>
      <c r="E39" s="4" t="s">
        <v>245</v>
      </c>
      <c r="F39" s="19"/>
      <c r="G39" s="19">
        <f t="shared" si="1"/>
        <v>0</v>
      </c>
      <c r="H39" s="4"/>
      <c r="I39" s="46"/>
    </row>
    <row r="40" spans="1:9" s="20" customFormat="1" ht="35.25" customHeight="1">
      <c r="A40" s="424"/>
      <c r="B40" s="424"/>
      <c r="C40" s="4" t="s">
        <v>481</v>
      </c>
      <c r="D40" s="17">
        <v>522962</v>
      </c>
      <c r="E40" s="4" t="s">
        <v>481</v>
      </c>
      <c r="F40" s="19">
        <v>127071</v>
      </c>
      <c r="G40" s="19">
        <f t="shared" si="1"/>
        <v>650033</v>
      </c>
      <c r="H40" s="4" t="s">
        <v>13</v>
      </c>
      <c r="I40" s="46"/>
    </row>
    <row r="41" spans="1:9" s="20" customFormat="1" ht="47.25" hidden="1">
      <c r="A41" s="424"/>
      <c r="B41" s="424"/>
      <c r="C41" s="35" t="s">
        <v>7</v>
      </c>
      <c r="D41" s="38">
        <v>99122</v>
      </c>
      <c r="E41" s="35" t="s">
        <v>7</v>
      </c>
      <c r="F41" s="36">
        <v>1487001</v>
      </c>
      <c r="G41" s="19">
        <f>D41+F41</f>
        <v>1586123</v>
      </c>
      <c r="H41" s="4"/>
      <c r="I41" s="46"/>
    </row>
    <row r="42" spans="1:9" s="20" customFormat="1" ht="66" customHeight="1" hidden="1">
      <c r="A42" s="424"/>
      <c r="B42" s="424"/>
      <c r="C42" s="4" t="s">
        <v>417</v>
      </c>
      <c r="D42" s="17">
        <v>322041</v>
      </c>
      <c r="E42" s="35"/>
      <c r="F42" s="36"/>
      <c r="G42" s="19">
        <f t="shared" si="1"/>
        <v>322041</v>
      </c>
      <c r="H42" s="4"/>
      <c r="I42" s="46"/>
    </row>
    <row r="43" spans="1:9" s="20" customFormat="1" ht="35.25" customHeight="1">
      <c r="A43" s="424" t="s">
        <v>73</v>
      </c>
      <c r="B43" s="423" t="s">
        <v>113</v>
      </c>
      <c r="C43" s="4" t="s">
        <v>480</v>
      </c>
      <c r="D43" s="17">
        <v>1636</v>
      </c>
      <c r="E43" s="4" t="s">
        <v>461</v>
      </c>
      <c r="F43" s="19">
        <f>14800-F45</f>
        <v>0</v>
      </c>
      <c r="G43" s="19">
        <f t="shared" si="1"/>
        <v>1636</v>
      </c>
      <c r="H43" s="4"/>
      <c r="I43" s="46"/>
    </row>
    <row r="44" spans="1:9" s="20" customFormat="1" ht="70.5" customHeight="1" hidden="1">
      <c r="A44" s="424"/>
      <c r="B44" s="423"/>
      <c r="C44" s="4" t="s">
        <v>417</v>
      </c>
      <c r="D44" s="17">
        <v>5234</v>
      </c>
      <c r="E44" s="4"/>
      <c r="F44" s="19"/>
      <c r="G44" s="19">
        <f t="shared" si="1"/>
        <v>5234</v>
      </c>
      <c r="H44" s="4"/>
      <c r="I44" s="46"/>
    </row>
    <row r="45" spans="1:9" s="20" customFormat="1" ht="47.25" hidden="1">
      <c r="A45" s="424"/>
      <c r="B45" s="423"/>
      <c r="C45" s="4"/>
      <c r="D45" s="17"/>
      <c r="E45" s="35" t="s">
        <v>7</v>
      </c>
      <c r="F45" s="36">
        <v>14800</v>
      </c>
      <c r="G45" s="19">
        <f t="shared" si="1"/>
        <v>14800</v>
      </c>
      <c r="H45" s="71"/>
      <c r="I45" s="46"/>
    </row>
    <row r="46" spans="1:9" s="20" customFormat="1" ht="39" customHeight="1">
      <c r="A46" s="424" t="s">
        <v>30</v>
      </c>
      <c r="B46" s="423" t="s">
        <v>31</v>
      </c>
      <c r="C46" s="4" t="s">
        <v>482</v>
      </c>
      <c r="D46" s="17">
        <v>29827597</v>
      </c>
      <c r="E46" s="4" t="s">
        <v>462</v>
      </c>
      <c r="F46" s="19">
        <f>151878+393294-F49</f>
        <v>511523</v>
      </c>
      <c r="G46" s="19">
        <f t="shared" si="1"/>
        <v>30339120</v>
      </c>
      <c r="H46" s="4">
        <v>393294</v>
      </c>
      <c r="I46" s="46"/>
    </row>
    <row r="47" spans="1:9" s="20" customFormat="1" ht="46.5" customHeight="1" hidden="1">
      <c r="A47" s="424"/>
      <c r="B47" s="423"/>
      <c r="C47" s="4" t="s">
        <v>355</v>
      </c>
      <c r="D47" s="17">
        <v>0</v>
      </c>
      <c r="E47" s="4" t="s">
        <v>355</v>
      </c>
      <c r="F47" s="19">
        <v>0</v>
      </c>
      <c r="G47" s="19">
        <f t="shared" si="1"/>
        <v>0</v>
      </c>
      <c r="H47" s="4"/>
      <c r="I47" s="46"/>
    </row>
    <row r="48" spans="1:9" s="20" customFormat="1" ht="51.75" customHeight="1" hidden="1">
      <c r="A48" s="424"/>
      <c r="B48" s="423"/>
      <c r="C48" s="4"/>
      <c r="D48" s="21">
        <v>0</v>
      </c>
      <c r="E48" s="26"/>
      <c r="F48" s="16"/>
      <c r="G48" s="19">
        <f t="shared" si="1"/>
        <v>0</v>
      </c>
      <c r="H48" s="4"/>
      <c r="I48" s="46"/>
    </row>
    <row r="49" spans="1:9" s="20" customFormat="1" ht="47.25" hidden="1">
      <c r="A49" s="424"/>
      <c r="B49" s="423"/>
      <c r="C49" s="35" t="s">
        <v>7</v>
      </c>
      <c r="D49" s="36">
        <v>5000</v>
      </c>
      <c r="E49" s="35" t="s">
        <v>7</v>
      </c>
      <c r="F49" s="36">
        <v>33649</v>
      </c>
      <c r="G49" s="19">
        <f>D49+F49</f>
        <v>38649</v>
      </c>
      <c r="H49" s="4"/>
      <c r="I49" s="46"/>
    </row>
    <row r="50" spans="1:9" s="20" customFormat="1" ht="66.75" customHeight="1" hidden="1">
      <c r="A50" s="424"/>
      <c r="B50" s="423"/>
      <c r="C50" s="4" t="s">
        <v>417</v>
      </c>
      <c r="D50" s="19">
        <v>38395</v>
      </c>
      <c r="E50" s="35"/>
      <c r="F50" s="36"/>
      <c r="G50" s="19">
        <f aca="true" t="shared" si="2" ref="G50:G70">D50+F50</f>
        <v>38395</v>
      </c>
      <c r="H50" s="4"/>
      <c r="I50" s="46"/>
    </row>
    <row r="51" spans="1:9" s="20" customFormat="1" ht="63.75" customHeight="1" hidden="1">
      <c r="A51" s="18" t="s">
        <v>326</v>
      </c>
      <c r="B51" s="4" t="s">
        <v>325</v>
      </c>
      <c r="C51" s="4" t="s">
        <v>417</v>
      </c>
      <c r="D51" s="19">
        <v>2108</v>
      </c>
      <c r="E51" s="35"/>
      <c r="F51" s="36"/>
      <c r="G51" s="19">
        <f t="shared" si="2"/>
        <v>2108</v>
      </c>
      <c r="H51" s="4"/>
      <c r="I51" s="46"/>
    </row>
    <row r="52" spans="1:9" s="20" customFormat="1" ht="48" customHeight="1">
      <c r="A52" s="428" t="s">
        <v>419</v>
      </c>
      <c r="B52" s="426" t="s">
        <v>451</v>
      </c>
      <c r="C52" s="4" t="s">
        <v>480</v>
      </c>
      <c r="D52" s="19">
        <v>30000</v>
      </c>
      <c r="E52" s="4" t="s">
        <v>461</v>
      </c>
      <c r="F52" s="19">
        <v>400000</v>
      </c>
      <c r="G52" s="19">
        <f>D52+F52</f>
        <v>430000</v>
      </c>
      <c r="H52" s="4" t="s">
        <v>13</v>
      </c>
      <c r="I52" s="46"/>
    </row>
    <row r="53" spans="1:9" s="20" customFormat="1" ht="63.75" customHeight="1" hidden="1">
      <c r="A53" s="429"/>
      <c r="B53" s="427"/>
      <c r="C53" s="4" t="s">
        <v>417</v>
      </c>
      <c r="D53" s="19">
        <v>1684</v>
      </c>
      <c r="E53" s="4"/>
      <c r="F53" s="19"/>
      <c r="G53" s="19">
        <f>D53+F53</f>
        <v>1684</v>
      </c>
      <c r="H53" s="4"/>
      <c r="I53" s="46"/>
    </row>
    <row r="54" spans="1:9" s="51" customFormat="1" ht="37.5" customHeight="1">
      <c r="A54" s="428" t="s">
        <v>333</v>
      </c>
      <c r="B54" s="426" t="s">
        <v>334</v>
      </c>
      <c r="C54" s="4" t="s">
        <v>480</v>
      </c>
      <c r="D54" s="19">
        <v>60000</v>
      </c>
      <c r="E54" s="4" t="s">
        <v>461</v>
      </c>
      <c r="F54" s="19">
        <v>94430</v>
      </c>
      <c r="G54" s="19">
        <f t="shared" si="2"/>
        <v>154430</v>
      </c>
      <c r="H54" s="71" t="s">
        <v>13</v>
      </c>
      <c r="I54" s="52"/>
    </row>
    <row r="55" spans="1:9" s="51" customFormat="1" ht="46.5" customHeight="1" hidden="1">
      <c r="A55" s="429"/>
      <c r="B55" s="427"/>
      <c r="C55" s="4" t="s">
        <v>417</v>
      </c>
      <c r="D55" s="19">
        <v>10998</v>
      </c>
      <c r="E55" s="4"/>
      <c r="F55" s="19"/>
      <c r="G55" s="19">
        <f>D55</f>
        <v>10998</v>
      </c>
      <c r="H55" s="71"/>
      <c r="I55" s="52"/>
    </row>
    <row r="56" spans="1:9" s="20" customFormat="1" ht="60.75" customHeight="1" hidden="1">
      <c r="A56" s="18" t="s">
        <v>327</v>
      </c>
      <c r="B56" s="4" t="s">
        <v>328</v>
      </c>
      <c r="C56" s="4" t="s">
        <v>417</v>
      </c>
      <c r="D56" s="19">
        <v>8769</v>
      </c>
      <c r="E56" s="35"/>
      <c r="F56" s="36"/>
      <c r="G56" s="19">
        <f t="shared" si="2"/>
        <v>8769</v>
      </c>
      <c r="H56" s="4"/>
      <c r="I56" s="46"/>
    </row>
    <row r="57" spans="1:9" s="20" customFormat="1" ht="47.25" hidden="1">
      <c r="A57" s="25" t="s">
        <v>85</v>
      </c>
      <c r="B57" s="4" t="s">
        <v>32</v>
      </c>
      <c r="C57" s="4" t="s">
        <v>485</v>
      </c>
      <c r="D57" s="21">
        <v>463467</v>
      </c>
      <c r="E57" s="4"/>
      <c r="F57" s="16"/>
      <c r="G57" s="19">
        <f t="shared" si="2"/>
        <v>463467</v>
      </c>
      <c r="H57" s="4"/>
      <c r="I57" s="46"/>
    </row>
    <row r="58" spans="1:9" s="20" customFormat="1" ht="95.25" customHeight="1" hidden="1">
      <c r="A58" s="18" t="s">
        <v>74</v>
      </c>
      <c r="B58" s="4" t="s">
        <v>107</v>
      </c>
      <c r="C58" s="4" t="s">
        <v>483</v>
      </c>
      <c r="D58" s="17">
        <v>4377290</v>
      </c>
      <c r="E58" s="4"/>
      <c r="F58" s="9"/>
      <c r="G58" s="19">
        <f t="shared" si="2"/>
        <v>4377290</v>
      </c>
      <c r="H58" s="4"/>
      <c r="I58" s="46"/>
    </row>
    <row r="59" spans="1:9" s="20" customFormat="1" ht="35.25" customHeight="1" hidden="1">
      <c r="A59" s="18" t="s">
        <v>172</v>
      </c>
      <c r="B59" s="4" t="s">
        <v>173</v>
      </c>
      <c r="C59" s="4" t="s">
        <v>484</v>
      </c>
      <c r="D59" s="17">
        <v>199559</v>
      </c>
      <c r="E59" s="4"/>
      <c r="F59" s="9"/>
      <c r="G59" s="19">
        <f t="shared" si="2"/>
        <v>199559</v>
      </c>
      <c r="H59" s="4"/>
      <c r="I59" s="46"/>
    </row>
    <row r="60" spans="1:9" s="20" customFormat="1" ht="47.25" hidden="1">
      <c r="A60" s="18" t="s">
        <v>256</v>
      </c>
      <c r="B60" s="4" t="s">
        <v>257</v>
      </c>
      <c r="C60" s="4" t="s">
        <v>484</v>
      </c>
      <c r="D60" s="17">
        <v>99067</v>
      </c>
      <c r="E60" s="4"/>
      <c r="F60" s="19"/>
      <c r="G60" s="19">
        <f t="shared" si="2"/>
        <v>99067</v>
      </c>
      <c r="H60" s="4"/>
      <c r="I60" s="46"/>
    </row>
    <row r="61" spans="1:9" s="20" customFormat="1" ht="31.5" customHeight="1">
      <c r="A61" s="424" t="s">
        <v>114</v>
      </c>
      <c r="B61" s="423" t="s">
        <v>206</v>
      </c>
      <c r="C61" s="4" t="s">
        <v>484</v>
      </c>
      <c r="D61" s="17">
        <v>447580</v>
      </c>
      <c r="E61" s="4" t="s">
        <v>463</v>
      </c>
      <c r="F61" s="19">
        <f>39500-F62</f>
        <v>0</v>
      </c>
      <c r="G61" s="19">
        <f t="shared" si="2"/>
        <v>447580</v>
      </c>
      <c r="H61" s="4" t="s">
        <v>13</v>
      </c>
      <c r="I61" s="46"/>
    </row>
    <row r="62" spans="1:9" s="20" customFormat="1" ht="47.25" hidden="1">
      <c r="A62" s="424"/>
      <c r="B62" s="423"/>
      <c r="C62" s="35" t="s">
        <v>7</v>
      </c>
      <c r="D62" s="36">
        <v>1000</v>
      </c>
      <c r="E62" s="35" t="s">
        <v>7</v>
      </c>
      <c r="F62" s="36">
        <v>39500</v>
      </c>
      <c r="G62" s="19">
        <f t="shared" si="2"/>
        <v>40500</v>
      </c>
      <c r="H62" s="71"/>
      <c r="I62" s="46"/>
    </row>
    <row r="63" spans="1:9" s="20" customFormat="1" ht="65.25" customHeight="1" hidden="1">
      <c r="A63" s="424"/>
      <c r="B63" s="423"/>
      <c r="C63" s="4" t="s">
        <v>417</v>
      </c>
      <c r="D63" s="19">
        <v>23788</v>
      </c>
      <c r="E63" s="35"/>
      <c r="F63" s="36"/>
      <c r="G63" s="19">
        <f t="shared" si="2"/>
        <v>23788</v>
      </c>
      <c r="H63" s="4"/>
      <c r="I63" s="46"/>
    </row>
    <row r="64" spans="1:9" s="20" customFormat="1" ht="47.25" hidden="1">
      <c r="A64" s="18" t="s">
        <v>170</v>
      </c>
      <c r="B64" s="4" t="s">
        <v>171</v>
      </c>
      <c r="C64" s="4" t="s">
        <v>0</v>
      </c>
      <c r="D64" s="17">
        <v>733099</v>
      </c>
      <c r="E64" s="4"/>
      <c r="F64" s="19"/>
      <c r="G64" s="19">
        <f t="shared" si="2"/>
        <v>733099</v>
      </c>
      <c r="H64" s="4"/>
      <c r="I64" s="46"/>
    </row>
    <row r="65" spans="1:9" s="20" customFormat="1" ht="63" hidden="1">
      <c r="A65" s="422">
        <v>130112</v>
      </c>
      <c r="B65" s="423" t="s">
        <v>96</v>
      </c>
      <c r="C65" s="4" t="s">
        <v>417</v>
      </c>
      <c r="D65" s="17">
        <v>1046</v>
      </c>
      <c r="E65" s="4"/>
      <c r="F65" s="19"/>
      <c r="G65" s="19">
        <f t="shared" si="2"/>
        <v>1046</v>
      </c>
      <c r="H65" s="4"/>
      <c r="I65" s="46"/>
    </row>
    <row r="66" spans="1:9" s="20" customFormat="1" ht="37.5" customHeight="1">
      <c r="A66" s="422"/>
      <c r="B66" s="423"/>
      <c r="C66" s="4" t="s">
        <v>1</v>
      </c>
      <c r="D66" s="21">
        <v>453294</v>
      </c>
      <c r="E66" s="4" t="s">
        <v>1</v>
      </c>
      <c r="F66" s="12">
        <v>42880</v>
      </c>
      <c r="G66" s="19">
        <f t="shared" si="2"/>
        <v>496174</v>
      </c>
      <c r="H66" s="71">
        <v>42880</v>
      </c>
      <c r="I66" s="46"/>
    </row>
    <row r="67" spans="1:9" s="20" customFormat="1" ht="31.5" hidden="1">
      <c r="A67" s="424" t="s">
        <v>88</v>
      </c>
      <c r="B67" s="423" t="s">
        <v>89</v>
      </c>
      <c r="C67" s="4"/>
      <c r="D67" s="5"/>
      <c r="E67" s="4" t="s">
        <v>464</v>
      </c>
      <c r="F67" s="12">
        <v>8667311</v>
      </c>
      <c r="G67" s="19">
        <f t="shared" si="2"/>
        <v>8667311</v>
      </c>
      <c r="H67" s="71"/>
      <c r="I67" s="46"/>
    </row>
    <row r="68" spans="1:9" s="20" customFormat="1" ht="31.5" hidden="1">
      <c r="A68" s="424"/>
      <c r="B68" s="423"/>
      <c r="C68" s="4"/>
      <c r="D68" s="5"/>
      <c r="E68" s="4" t="s">
        <v>465</v>
      </c>
      <c r="F68" s="12">
        <v>1248451</v>
      </c>
      <c r="G68" s="19">
        <f t="shared" si="2"/>
        <v>1248451</v>
      </c>
      <c r="H68" s="4"/>
      <c r="I68" s="46"/>
    </row>
    <row r="69" spans="1:9" s="20" customFormat="1" ht="31.5" hidden="1">
      <c r="A69" s="424"/>
      <c r="B69" s="423"/>
      <c r="C69" s="4"/>
      <c r="D69" s="5"/>
      <c r="E69" s="4" t="s">
        <v>466</v>
      </c>
      <c r="F69" s="12">
        <v>1065845</v>
      </c>
      <c r="G69" s="19">
        <f t="shared" si="2"/>
        <v>1065845</v>
      </c>
      <c r="H69" s="4"/>
      <c r="I69" s="46"/>
    </row>
    <row r="70" spans="1:9" s="20" customFormat="1" ht="31.5" hidden="1">
      <c r="A70" s="4">
        <v>240601</v>
      </c>
      <c r="B70" s="4" t="s">
        <v>110</v>
      </c>
      <c r="C70" s="4"/>
      <c r="D70" s="5"/>
      <c r="E70" s="4" t="s">
        <v>400</v>
      </c>
      <c r="F70" s="17">
        <v>119053</v>
      </c>
      <c r="G70" s="19">
        <f t="shared" si="2"/>
        <v>119053</v>
      </c>
      <c r="H70" s="71"/>
      <c r="I70" s="46"/>
    </row>
    <row r="71" spans="1:9" s="20" customFormat="1" ht="77.25" customHeight="1" hidden="1">
      <c r="A71" s="25" t="s">
        <v>28</v>
      </c>
      <c r="B71" s="4" t="s">
        <v>29</v>
      </c>
      <c r="C71" s="426" t="s">
        <v>460</v>
      </c>
      <c r="D71" s="15">
        <v>2065077</v>
      </c>
      <c r="E71" s="4" t="s">
        <v>460</v>
      </c>
      <c r="F71" s="16">
        <v>31358</v>
      </c>
      <c r="G71" s="19">
        <f>D71+F71</f>
        <v>2096435</v>
      </c>
      <c r="H71" s="4"/>
      <c r="I71" s="46"/>
    </row>
    <row r="72" spans="1:9" s="20" customFormat="1" ht="94.5" hidden="1">
      <c r="A72" s="25" t="s">
        <v>352</v>
      </c>
      <c r="B72" s="4" t="s">
        <v>353</v>
      </c>
      <c r="C72" s="427"/>
      <c r="D72" s="15">
        <v>50000</v>
      </c>
      <c r="E72" s="4"/>
      <c r="F72" s="16"/>
      <c r="G72" s="19">
        <f>D72+F72</f>
        <v>50000</v>
      </c>
      <c r="H72" s="4"/>
      <c r="I72" s="46"/>
    </row>
    <row r="73" spans="1:9" s="20" customFormat="1" ht="46.5" customHeight="1">
      <c r="A73" s="22" t="s">
        <v>157</v>
      </c>
      <c r="B73" s="23" t="s">
        <v>54</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180</v>
      </c>
      <c r="B74" s="4" t="s">
        <v>181</v>
      </c>
      <c r="C74" s="4" t="s">
        <v>418</v>
      </c>
      <c r="D74" s="17">
        <v>2829</v>
      </c>
      <c r="E74" s="4" t="s">
        <v>448</v>
      </c>
      <c r="F74" s="19">
        <v>7000</v>
      </c>
      <c r="G74" s="19">
        <f>D74+F74</f>
        <v>9829</v>
      </c>
      <c r="H74" s="4"/>
      <c r="I74" s="46"/>
    </row>
    <row r="75" spans="1:9" s="20" customFormat="1" ht="52.5" customHeight="1">
      <c r="A75" s="424" t="s">
        <v>76</v>
      </c>
      <c r="B75" s="423" t="s">
        <v>23</v>
      </c>
      <c r="C75" s="4" t="s">
        <v>342</v>
      </c>
      <c r="D75" s="17">
        <v>0</v>
      </c>
      <c r="E75" s="4" t="s">
        <v>342</v>
      </c>
      <c r="F75" s="19">
        <v>4059683</v>
      </c>
      <c r="G75" s="19">
        <f>D75+F75</f>
        <v>4059683</v>
      </c>
      <c r="H75" s="71">
        <v>299733</v>
      </c>
      <c r="I75" s="46"/>
    </row>
    <row r="76" spans="1:9" s="20" customFormat="1" ht="51.75" customHeight="1" hidden="1">
      <c r="A76" s="424"/>
      <c r="B76" s="423"/>
      <c r="C76" s="4"/>
      <c r="D76" s="17">
        <v>0</v>
      </c>
      <c r="E76" s="4"/>
      <c r="F76" s="19">
        <v>0</v>
      </c>
      <c r="G76" s="19">
        <f aca="true" t="shared" si="3" ref="G76:G94">D76+F76</f>
        <v>0</v>
      </c>
      <c r="H76" s="4"/>
      <c r="I76" s="46"/>
    </row>
    <row r="77" spans="1:9" s="20" customFormat="1" ht="54.75" customHeight="1" hidden="1">
      <c r="A77" s="424"/>
      <c r="B77" s="423"/>
      <c r="C77" s="4" t="s">
        <v>343</v>
      </c>
      <c r="D77" s="17">
        <v>406050</v>
      </c>
      <c r="E77" s="4"/>
      <c r="F77" s="19"/>
      <c r="G77" s="19">
        <f t="shared" si="3"/>
        <v>406050</v>
      </c>
      <c r="H77" s="4"/>
      <c r="I77" s="46"/>
    </row>
    <row r="78" spans="1:9" s="20" customFormat="1" ht="47.25" hidden="1">
      <c r="A78" s="424"/>
      <c r="B78" s="423"/>
      <c r="C78" s="35" t="s">
        <v>7</v>
      </c>
      <c r="D78" s="38">
        <v>38750</v>
      </c>
      <c r="E78" s="35" t="s">
        <v>7</v>
      </c>
      <c r="F78" s="36">
        <v>473495</v>
      </c>
      <c r="G78" s="19">
        <f t="shared" si="3"/>
        <v>512245</v>
      </c>
      <c r="H78" s="4"/>
      <c r="I78" s="46"/>
    </row>
    <row r="79" spans="1:9" s="20" customFormat="1" ht="63" hidden="1">
      <c r="A79" s="424"/>
      <c r="B79" s="423"/>
      <c r="C79" s="4" t="s">
        <v>418</v>
      </c>
      <c r="D79" s="17">
        <v>9003</v>
      </c>
      <c r="E79" s="35"/>
      <c r="F79" s="36"/>
      <c r="G79" s="19">
        <f t="shared" si="3"/>
        <v>9003</v>
      </c>
      <c r="H79" s="4"/>
      <c r="I79" s="46"/>
    </row>
    <row r="80" spans="1:9" s="20" customFormat="1" ht="50.25" customHeight="1">
      <c r="A80" s="424" t="s">
        <v>115</v>
      </c>
      <c r="B80" s="423" t="s">
        <v>247</v>
      </c>
      <c r="C80" s="4" t="s">
        <v>342</v>
      </c>
      <c r="D80" s="17">
        <v>0</v>
      </c>
      <c r="E80" s="4" t="s">
        <v>342</v>
      </c>
      <c r="F80" s="19">
        <v>699466</v>
      </c>
      <c r="G80" s="19">
        <f t="shared" si="3"/>
        <v>699466</v>
      </c>
      <c r="H80" s="71" t="s">
        <v>13</v>
      </c>
      <c r="I80" s="46"/>
    </row>
    <row r="81" spans="1:9" s="20" customFormat="1" ht="47.25" hidden="1">
      <c r="A81" s="424"/>
      <c r="B81" s="423"/>
      <c r="C81" s="35" t="s">
        <v>7</v>
      </c>
      <c r="D81" s="36">
        <v>0</v>
      </c>
      <c r="E81" s="35" t="s">
        <v>7</v>
      </c>
      <c r="F81" s="36">
        <v>96920</v>
      </c>
      <c r="G81" s="19">
        <f t="shared" si="3"/>
        <v>96920</v>
      </c>
      <c r="H81" s="4"/>
      <c r="I81" s="46"/>
    </row>
    <row r="82" spans="1:9" s="20" customFormat="1" ht="15.75" hidden="1">
      <c r="A82" s="424"/>
      <c r="B82" s="423"/>
      <c r="C82" s="4"/>
      <c r="D82" s="19">
        <v>0</v>
      </c>
      <c r="E82" s="35"/>
      <c r="F82" s="36"/>
      <c r="G82" s="19">
        <f t="shared" si="3"/>
        <v>0</v>
      </c>
      <c r="H82" s="4"/>
      <c r="I82" s="46"/>
    </row>
    <row r="83" spans="1:9" s="20" customFormat="1" ht="47.25">
      <c r="A83" s="424" t="s">
        <v>77</v>
      </c>
      <c r="B83" s="423" t="s">
        <v>24</v>
      </c>
      <c r="C83" s="4" t="s">
        <v>342</v>
      </c>
      <c r="D83" s="17">
        <v>0</v>
      </c>
      <c r="E83" s="4" t="s">
        <v>342</v>
      </c>
      <c r="F83" s="19">
        <v>668216</v>
      </c>
      <c r="G83" s="19">
        <f t="shared" si="3"/>
        <v>668216</v>
      </c>
      <c r="H83" s="71" t="s">
        <v>13</v>
      </c>
      <c r="I83" s="46"/>
    </row>
    <row r="84" spans="1:9" s="20" customFormat="1" ht="47.25" hidden="1">
      <c r="A84" s="424"/>
      <c r="B84" s="423"/>
      <c r="C84" s="35" t="s">
        <v>7</v>
      </c>
      <c r="D84" s="36">
        <v>28156</v>
      </c>
      <c r="E84" s="35" t="s">
        <v>7</v>
      </c>
      <c r="F84" s="36">
        <v>10000</v>
      </c>
      <c r="G84" s="19">
        <f t="shared" si="3"/>
        <v>38156</v>
      </c>
      <c r="H84" s="4"/>
      <c r="I84" s="46"/>
    </row>
    <row r="85" spans="1:9" s="20" customFormat="1" ht="15.75" hidden="1">
      <c r="A85" s="424"/>
      <c r="B85" s="423"/>
      <c r="C85" s="4"/>
      <c r="D85" s="19">
        <v>0</v>
      </c>
      <c r="E85" s="35"/>
      <c r="F85" s="36"/>
      <c r="G85" s="19">
        <f t="shared" si="3"/>
        <v>0</v>
      </c>
      <c r="H85" s="4"/>
      <c r="I85" s="46"/>
    </row>
    <row r="86" spans="1:9" s="20" customFormat="1" ht="47.25" customHeight="1">
      <c r="A86" s="424" t="s">
        <v>78</v>
      </c>
      <c r="B86" s="423" t="s">
        <v>25</v>
      </c>
      <c r="C86" s="4" t="s">
        <v>342</v>
      </c>
      <c r="D86" s="17">
        <v>0</v>
      </c>
      <c r="E86" s="4" t="s">
        <v>342</v>
      </c>
      <c r="F86" s="19">
        <v>6000</v>
      </c>
      <c r="G86" s="19">
        <f t="shared" si="3"/>
        <v>6000</v>
      </c>
      <c r="H86" s="71">
        <v>265928</v>
      </c>
      <c r="I86" s="46"/>
    </row>
    <row r="87" spans="1:9" s="20" customFormat="1" ht="47.25" hidden="1">
      <c r="A87" s="424"/>
      <c r="B87" s="423"/>
      <c r="C87" s="4"/>
      <c r="D87" s="17"/>
      <c r="E87" s="35" t="s">
        <v>7</v>
      </c>
      <c r="F87" s="36">
        <v>6000</v>
      </c>
      <c r="G87" s="19">
        <f t="shared" si="3"/>
        <v>6000</v>
      </c>
      <c r="H87" s="4"/>
      <c r="I87" s="46"/>
    </row>
    <row r="88" spans="1:9" s="20" customFormat="1" ht="66" customHeight="1" hidden="1">
      <c r="A88" s="424"/>
      <c r="B88" s="423"/>
      <c r="C88" s="4"/>
      <c r="D88" s="17">
        <v>0</v>
      </c>
      <c r="E88" s="35"/>
      <c r="F88" s="36"/>
      <c r="G88" s="19">
        <f t="shared" si="3"/>
        <v>0</v>
      </c>
      <c r="H88" s="4"/>
      <c r="I88" s="46"/>
    </row>
    <row r="89" spans="1:9" s="53" customFormat="1" ht="50.25" customHeight="1">
      <c r="A89" s="428" t="s">
        <v>335</v>
      </c>
      <c r="B89" s="426" t="s">
        <v>336</v>
      </c>
      <c r="C89" s="4" t="s">
        <v>342</v>
      </c>
      <c r="D89" s="17">
        <v>0</v>
      </c>
      <c r="E89" s="4" t="s">
        <v>342</v>
      </c>
      <c r="F89" s="19">
        <v>5905334</v>
      </c>
      <c r="G89" s="19">
        <f t="shared" si="3"/>
        <v>5905334</v>
      </c>
      <c r="H89" s="71">
        <v>19555</v>
      </c>
      <c r="I89" s="46"/>
    </row>
    <row r="90" spans="1:9" s="53" customFormat="1" ht="60" customHeight="1" hidden="1">
      <c r="A90" s="429"/>
      <c r="B90" s="427"/>
      <c r="C90" s="4" t="s">
        <v>418</v>
      </c>
      <c r="D90" s="17">
        <v>4380</v>
      </c>
      <c r="E90" s="4"/>
      <c r="F90" s="19"/>
      <c r="G90" s="19">
        <f>D90+F90</f>
        <v>4380</v>
      </c>
      <c r="H90" s="71"/>
      <c r="I90" s="46"/>
    </row>
    <row r="91" spans="1:9" s="20" customFormat="1" ht="47.25" hidden="1">
      <c r="A91" s="18" t="s">
        <v>116</v>
      </c>
      <c r="B91" s="4" t="s">
        <v>117</v>
      </c>
      <c r="C91" s="4" t="s">
        <v>260</v>
      </c>
      <c r="D91" s="17">
        <v>9209185</v>
      </c>
      <c r="E91" s="4"/>
      <c r="F91" s="9"/>
      <c r="G91" s="19">
        <f t="shared" si="3"/>
        <v>9209185</v>
      </c>
      <c r="H91" s="4"/>
      <c r="I91" s="46"/>
    </row>
    <row r="92" spans="1:9" s="20" customFormat="1" ht="63.75" customHeight="1" hidden="1">
      <c r="A92" s="18" t="s">
        <v>450</v>
      </c>
      <c r="B92" s="4" t="s">
        <v>451</v>
      </c>
      <c r="C92" s="4"/>
      <c r="D92" s="17"/>
      <c r="E92" s="4" t="s">
        <v>449</v>
      </c>
      <c r="F92" s="19">
        <v>35000</v>
      </c>
      <c r="G92" s="19">
        <f t="shared" si="3"/>
        <v>35000</v>
      </c>
      <c r="H92" s="4"/>
      <c r="I92" s="46"/>
    </row>
    <row r="93" spans="1:9" s="20" customFormat="1" ht="46.5" customHeight="1" hidden="1">
      <c r="A93" s="18" t="s">
        <v>80</v>
      </c>
      <c r="B93" s="4" t="s">
        <v>248</v>
      </c>
      <c r="C93" s="4" t="s">
        <v>9</v>
      </c>
      <c r="D93" s="17">
        <v>3146037</v>
      </c>
      <c r="E93" s="4"/>
      <c r="F93" s="9"/>
      <c r="G93" s="19">
        <f t="shared" si="3"/>
        <v>3146037</v>
      </c>
      <c r="H93" s="4"/>
      <c r="I93" s="46"/>
    </row>
    <row r="94" spans="1:9" s="20" customFormat="1" ht="52.5" customHeight="1" hidden="1">
      <c r="A94" s="18" t="s">
        <v>88</v>
      </c>
      <c r="B94" s="4" t="s">
        <v>89</v>
      </c>
      <c r="C94" s="4"/>
      <c r="D94" s="5"/>
      <c r="E94" s="4" t="s">
        <v>449</v>
      </c>
      <c r="F94" s="19">
        <v>11179599</v>
      </c>
      <c r="G94" s="19">
        <f t="shared" si="3"/>
        <v>11179599</v>
      </c>
      <c r="H94" s="71"/>
      <c r="I94" s="46"/>
    </row>
    <row r="95" spans="1:9" s="20" customFormat="1" ht="36" customHeight="1" hidden="1">
      <c r="A95" s="424" t="s">
        <v>75</v>
      </c>
      <c r="B95" s="423" t="s">
        <v>109</v>
      </c>
      <c r="C95" s="4"/>
      <c r="D95" s="5"/>
      <c r="E95" s="4" t="s">
        <v>145</v>
      </c>
      <c r="F95" s="12"/>
      <c r="G95" s="9">
        <v>0</v>
      </c>
      <c r="H95" s="4"/>
      <c r="I95" s="46"/>
    </row>
    <row r="96" spans="1:9" s="20" customFormat="1" ht="33" customHeight="1" hidden="1">
      <c r="A96" s="424"/>
      <c r="B96" s="423"/>
      <c r="C96" s="4"/>
      <c r="D96" s="5"/>
      <c r="E96" s="4" t="s">
        <v>146</v>
      </c>
      <c r="F96" s="12"/>
      <c r="G96" s="9">
        <v>0</v>
      </c>
      <c r="H96" s="4"/>
      <c r="I96" s="46"/>
    </row>
    <row r="97" spans="1:9" s="20" customFormat="1" ht="49.5" customHeight="1" hidden="1">
      <c r="A97" s="22" t="s">
        <v>158</v>
      </c>
      <c r="B97" s="23" t="s">
        <v>55</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24" t="s">
        <v>180</v>
      </c>
      <c r="B98" s="423" t="s">
        <v>181</v>
      </c>
      <c r="C98" s="4"/>
      <c r="D98" s="19"/>
      <c r="E98" s="4" t="s">
        <v>448</v>
      </c>
      <c r="F98" s="19">
        <v>523900</v>
      </c>
      <c r="G98" s="19">
        <f>D98+F98</f>
        <v>523900</v>
      </c>
      <c r="H98" s="4"/>
      <c r="I98" s="46"/>
    </row>
    <row r="99" spans="1:9" s="20" customFormat="1" ht="96.75" customHeight="1" hidden="1">
      <c r="A99" s="424"/>
      <c r="B99" s="423"/>
      <c r="C99" s="4" t="s">
        <v>246</v>
      </c>
      <c r="D99" s="17">
        <v>0</v>
      </c>
      <c r="E99" s="4"/>
      <c r="F99" s="9"/>
      <c r="G99" s="19">
        <f aca="true" t="shared" si="4" ref="G99:G120">D99+F99</f>
        <v>0</v>
      </c>
      <c r="H99" s="4"/>
      <c r="I99" s="46"/>
    </row>
    <row r="100" spans="1:9" s="20" customFormat="1" ht="64.5" customHeight="1" hidden="1">
      <c r="A100" s="424"/>
      <c r="B100" s="423"/>
      <c r="C100" s="4" t="s">
        <v>418</v>
      </c>
      <c r="D100" s="19">
        <v>5519</v>
      </c>
      <c r="E100" s="4"/>
      <c r="F100" s="9"/>
      <c r="G100" s="19">
        <f t="shared" si="4"/>
        <v>5519</v>
      </c>
      <c r="H100" s="4"/>
      <c r="I100" s="46"/>
    </row>
    <row r="101" spans="1:9" s="20" customFormat="1" ht="51.75" customHeight="1" hidden="1">
      <c r="A101" s="424" t="s">
        <v>83</v>
      </c>
      <c r="B101" s="423" t="s">
        <v>252</v>
      </c>
      <c r="C101" s="4" t="s">
        <v>418</v>
      </c>
      <c r="D101" s="19">
        <v>239</v>
      </c>
      <c r="E101" s="4" t="s">
        <v>467</v>
      </c>
      <c r="F101" s="19">
        <v>119850</v>
      </c>
      <c r="G101" s="19">
        <f t="shared" si="4"/>
        <v>120089</v>
      </c>
      <c r="H101" s="4"/>
      <c r="I101" s="46"/>
    </row>
    <row r="102" spans="1:9" s="20" customFormat="1" ht="63" hidden="1">
      <c r="A102" s="424"/>
      <c r="B102" s="423"/>
      <c r="C102" s="4" t="s">
        <v>332</v>
      </c>
      <c r="D102" s="17">
        <v>0</v>
      </c>
      <c r="E102" s="4"/>
      <c r="F102" s="19"/>
      <c r="G102" s="19">
        <f t="shared" si="4"/>
        <v>0</v>
      </c>
      <c r="H102" s="4"/>
      <c r="I102" s="46"/>
    </row>
    <row r="103" spans="1:9" s="20" customFormat="1" ht="47.25" hidden="1">
      <c r="A103" s="18" t="s">
        <v>84</v>
      </c>
      <c r="B103" s="4" t="s">
        <v>253</v>
      </c>
      <c r="C103" s="4" t="s">
        <v>467</v>
      </c>
      <c r="D103" s="17">
        <v>201763</v>
      </c>
      <c r="E103" s="4"/>
      <c r="F103" s="9"/>
      <c r="G103" s="19">
        <f t="shared" si="4"/>
        <v>201763</v>
      </c>
      <c r="H103" s="4"/>
      <c r="I103" s="46"/>
    </row>
    <row r="104" spans="1:9" s="20" customFormat="1" ht="47.25" hidden="1">
      <c r="A104" s="18" t="s">
        <v>85</v>
      </c>
      <c r="B104" s="4" t="s">
        <v>254</v>
      </c>
      <c r="C104" s="4"/>
      <c r="D104" s="17"/>
      <c r="E104" s="4"/>
      <c r="F104" s="9"/>
      <c r="G104" s="19">
        <f t="shared" si="4"/>
        <v>0</v>
      </c>
      <c r="H104" s="4"/>
      <c r="I104" s="46"/>
    </row>
    <row r="105" spans="1:9" s="20" customFormat="1" ht="47.25" customHeight="1" hidden="1">
      <c r="A105" s="424" t="s">
        <v>178</v>
      </c>
      <c r="B105" s="423" t="s">
        <v>179</v>
      </c>
      <c r="C105" s="4" t="s">
        <v>443</v>
      </c>
      <c r="D105" s="17">
        <v>3925134</v>
      </c>
      <c r="E105" s="4" t="s">
        <v>468</v>
      </c>
      <c r="F105" s="19">
        <v>53060</v>
      </c>
      <c r="G105" s="19">
        <f t="shared" si="4"/>
        <v>3978194</v>
      </c>
      <c r="H105" s="4"/>
      <c r="I105" s="46"/>
    </row>
    <row r="106" spans="1:9" s="20" customFormat="1" ht="50.25" customHeight="1" hidden="1">
      <c r="A106" s="424"/>
      <c r="B106" s="423"/>
      <c r="C106" s="4" t="s">
        <v>392</v>
      </c>
      <c r="D106" s="17">
        <v>24192</v>
      </c>
      <c r="E106" s="4" t="s">
        <v>392</v>
      </c>
      <c r="F106" s="19">
        <v>24192</v>
      </c>
      <c r="G106" s="19">
        <f t="shared" si="4"/>
        <v>48384</v>
      </c>
      <c r="H106" s="4"/>
      <c r="I106" s="46"/>
    </row>
    <row r="107" spans="1:9" s="20" customFormat="1" ht="110.25" customHeight="1" hidden="1">
      <c r="A107" s="424"/>
      <c r="B107" s="423"/>
      <c r="C107" s="4"/>
      <c r="D107" s="17"/>
      <c r="E107" s="4"/>
      <c r="F107" s="9"/>
      <c r="G107" s="19">
        <f t="shared" si="4"/>
        <v>0</v>
      </c>
      <c r="H107" s="4"/>
      <c r="I107" s="46"/>
    </row>
    <row r="108" spans="1:9" s="20" customFormat="1" ht="51" customHeight="1" hidden="1">
      <c r="A108" s="424"/>
      <c r="B108" s="423"/>
      <c r="C108" s="35" t="s">
        <v>7</v>
      </c>
      <c r="D108" s="37">
        <v>3500</v>
      </c>
      <c r="E108" s="35" t="s">
        <v>7</v>
      </c>
      <c r="F108" s="37">
        <v>23400</v>
      </c>
      <c r="G108" s="19">
        <f t="shared" si="4"/>
        <v>26900</v>
      </c>
      <c r="H108" s="4"/>
      <c r="I108" s="46"/>
    </row>
    <row r="109" spans="1:9" s="20" customFormat="1" ht="63" hidden="1">
      <c r="A109" s="424"/>
      <c r="B109" s="423"/>
      <c r="C109" s="4" t="s">
        <v>418</v>
      </c>
      <c r="D109" s="9">
        <v>8307</v>
      </c>
      <c r="E109" s="35"/>
      <c r="F109" s="37"/>
      <c r="G109" s="19">
        <f t="shared" si="4"/>
        <v>8307</v>
      </c>
      <c r="H109" s="4"/>
      <c r="I109" s="46"/>
    </row>
    <row r="110" spans="1:9" s="20" customFormat="1" ht="49.5" customHeight="1" hidden="1">
      <c r="A110" s="424" t="s">
        <v>27</v>
      </c>
      <c r="B110" s="423" t="s">
        <v>21</v>
      </c>
      <c r="C110" s="4" t="s">
        <v>444</v>
      </c>
      <c r="D110" s="17">
        <v>972100</v>
      </c>
      <c r="E110" s="4"/>
      <c r="F110" s="9"/>
      <c r="G110" s="19">
        <f t="shared" si="4"/>
        <v>972100</v>
      </c>
      <c r="H110" s="4"/>
      <c r="I110" s="46"/>
    </row>
    <row r="111" spans="1:9" s="20" customFormat="1" ht="47.25" hidden="1">
      <c r="A111" s="424"/>
      <c r="B111" s="423"/>
      <c r="C111" s="35" t="s">
        <v>282</v>
      </c>
      <c r="D111" s="37">
        <v>0</v>
      </c>
      <c r="E111" s="35" t="s">
        <v>282</v>
      </c>
      <c r="F111" s="37">
        <v>0</v>
      </c>
      <c r="G111" s="19">
        <f t="shared" si="4"/>
        <v>0</v>
      </c>
      <c r="H111" s="4"/>
      <c r="I111" s="46"/>
    </row>
    <row r="112" spans="1:9" s="20" customFormat="1" ht="48" customHeight="1" hidden="1">
      <c r="A112" s="424" t="s">
        <v>90</v>
      </c>
      <c r="B112" s="423" t="s">
        <v>97</v>
      </c>
      <c r="C112" s="4" t="s">
        <v>444</v>
      </c>
      <c r="D112" s="17">
        <v>7134400</v>
      </c>
      <c r="E112" s="4"/>
      <c r="F112" s="9"/>
      <c r="G112" s="19">
        <f>D112+F112</f>
        <v>7134400</v>
      </c>
      <c r="H112" s="4"/>
      <c r="I112" s="46"/>
    </row>
    <row r="113" spans="1:9" s="20" customFormat="1" ht="47.25" hidden="1">
      <c r="A113" s="424"/>
      <c r="B113" s="423"/>
      <c r="C113" s="35" t="s">
        <v>282</v>
      </c>
      <c r="D113" s="38">
        <v>0</v>
      </c>
      <c r="E113" s="35"/>
      <c r="F113" s="37"/>
      <c r="G113" s="19">
        <f t="shared" si="4"/>
        <v>0</v>
      </c>
      <c r="H113" s="4"/>
      <c r="I113" s="46"/>
    </row>
    <row r="114" spans="1:9" s="20" customFormat="1" ht="48" customHeight="1" hidden="1">
      <c r="A114" s="424" t="s">
        <v>88</v>
      </c>
      <c r="B114" s="423" t="s">
        <v>89</v>
      </c>
      <c r="C114" s="4"/>
      <c r="D114" s="17"/>
      <c r="E114" s="4" t="s">
        <v>319</v>
      </c>
      <c r="F114" s="12">
        <v>0</v>
      </c>
      <c r="G114" s="19">
        <f t="shared" si="4"/>
        <v>0</v>
      </c>
      <c r="H114" s="4"/>
      <c r="I114" s="46"/>
    </row>
    <row r="115" spans="1:9" s="20" customFormat="1" ht="45.75" customHeight="1" hidden="1">
      <c r="A115" s="424"/>
      <c r="B115" s="423"/>
      <c r="C115" s="4"/>
      <c r="D115" s="5"/>
      <c r="E115" s="4" t="s">
        <v>469</v>
      </c>
      <c r="F115" s="12">
        <v>4218281</v>
      </c>
      <c r="G115" s="19">
        <f t="shared" si="4"/>
        <v>4218281</v>
      </c>
      <c r="H115" s="4"/>
      <c r="I115" s="46"/>
    </row>
    <row r="116" spans="1:9" s="20" customFormat="1" ht="52.5" customHeight="1" hidden="1">
      <c r="A116" s="18" t="s">
        <v>37</v>
      </c>
      <c r="B116" s="423" t="s">
        <v>250</v>
      </c>
      <c r="C116" s="4" t="s">
        <v>147</v>
      </c>
      <c r="D116" s="17"/>
      <c r="E116" s="4"/>
      <c r="F116" s="16"/>
      <c r="G116" s="19">
        <f t="shared" si="4"/>
        <v>0</v>
      </c>
      <c r="H116" s="4"/>
      <c r="I116" s="46"/>
    </row>
    <row r="117" spans="1:9" s="20" customFormat="1" ht="53.25" customHeight="1" hidden="1">
      <c r="A117" s="424" t="s">
        <v>37</v>
      </c>
      <c r="B117" s="423"/>
      <c r="C117" s="4" t="s">
        <v>444</v>
      </c>
      <c r="D117" s="17">
        <v>174150</v>
      </c>
      <c r="E117" s="4"/>
      <c r="F117" s="16"/>
      <c r="G117" s="19">
        <f t="shared" si="4"/>
        <v>174150</v>
      </c>
      <c r="H117" s="4"/>
      <c r="I117" s="46"/>
    </row>
    <row r="118" spans="1:9" s="20" customFormat="1" ht="62.25" customHeight="1" hidden="1">
      <c r="A118" s="424"/>
      <c r="B118" s="423"/>
      <c r="C118" s="4" t="s">
        <v>246</v>
      </c>
      <c r="D118" s="17"/>
      <c r="E118" s="4"/>
      <c r="F118" s="16"/>
      <c r="G118" s="19">
        <f t="shared" si="4"/>
        <v>0</v>
      </c>
      <c r="H118" s="4"/>
      <c r="I118" s="46"/>
    </row>
    <row r="119" spans="1:9" s="20" customFormat="1" ht="57" customHeight="1" hidden="1">
      <c r="A119" s="18" t="s">
        <v>91</v>
      </c>
      <c r="B119" s="4" t="s">
        <v>251</v>
      </c>
      <c r="C119" s="4" t="s">
        <v>444</v>
      </c>
      <c r="D119" s="17">
        <v>500000</v>
      </c>
      <c r="E119" s="4"/>
      <c r="F119" s="16"/>
      <c r="G119" s="19">
        <f t="shared" si="4"/>
        <v>500000</v>
      </c>
      <c r="H119" s="4"/>
      <c r="I119" s="46"/>
    </row>
    <row r="120" spans="1:9" s="20" customFormat="1" ht="51" customHeight="1" hidden="1">
      <c r="A120" s="18" t="s">
        <v>121</v>
      </c>
      <c r="B120" s="4" t="s">
        <v>238</v>
      </c>
      <c r="C120" s="4" t="s">
        <v>444</v>
      </c>
      <c r="D120" s="17">
        <v>870750</v>
      </c>
      <c r="E120" s="4"/>
      <c r="F120" s="16"/>
      <c r="G120" s="19">
        <f t="shared" si="4"/>
        <v>870750</v>
      </c>
      <c r="H120" s="4"/>
      <c r="I120" s="46"/>
    </row>
    <row r="121" spans="1:9" s="20" customFormat="1" ht="68.25" customHeight="1" hidden="1">
      <c r="A121" s="22" t="s">
        <v>191</v>
      </c>
      <c r="B121" s="23" t="s">
        <v>195</v>
      </c>
      <c r="C121" s="4"/>
      <c r="D121" s="24">
        <v>0</v>
      </c>
      <c r="E121" s="4"/>
      <c r="F121" s="24">
        <v>0</v>
      </c>
      <c r="G121" s="24">
        <v>0</v>
      </c>
      <c r="H121" s="4"/>
      <c r="I121" s="46"/>
    </row>
    <row r="122" spans="1:9" s="20" customFormat="1" ht="31.5" hidden="1">
      <c r="A122" s="18" t="s">
        <v>180</v>
      </c>
      <c r="B122" s="4" t="s">
        <v>181</v>
      </c>
      <c r="C122" s="4" t="s">
        <v>192</v>
      </c>
      <c r="D122" s="17"/>
      <c r="E122" s="4" t="s">
        <v>192</v>
      </c>
      <c r="F122" s="12"/>
      <c r="G122" s="9">
        <v>0</v>
      </c>
      <c r="H122" s="4"/>
      <c r="I122" s="46"/>
    </row>
    <row r="123" spans="1:9" s="20" customFormat="1" ht="63" hidden="1">
      <c r="A123" s="22" t="s">
        <v>202</v>
      </c>
      <c r="B123" s="23" t="s">
        <v>203</v>
      </c>
      <c r="C123" s="4"/>
      <c r="D123" s="24">
        <f>D124</f>
        <v>0</v>
      </c>
      <c r="E123" s="4"/>
      <c r="F123" s="24">
        <f>F124</f>
        <v>7000</v>
      </c>
      <c r="G123" s="24">
        <f>D123+F123</f>
        <v>7000</v>
      </c>
      <c r="H123" s="4"/>
      <c r="I123" s="46"/>
    </row>
    <row r="124" spans="1:9" s="20" customFormat="1" ht="31.5" hidden="1">
      <c r="A124" s="18" t="s">
        <v>180</v>
      </c>
      <c r="B124" s="4" t="s">
        <v>181</v>
      </c>
      <c r="C124" s="4"/>
      <c r="D124" s="17"/>
      <c r="E124" s="4" t="s">
        <v>448</v>
      </c>
      <c r="F124" s="12">
        <v>7000</v>
      </c>
      <c r="G124" s="19">
        <f>D124+F124</f>
        <v>7000</v>
      </c>
      <c r="H124" s="4"/>
      <c r="I124" s="46"/>
    </row>
    <row r="125" spans="1:9" s="20" customFormat="1" ht="35.25" customHeight="1">
      <c r="A125" s="22" t="s">
        <v>163</v>
      </c>
      <c r="B125" s="23" t="s">
        <v>58</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180</v>
      </c>
      <c r="B126" s="4" t="s">
        <v>181</v>
      </c>
      <c r="C126" s="4" t="s">
        <v>194</v>
      </c>
      <c r="D126" s="17"/>
      <c r="E126" s="4"/>
      <c r="F126" s="19"/>
      <c r="G126" s="16">
        <v>0</v>
      </c>
      <c r="H126" s="4"/>
      <c r="I126" s="46"/>
    </row>
    <row r="127" spans="1:9" s="20" customFormat="1" ht="54" customHeight="1">
      <c r="A127" s="424" t="s">
        <v>174</v>
      </c>
      <c r="B127" s="423" t="s">
        <v>175</v>
      </c>
      <c r="C127" s="4" t="s">
        <v>6</v>
      </c>
      <c r="D127" s="17">
        <v>599140</v>
      </c>
      <c r="E127" s="4" t="s">
        <v>6</v>
      </c>
      <c r="F127" s="19">
        <v>1321</v>
      </c>
      <c r="G127" s="12">
        <f>D127+F127</f>
        <v>600461</v>
      </c>
      <c r="H127" s="71">
        <v>0</v>
      </c>
      <c r="I127" s="46"/>
    </row>
    <row r="128" spans="1:9" s="20" customFormat="1" ht="65.25" customHeight="1" hidden="1">
      <c r="A128" s="424"/>
      <c r="B128" s="423"/>
      <c r="C128" s="4" t="s">
        <v>418</v>
      </c>
      <c r="D128" s="17">
        <v>279</v>
      </c>
      <c r="E128" s="4"/>
      <c r="F128" s="19"/>
      <c r="G128" s="12">
        <f aca="true" t="shared" si="5" ref="G128:G144">D128+F128</f>
        <v>279</v>
      </c>
      <c r="H128" s="4"/>
      <c r="I128" s="46"/>
    </row>
    <row r="129" spans="1:9" s="20" customFormat="1" ht="54" customHeight="1">
      <c r="A129" s="424" t="s">
        <v>176</v>
      </c>
      <c r="B129" s="423" t="s">
        <v>177</v>
      </c>
      <c r="C129" s="4" t="s">
        <v>6</v>
      </c>
      <c r="D129" s="17">
        <v>2188093</v>
      </c>
      <c r="E129" s="4" t="s">
        <v>6</v>
      </c>
      <c r="F129" s="19">
        <v>207061</v>
      </c>
      <c r="G129" s="12">
        <f t="shared" si="5"/>
        <v>2395154</v>
      </c>
      <c r="H129" s="71">
        <v>0</v>
      </c>
      <c r="I129" s="46"/>
    </row>
    <row r="130" spans="1:9" s="20" customFormat="1" ht="47.25" hidden="1">
      <c r="A130" s="424"/>
      <c r="B130" s="423"/>
      <c r="C130" s="35" t="s">
        <v>7</v>
      </c>
      <c r="D130" s="36">
        <v>500</v>
      </c>
      <c r="E130" s="35" t="s">
        <v>7</v>
      </c>
      <c r="F130" s="36">
        <v>59018</v>
      </c>
      <c r="G130" s="12">
        <f t="shared" si="5"/>
        <v>59518</v>
      </c>
      <c r="H130" s="4"/>
      <c r="I130" s="46"/>
    </row>
    <row r="131" spans="1:9" s="20" customFormat="1" ht="66.75" customHeight="1" hidden="1">
      <c r="A131" s="424"/>
      <c r="B131" s="423"/>
      <c r="C131" s="4" t="s">
        <v>418</v>
      </c>
      <c r="D131" s="19">
        <v>2511</v>
      </c>
      <c r="E131" s="35"/>
      <c r="F131" s="36"/>
      <c r="G131" s="12">
        <f t="shared" si="5"/>
        <v>2511</v>
      </c>
      <c r="H131" s="4"/>
      <c r="I131" s="46"/>
    </row>
    <row r="132" spans="1:9" s="20" customFormat="1" ht="54" customHeight="1">
      <c r="A132" s="428" t="s">
        <v>184</v>
      </c>
      <c r="B132" s="426" t="s">
        <v>185</v>
      </c>
      <c r="C132" s="4" t="s">
        <v>6</v>
      </c>
      <c r="D132" s="17">
        <v>1255924</v>
      </c>
      <c r="E132" s="4" t="s">
        <v>6</v>
      </c>
      <c r="F132" s="19">
        <v>1931965</v>
      </c>
      <c r="G132" s="12">
        <f t="shared" si="5"/>
        <v>3187889</v>
      </c>
      <c r="H132" s="73">
        <f>149214+58070+7900+19790+167074+132486</f>
        <v>534534</v>
      </c>
      <c r="I132" s="72"/>
    </row>
    <row r="133" spans="1:9" s="20" customFormat="1" ht="47.25" hidden="1">
      <c r="A133" s="430"/>
      <c r="B133" s="431"/>
      <c r="C133" s="35" t="s">
        <v>7</v>
      </c>
      <c r="D133" s="36">
        <v>0</v>
      </c>
      <c r="E133" s="35" t="s">
        <v>7</v>
      </c>
      <c r="F133" s="36">
        <v>4920</v>
      </c>
      <c r="G133" s="12">
        <f t="shared" si="5"/>
        <v>4920</v>
      </c>
      <c r="H133" s="4"/>
      <c r="I133" s="46"/>
    </row>
    <row r="134" spans="1:9" s="20" customFormat="1" ht="63" hidden="1">
      <c r="A134" s="429"/>
      <c r="B134" s="427"/>
      <c r="C134" s="4" t="s">
        <v>418</v>
      </c>
      <c r="D134" s="19">
        <v>5829</v>
      </c>
      <c r="E134" s="35"/>
      <c r="F134" s="36"/>
      <c r="G134" s="12">
        <f>D134+F134</f>
        <v>5829</v>
      </c>
      <c r="H134" s="4"/>
      <c r="I134" s="46"/>
    </row>
    <row r="135" spans="1:9" s="20" customFormat="1" ht="51" customHeight="1">
      <c r="A135" s="424" t="s">
        <v>182</v>
      </c>
      <c r="B135" s="423" t="s">
        <v>183</v>
      </c>
      <c r="C135" s="4" t="s">
        <v>6</v>
      </c>
      <c r="D135" s="17">
        <v>536069</v>
      </c>
      <c r="E135" s="4" t="s">
        <v>6</v>
      </c>
      <c r="F135" s="19">
        <v>1820736</v>
      </c>
      <c r="G135" s="12">
        <f t="shared" si="5"/>
        <v>2356805</v>
      </c>
      <c r="H135" s="71">
        <v>321482</v>
      </c>
      <c r="I135" s="46"/>
    </row>
    <row r="136" spans="1:9" s="20" customFormat="1" ht="63" hidden="1">
      <c r="A136" s="424"/>
      <c r="B136" s="423"/>
      <c r="C136" s="4" t="s">
        <v>418</v>
      </c>
      <c r="D136" s="17">
        <v>2232</v>
      </c>
      <c r="E136" s="35"/>
      <c r="F136" s="36"/>
      <c r="G136" s="12">
        <f t="shared" si="5"/>
        <v>2232</v>
      </c>
      <c r="H136" s="4"/>
      <c r="I136" s="46"/>
    </row>
    <row r="137" spans="1:9" s="20" customFormat="1" ht="66" customHeight="1" hidden="1">
      <c r="A137" s="424"/>
      <c r="B137" s="423"/>
      <c r="C137" s="4"/>
      <c r="D137" s="17"/>
      <c r="E137" s="35" t="s">
        <v>7</v>
      </c>
      <c r="F137" s="36">
        <v>3000</v>
      </c>
      <c r="G137" s="12">
        <f t="shared" si="5"/>
        <v>3000</v>
      </c>
      <c r="H137" s="4"/>
      <c r="I137" s="46"/>
    </row>
    <row r="138" spans="1:9" s="20" customFormat="1" ht="47.25" hidden="1">
      <c r="A138" s="432">
        <v>110300</v>
      </c>
      <c r="B138" s="426" t="s">
        <v>34</v>
      </c>
      <c r="C138" s="4" t="s">
        <v>8</v>
      </c>
      <c r="D138" s="21">
        <v>1114809</v>
      </c>
      <c r="E138" s="4"/>
      <c r="F138" s="36"/>
      <c r="G138" s="12">
        <f t="shared" si="5"/>
        <v>1114809</v>
      </c>
      <c r="H138" s="4"/>
      <c r="I138" s="46"/>
    </row>
    <row r="139" spans="1:9" s="20" customFormat="1" ht="63" hidden="1">
      <c r="A139" s="433"/>
      <c r="B139" s="427"/>
      <c r="C139" s="4" t="s">
        <v>418</v>
      </c>
      <c r="D139" s="21">
        <v>13116</v>
      </c>
      <c r="E139" s="4"/>
      <c r="F139" s="36"/>
      <c r="G139" s="12">
        <f t="shared" si="5"/>
        <v>13116</v>
      </c>
      <c r="H139" s="4"/>
      <c r="I139" s="46"/>
    </row>
    <row r="140" spans="1:9" s="20" customFormat="1" ht="31.5">
      <c r="A140" s="422">
        <v>110502</v>
      </c>
      <c r="B140" s="423" t="s">
        <v>22</v>
      </c>
      <c r="C140" s="4" t="s">
        <v>3</v>
      </c>
      <c r="D140" s="15">
        <v>1693819</v>
      </c>
      <c r="E140" s="4" t="s">
        <v>470</v>
      </c>
      <c r="F140" s="16">
        <v>42020</v>
      </c>
      <c r="G140" s="12">
        <f t="shared" si="5"/>
        <v>1735839</v>
      </c>
      <c r="H140" s="71"/>
      <c r="I140" s="46"/>
    </row>
    <row r="141" spans="1:9" s="20" customFormat="1" ht="51" customHeight="1">
      <c r="A141" s="422"/>
      <c r="B141" s="423"/>
      <c r="C141" s="4" t="s">
        <v>6</v>
      </c>
      <c r="D141" s="15">
        <v>925412</v>
      </c>
      <c r="E141" s="4" t="s">
        <v>6</v>
      </c>
      <c r="F141" s="12">
        <v>39696</v>
      </c>
      <c r="G141" s="12">
        <f t="shared" si="5"/>
        <v>965108</v>
      </c>
      <c r="H141" s="4"/>
      <c r="I141" s="46"/>
    </row>
    <row r="142" spans="1:9" s="20" customFormat="1" ht="55.5" customHeight="1" hidden="1">
      <c r="A142" s="422"/>
      <c r="B142" s="423"/>
      <c r="C142" s="4" t="s">
        <v>2</v>
      </c>
      <c r="D142" s="15">
        <v>20000</v>
      </c>
      <c r="E142" s="35"/>
      <c r="F142" s="16"/>
      <c r="G142" s="12">
        <f t="shared" si="5"/>
        <v>20000</v>
      </c>
      <c r="H142" s="4"/>
      <c r="I142" s="46"/>
    </row>
    <row r="143" spans="1:9" s="20" customFormat="1" ht="68.25" customHeight="1" hidden="1">
      <c r="A143" s="422"/>
      <c r="B143" s="423"/>
      <c r="C143" s="4" t="s">
        <v>418</v>
      </c>
      <c r="D143" s="15">
        <v>5280</v>
      </c>
      <c r="E143" s="4"/>
      <c r="F143" s="16"/>
      <c r="G143" s="12">
        <f t="shared" si="5"/>
        <v>5280</v>
      </c>
      <c r="H143" s="4"/>
      <c r="I143" s="46"/>
    </row>
    <row r="144" spans="1:9" s="20" customFormat="1" ht="47.25" hidden="1">
      <c r="A144" s="422"/>
      <c r="B144" s="423"/>
      <c r="C144" s="4"/>
      <c r="D144" s="15"/>
      <c r="E144" s="35" t="s">
        <v>282</v>
      </c>
      <c r="F144" s="36"/>
      <c r="G144" s="12">
        <f t="shared" si="5"/>
        <v>0</v>
      </c>
      <c r="H144" s="4"/>
      <c r="I144" s="46"/>
    </row>
    <row r="145" spans="1:9" s="20" customFormat="1" ht="47.25" hidden="1">
      <c r="A145" s="18" t="s">
        <v>88</v>
      </c>
      <c r="B145" s="4" t="s">
        <v>89</v>
      </c>
      <c r="C145" s="4"/>
      <c r="D145" s="5"/>
      <c r="E145" s="4" t="s">
        <v>6</v>
      </c>
      <c r="F145" s="19">
        <v>136523</v>
      </c>
      <c r="G145" s="12">
        <f>D145+F145</f>
        <v>136523</v>
      </c>
      <c r="H145" s="71"/>
      <c r="I145" s="46"/>
    </row>
    <row r="146" spans="1:9" s="20" customFormat="1" ht="47.25" hidden="1">
      <c r="A146" s="22" t="s">
        <v>344</v>
      </c>
      <c r="B146" s="23" t="s">
        <v>345</v>
      </c>
      <c r="C146" s="4"/>
      <c r="D146" s="24">
        <v>0</v>
      </c>
      <c r="E146" s="5"/>
      <c r="F146" s="28">
        <v>0</v>
      </c>
      <c r="G146" s="27">
        <v>0</v>
      </c>
      <c r="H146" s="71"/>
      <c r="I146" s="46"/>
    </row>
    <row r="147" spans="1:9" s="20" customFormat="1" ht="47.25" hidden="1">
      <c r="A147" s="18" t="s">
        <v>180</v>
      </c>
      <c r="B147" s="4" t="s">
        <v>181</v>
      </c>
      <c r="C147" s="4"/>
      <c r="D147" s="5"/>
      <c r="E147" s="55" t="s">
        <v>317</v>
      </c>
      <c r="F147" s="56">
        <v>0</v>
      </c>
      <c r="G147" s="9">
        <v>0</v>
      </c>
      <c r="H147" s="71"/>
      <c r="I147" s="46"/>
    </row>
    <row r="148" spans="1:9" s="20" customFormat="1" ht="54" customHeight="1" hidden="1">
      <c r="A148" s="22" t="s">
        <v>162</v>
      </c>
      <c r="B148" s="23" t="s">
        <v>188</v>
      </c>
      <c r="C148" s="4"/>
      <c r="D148" s="24">
        <f>D149+D150+D151+D152</f>
        <v>228711</v>
      </c>
      <c r="E148" s="5"/>
      <c r="F148" s="28">
        <f>F149+F150</f>
        <v>1000201</v>
      </c>
      <c r="G148" s="28">
        <f aca="true" t="shared" si="6" ref="G148:G178">D148+F148</f>
        <v>1228912</v>
      </c>
      <c r="H148" s="71"/>
      <c r="I148" s="46"/>
    </row>
    <row r="149" spans="1:9" s="20" customFormat="1" ht="31.5" hidden="1">
      <c r="A149" s="18" t="s">
        <v>180</v>
      </c>
      <c r="B149" s="4" t="s">
        <v>181</v>
      </c>
      <c r="C149" s="4"/>
      <c r="D149" s="17"/>
      <c r="E149" s="4" t="s">
        <v>448</v>
      </c>
      <c r="F149" s="19">
        <v>14000</v>
      </c>
      <c r="G149" s="19">
        <f t="shared" si="6"/>
        <v>14000</v>
      </c>
      <c r="H149" s="4"/>
      <c r="I149" s="46"/>
    </row>
    <row r="150" spans="1:9" s="20" customFormat="1" ht="47.25" hidden="1">
      <c r="A150" s="18" t="s">
        <v>88</v>
      </c>
      <c r="B150" s="4" t="s">
        <v>89</v>
      </c>
      <c r="C150" s="4"/>
      <c r="D150" s="5"/>
      <c r="E150" s="4" t="s">
        <v>445</v>
      </c>
      <c r="F150" s="19">
        <v>986201</v>
      </c>
      <c r="G150" s="19">
        <f t="shared" si="6"/>
        <v>986201</v>
      </c>
      <c r="H150" s="4"/>
      <c r="I150" s="46"/>
    </row>
    <row r="151" spans="1:9" s="20" customFormat="1" ht="66" customHeight="1" hidden="1">
      <c r="A151" s="18" t="s">
        <v>81</v>
      </c>
      <c r="B151" s="4" t="s">
        <v>96</v>
      </c>
      <c r="C151" s="4" t="s">
        <v>391</v>
      </c>
      <c r="D151" s="17">
        <v>120711</v>
      </c>
      <c r="E151" s="4"/>
      <c r="F151" s="9"/>
      <c r="G151" s="19">
        <f t="shared" si="6"/>
        <v>120711</v>
      </c>
      <c r="H151" s="4"/>
      <c r="I151" s="46"/>
    </row>
    <row r="152" spans="1:9" s="20" customFormat="1" ht="47.25" hidden="1">
      <c r="A152" s="18" t="s">
        <v>106</v>
      </c>
      <c r="B152" s="4" t="s">
        <v>236</v>
      </c>
      <c r="C152" s="4" t="s">
        <v>383</v>
      </c>
      <c r="D152" s="17">
        <v>108000</v>
      </c>
      <c r="E152" s="4"/>
      <c r="F152" s="9"/>
      <c r="G152" s="19">
        <f t="shared" si="6"/>
        <v>108000</v>
      </c>
      <c r="H152" s="4"/>
      <c r="I152" s="46"/>
    </row>
    <row r="153" spans="1:9" s="20" customFormat="1" ht="47.25" hidden="1">
      <c r="A153" s="22" t="s">
        <v>197</v>
      </c>
      <c r="B153" s="23" t="s">
        <v>198</v>
      </c>
      <c r="C153" s="4"/>
      <c r="D153" s="24">
        <f>D154</f>
        <v>0</v>
      </c>
      <c r="E153" s="5"/>
      <c r="F153" s="24">
        <f>F154</f>
        <v>0</v>
      </c>
      <c r="G153" s="24">
        <f t="shared" si="6"/>
        <v>0</v>
      </c>
      <c r="H153" s="71"/>
      <c r="I153" s="46"/>
    </row>
    <row r="154" spans="1:9" s="20" customFormat="1" ht="48.75" customHeight="1" hidden="1">
      <c r="A154" s="18" t="s">
        <v>180</v>
      </c>
      <c r="B154" s="4" t="s">
        <v>181</v>
      </c>
      <c r="C154" s="4"/>
      <c r="D154" s="17"/>
      <c r="E154" s="4"/>
      <c r="F154" s="19">
        <v>0</v>
      </c>
      <c r="G154" s="24">
        <f t="shared" si="6"/>
        <v>0</v>
      </c>
      <c r="H154" s="4"/>
      <c r="I154" s="46"/>
    </row>
    <row r="155" spans="1:9" s="20" customFormat="1" ht="45.75" customHeight="1" hidden="1">
      <c r="A155" s="22" t="s">
        <v>160</v>
      </c>
      <c r="B155" s="23" t="s">
        <v>243</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24" t="s">
        <v>180</v>
      </c>
      <c r="B156" s="423" t="s">
        <v>181</v>
      </c>
      <c r="C156" s="4"/>
      <c r="D156" s="24"/>
      <c r="E156" s="4" t="s">
        <v>448</v>
      </c>
      <c r="F156" s="19">
        <v>35000</v>
      </c>
      <c r="G156" s="19">
        <f t="shared" si="6"/>
        <v>35000</v>
      </c>
      <c r="H156" s="71"/>
      <c r="I156" s="46"/>
    </row>
    <row r="157" spans="1:9" s="20" customFormat="1" ht="61.5" customHeight="1" hidden="1">
      <c r="A157" s="424"/>
      <c r="B157" s="423"/>
      <c r="C157" s="4" t="s">
        <v>418</v>
      </c>
      <c r="D157" s="17">
        <v>746</v>
      </c>
      <c r="E157" s="4"/>
      <c r="F157" s="19"/>
      <c r="G157" s="19">
        <f t="shared" si="6"/>
        <v>746</v>
      </c>
      <c r="H157" s="4"/>
      <c r="I157" s="46"/>
    </row>
    <row r="158" spans="1:9" s="20" customFormat="1" ht="47.25" hidden="1">
      <c r="A158" s="18" t="s">
        <v>90</v>
      </c>
      <c r="B158" s="4" t="s">
        <v>97</v>
      </c>
      <c r="C158" s="4" t="s">
        <v>471</v>
      </c>
      <c r="D158" s="17">
        <v>131000</v>
      </c>
      <c r="E158" s="4"/>
      <c r="F158" s="9"/>
      <c r="G158" s="19">
        <f t="shared" si="6"/>
        <v>131000</v>
      </c>
      <c r="H158" s="4"/>
      <c r="I158" s="46"/>
    </row>
    <row r="159" spans="1:9" s="20" customFormat="1" ht="47.25" hidden="1">
      <c r="A159" s="424" t="s">
        <v>234</v>
      </c>
      <c r="B159" s="423" t="s">
        <v>235</v>
      </c>
      <c r="C159" s="4" t="s">
        <v>471</v>
      </c>
      <c r="D159" s="17">
        <v>10566800</v>
      </c>
      <c r="E159" s="4"/>
      <c r="F159" s="9"/>
      <c r="G159" s="19">
        <f t="shared" si="6"/>
        <v>10566800</v>
      </c>
      <c r="H159" s="4"/>
      <c r="I159" s="46"/>
    </row>
    <row r="160" spans="1:9" s="20" customFormat="1" ht="47.25" hidden="1">
      <c r="A160" s="424"/>
      <c r="B160" s="423"/>
      <c r="C160" s="35" t="s">
        <v>7</v>
      </c>
      <c r="D160" s="37">
        <v>64035</v>
      </c>
      <c r="E160" s="4"/>
      <c r="F160" s="9"/>
      <c r="G160" s="19">
        <f t="shared" si="6"/>
        <v>64035</v>
      </c>
      <c r="H160" s="4"/>
      <c r="I160" s="46"/>
    </row>
    <row r="161" spans="1:9" s="20" customFormat="1" ht="47.25" hidden="1">
      <c r="A161" s="424" t="s">
        <v>118</v>
      </c>
      <c r="B161" s="423" t="s">
        <v>119</v>
      </c>
      <c r="C161" s="4"/>
      <c r="D161" s="17"/>
      <c r="E161" s="4" t="s">
        <v>472</v>
      </c>
      <c r="F161" s="19">
        <v>33149648</v>
      </c>
      <c r="G161" s="19">
        <f t="shared" si="6"/>
        <v>33149648</v>
      </c>
      <c r="H161" s="4"/>
      <c r="I161" s="46"/>
    </row>
    <row r="162" spans="1:9" s="20" customFormat="1" ht="47.25" customHeight="1" hidden="1">
      <c r="A162" s="424"/>
      <c r="B162" s="423"/>
      <c r="C162" s="4" t="s">
        <v>320</v>
      </c>
      <c r="D162" s="17">
        <v>0</v>
      </c>
      <c r="E162" s="4" t="s">
        <v>320</v>
      </c>
      <c r="F162" s="9"/>
      <c r="G162" s="19">
        <f t="shared" si="6"/>
        <v>0</v>
      </c>
      <c r="H162" s="4"/>
      <c r="I162" s="46"/>
    </row>
    <row r="163" spans="1:9" s="20" customFormat="1" ht="47.25" hidden="1">
      <c r="A163" s="424"/>
      <c r="B163" s="423"/>
      <c r="C163" s="4"/>
      <c r="D163" s="17"/>
      <c r="E163" s="35" t="s">
        <v>7</v>
      </c>
      <c r="F163" s="37">
        <v>66475</v>
      </c>
      <c r="G163" s="19">
        <f t="shared" si="6"/>
        <v>66475</v>
      </c>
      <c r="H163" s="4"/>
      <c r="I163" s="46"/>
    </row>
    <row r="164" spans="1:9" s="20" customFormat="1" ht="47.25" hidden="1">
      <c r="A164" s="18" t="s">
        <v>453</v>
      </c>
      <c r="B164" s="4" t="s">
        <v>454</v>
      </c>
      <c r="C164" s="4" t="s">
        <v>473</v>
      </c>
      <c r="D164" s="17">
        <v>449300</v>
      </c>
      <c r="E164" s="35"/>
      <c r="F164" s="37"/>
      <c r="G164" s="19">
        <f>D164+F164</f>
        <v>449300</v>
      </c>
      <c r="H164" s="4"/>
      <c r="I164" s="46"/>
    </row>
    <row r="165" spans="1:9" s="20" customFormat="1" ht="56.25" customHeight="1" hidden="1">
      <c r="A165" s="18" t="s">
        <v>278</v>
      </c>
      <c r="B165" s="4" t="s">
        <v>279</v>
      </c>
      <c r="C165" s="4"/>
      <c r="D165" s="17"/>
      <c r="E165" s="4" t="s">
        <v>473</v>
      </c>
      <c r="F165" s="19">
        <v>780803</v>
      </c>
      <c r="G165" s="19">
        <f t="shared" si="6"/>
        <v>780803</v>
      </c>
      <c r="H165" s="4"/>
      <c r="I165" s="46"/>
    </row>
    <row r="166" spans="1:9" s="20" customFormat="1" ht="51.75" customHeight="1" hidden="1">
      <c r="A166" s="424" t="s">
        <v>98</v>
      </c>
      <c r="B166" s="423" t="s">
        <v>120</v>
      </c>
      <c r="C166" s="4" t="s">
        <v>475</v>
      </c>
      <c r="D166" s="17">
        <v>82050000</v>
      </c>
      <c r="E166" s="4" t="s">
        <v>474</v>
      </c>
      <c r="F166" s="19">
        <v>672751</v>
      </c>
      <c r="G166" s="19">
        <f t="shared" si="6"/>
        <v>82722751</v>
      </c>
      <c r="H166" s="4"/>
      <c r="I166" s="46"/>
    </row>
    <row r="167" spans="1:9" s="20" customFormat="1" ht="47.25" hidden="1">
      <c r="A167" s="424"/>
      <c r="B167" s="423"/>
      <c r="C167" s="35" t="s">
        <v>7</v>
      </c>
      <c r="D167" s="37">
        <v>0</v>
      </c>
      <c r="E167" s="35" t="s">
        <v>7</v>
      </c>
      <c r="F167" s="37">
        <v>30000</v>
      </c>
      <c r="G167" s="19">
        <f t="shared" si="6"/>
        <v>30000</v>
      </c>
      <c r="H167" s="4"/>
      <c r="I167" s="46"/>
    </row>
    <row r="168" spans="1:9" s="20" customFormat="1" ht="47.25" hidden="1">
      <c r="A168" s="18" t="s">
        <v>337</v>
      </c>
      <c r="B168" s="4" t="s">
        <v>338</v>
      </c>
      <c r="C168" s="35"/>
      <c r="D168" s="37"/>
      <c r="E168" s="4" t="s">
        <v>320</v>
      </c>
      <c r="F168" s="36">
        <v>0</v>
      </c>
      <c r="G168" s="19">
        <f t="shared" si="6"/>
        <v>0</v>
      </c>
      <c r="H168" s="4"/>
      <c r="I168" s="46"/>
    </row>
    <row r="169" spans="1:9" s="20" customFormat="1" ht="51" customHeight="1" hidden="1">
      <c r="A169" s="424" t="s">
        <v>88</v>
      </c>
      <c r="B169" s="423" t="s">
        <v>89</v>
      </c>
      <c r="C169" s="4"/>
      <c r="D169" s="5"/>
      <c r="E169" s="4" t="s">
        <v>476</v>
      </c>
      <c r="F169" s="12">
        <v>31435500</v>
      </c>
      <c r="G169" s="19">
        <f t="shared" si="6"/>
        <v>31435500</v>
      </c>
      <c r="H169" s="4"/>
      <c r="I169" s="46"/>
    </row>
    <row r="170" spans="1:9" s="20" customFormat="1" ht="47.25" hidden="1">
      <c r="A170" s="424"/>
      <c r="B170" s="423"/>
      <c r="C170" s="4"/>
      <c r="D170" s="5"/>
      <c r="E170" s="35" t="s">
        <v>7</v>
      </c>
      <c r="F170" s="37">
        <v>17235</v>
      </c>
      <c r="G170" s="19">
        <f t="shared" si="6"/>
        <v>17235</v>
      </c>
      <c r="H170" s="4"/>
      <c r="I170" s="46"/>
    </row>
    <row r="171" spans="1:9" s="51" customFormat="1" ht="46.5" customHeight="1" hidden="1">
      <c r="A171" s="428" t="s">
        <v>43</v>
      </c>
      <c r="B171" s="426" t="s">
        <v>219</v>
      </c>
      <c r="C171" s="4"/>
      <c r="D171" s="5"/>
      <c r="E171" s="4" t="s">
        <v>320</v>
      </c>
      <c r="F171" s="19">
        <v>0</v>
      </c>
      <c r="G171" s="19">
        <f t="shared" si="6"/>
        <v>0</v>
      </c>
      <c r="H171" s="4"/>
      <c r="I171" s="52"/>
    </row>
    <row r="172" spans="1:9" s="51" customFormat="1" ht="69.75" customHeight="1" hidden="1">
      <c r="A172" s="430"/>
      <c r="B172" s="431"/>
      <c r="C172" s="4"/>
      <c r="D172" s="5"/>
      <c r="E172" s="4" t="s">
        <v>477</v>
      </c>
      <c r="F172" s="19">
        <v>1529939</v>
      </c>
      <c r="G172" s="19">
        <f t="shared" si="6"/>
        <v>1529939</v>
      </c>
      <c r="H172" s="4"/>
      <c r="I172" s="52"/>
    </row>
    <row r="173" spans="1:9" s="51" customFormat="1" ht="87" customHeight="1" hidden="1">
      <c r="A173" s="429"/>
      <c r="B173" s="427"/>
      <c r="C173" s="4"/>
      <c r="D173" s="5"/>
      <c r="E173" s="4" t="s">
        <v>455</v>
      </c>
      <c r="F173" s="19">
        <v>187691</v>
      </c>
      <c r="G173" s="19">
        <f t="shared" si="6"/>
        <v>187691</v>
      </c>
      <c r="H173" s="4"/>
      <c r="I173" s="52"/>
    </row>
    <row r="174" spans="1:9" s="20" customFormat="1" ht="69.75" customHeight="1" hidden="1">
      <c r="A174" s="18" t="s">
        <v>100</v>
      </c>
      <c r="B174" s="4" t="s">
        <v>101</v>
      </c>
      <c r="C174" s="4"/>
      <c r="D174" s="5"/>
      <c r="E174" s="4" t="s">
        <v>452</v>
      </c>
      <c r="F174" s="19">
        <v>31540500</v>
      </c>
      <c r="G174" s="19">
        <f t="shared" si="6"/>
        <v>31540500</v>
      </c>
      <c r="H174" s="4"/>
      <c r="I174" s="46"/>
    </row>
    <row r="175" spans="1:9" s="20" customFormat="1" ht="27.75" customHeight="1" hidden="1">
      <c r="A175" s="4">
        <v>180107</v>
      </c>
      <c r="B175" s="4" t="s">
        <v>231</v>
      </c>
      <c r="C175" s="4"/>
      <c r="D175" s="17"/>
      <c r="E175" s="4" t="s">
        <v>249</v>
      </c>
      <c r="F175" s="19">
        <v>0</v>
      </c>
      <c r="G175" s="19">
        <f t="shared" si="6"/>
        <v>0</v>
      </c>
      <c r="H175" s="4"/>
      <c r="I175" s="46"/>
    </row>
    <row r="176" spans="1:9" s="20" customFormat="1" ht="63" customHeight="1" hidden="1">
      <c r="A176" s="423">
        <v>180409</v>
      </c>
      <c r="B176" s="423" t="s">
        <v>242</v>
      </c>
      <c r="C176" s="4"/>
      <c r="D176" s="17"/>
      <c r="E176" s="4" t="s">
        <v>478</v>
      </c>
      <c r="F176" s="19">
        <v>6226733</v>
      </c>
      <c r="G176" s="19">
        <f t="shared" si="6"/>
        <v>6226733</v>
      </c>
      <c r="H176" s="4"/>
      <c r="I176" s="46"/>
    </row>
    <row r="177" spans="1:9" s="20" customFormat="1" ht="63" hidden="1">
      <c r="A177" s="423"/>
      <c r="B177" s="423"/>
      <c r="C177" s="4"/>
      <c r="D177" s="17"/>
      <c r="E177" s="4" t="s">
        <v>446</v>
      </c>
      <c r="F177" s="19">
        <v>2688100</v>
      </c>
      <c r="G177" s="19">
        <f t="shared" si="6"/>
        <v>2688100</v>
      </c>
      <c r="H177" s="4"/>
      <c r="I177" s="46"/>
    </row>
    <row r="178" spans="1:9" s="20" customFormat="1" ht="31.5" hidden="1">
      <c r="A178" s="18" t="s">
        <v>33</v>
      </c>
      <c r="B178" s="4" t="s">
        <v>110</v>
      </c>
      <c r="C178" s="4"/>
      <c r="D178" s="5"/>
      <c r="E178" s="4" t="s">
        <v>400</v>
      </c>
      <c r="F178" s="19">
        <v>2250578</v>
      </c>
      <c r="G178" s="19">
        <f t="shared" si="6"/>
        <v>2250578</v>
      </c>
      <c r="H178" s="4"/>
      <c r="I178" s="46"/>
    </row>
    <row r="179" spans="1:9" s="20" customFormat="1" ht="39.75" customHeight="1" hidden="1">
      <c r="A179" s="428" t="s">
        <v>81</v>
      </c>
      <c r="B179" s="426" t="s">
        <v>96</v>
      </c>
      <c r="C179" s="4" t="s">
        <v>479</v>
      </c>
      <c r="D179" s="17">
        <v>5627420</v>
      </c>
      <c r="E179" s="4" t="s">
        <v>479</v>
      </c>
      <c r="F179" s="12">
        <v>1287772</v>
      </c>
      <c r="G179" s="19">
        <f>D179+F179</f>
        <v>6915192</v>
      </c>
      <c r="H179" s="4"/>
      <c r="I179" s="46"/>
    </row>
    <row r="180" spans="1:9" s="20" customFormat="1" ht="45.75" customHeight="1" hidden="1">
      <c r="A180" s="429"/>
      <c r="B180" s="427"/>
      <c r="C180" s="4" t="s">
        <v>392</v>
      </c>
      <c r="D180" s="17">
        <v>655808</v>
      </c>
      <c r="E180" s="4"/>
      <c r="F180" s="12"/>
      <c r="G180" s="19">
        <f>D180+F180</f>
        <v>655808</v>
      </c>
      <c r="H180" s="4"/>
      <c r="I180" s="46"/>
    </row>
    <row r="181" spans="1:9" s="20" customFormat="1" ht="38.25" hidden="1">
      <c r="A181" s="18" t="s">
        <v>43</v>
      </c>
      <c r="B181" s="29" t="s">
        <v>219</v>
      </c>
      <c r="C181" s="4"/>
      <c r="D181" s="5"/>
      <c r="E181" s="4" t="s">
        <v>227</v>
      </c>
      <c r="F181" s="12">
        <v>0</v>
      </c>
      <c r="G181" s="9">
        <v>0</v>
      </c>
      <c r="H181" s="4"/>
      <c r="I181" s="46"/>
    </row>
    <row r="182" spans="1:9" s="20" customFormat="1" ht="70.5" customHeight="1" hidden="1">
      <c r="A182" s="22" t="s">
        <v>241</v>
      </c>
      <c r="B182" s="23" t="s">
        <v>240</v>
      </c>
      <c r="C182" s="23"/>
      <c r="D182" s="24">
        <v>0</v>
      </c>
      <c r="E182" s="23"/>
      <c r="F182" s="30"/>
      <c r="G182" s="27">
        <v>0</v>
      </c>
      <c r="H182" s="4"/>
      <c r="I182" s="46"/>
    </row>
    <row r="183" spans="1:9" s="20" customFormat="1" ht="36" customHeight="1" hidden="1">
      <c r="A183" s="18" t="s">
        <v>90</v>
      </c>
      <c r="B183" s="4" t="s">
        <v>97</v>
      </c>
      <c r="C183" s="4" t="s">
        <v>122</v>
      </c>
      <c r="D183" s="17">
        <v>0</v>
      </c>
      <c r="E183" s="4"/>
      <c r="F183" s="12"/>
      <c r="G183" s="9">
        <v>0</v>
      </c>
      <c r="H183" s="4"/>
      <c r="I183" s="46"/>
    </row>
    <row r="184" spans="1:9" s="20" customFormat="1" ht="47.25" customHeight="1" hidden="1">
      <c r="A184" s="18" t="s">
        <v>98</v>
      </c>
      <c r="B184" s="4" t="s">
        <v>120</v>
      </c>
      <c r="C184" s="4" t="s">
        <v>217</v>
      </c>
      <c r="D184" s="17">
        <v>0</v>
      </c>
      <c r="E184" s="4"/>
      <c r="F184" s="12"/>
      <c r="G184" s="9">
        <v>0</v>
      </c>
      <c r="H184" s="4"/>
      <c r="I184" s="46"/>
    </row>
    <row r="185" spans="1:9" s="20" customFormat="1" ht="47.25" hidden="1">
      <c r="A185" s="22" t="s">
        <v>161</v>
      </c>
      <c r="B185" s="23" t="s">
        <v>57</v>
      </c>
      <c r="C185" s="4"/>
      <c r="D185" s="24">
        <f>D187</f>
        <v>40159</v>
      </c>
      <c r="E185" s="5"/>
      <c r="F185" s="24">
        <f>F186</f>
        <v>61915</v>
      </c>
      <c r="G185" s="28">
        <f aca="true" t="shared" si="7" ref="G185:G192">D185+F185</f>
        <v>102074</v>
      </c>
      <c r="H185" s="71"/>
      <c r="I185" s="46"/>
    </row>
    <row r="186" spans="1:9" s="20" customFormat="1" ht="48" customHeight="1" hidden="1">
      <c r="A186" s="18" t="s">
        <v>180</v>
      </c>
      <c r="B186" s="4" t="s">
        <v>181</v>
      </c>
      <c r="C186" s="4"/>
      <c r="D186" s="17"/>
      <c r="E186" s="4" t="s">
        <v>448</v>
      </c>
      <c r="F186" s="19">
        <v>61915</v>
      </c>
      <c r="G186" s="19">
        <f t="shared" si="7"/>
        <v>61915</v>
      </c>
      <c r="H186" s="4"/>
      <c r="I186" s="46"/>
    </row>
    <row r="187" spans="1:9" s="20" customFormat="1" ht="63" hidden="1">
      <c r="A187" s="18" t="s">
        <v>81</v>
      </c>
      <c r="B187" s="4" t="s">
        <v>96</v>
      </c>
      <c r="C187" s="4" t="s">
        <v>418</v>
      </c>
      <c r="D187" s="17">
        <v>40159</v>
      </c>
      <c r="E187" s="4"/>
      <c r="F187" s="9"/>
      <c r="G187" s="19">
        <f t="shared" si="7"/>
        <v>40159</v>
      </c>
      <c r="H187" s="4"/>
      <c r="I187" s="46"/>
    </row>
    <row r="188" spans="1:9" s="20" customFormat="1" ht="47.25" hidden="1">
      <c r="A188" s="22" t="s">
        <v>165</v>
      </c>
      <c r="B188" s="23" t="s">
        <v>59</v>
      </c>
      <c r="C188" s="4"/>
      <c r="D188" s="24">
        <f>D189+D191+D192+D193+D190</f>
        <v>2934703</v>
      </c>
      <c r="E188" s="5"/>
      <c r="F188" s="28">
        <f>F189+F193+F191+F190</f>
        <v>1664951</v>
      </c>
      <c r="G188" s="28">
        <f>D188+F188</f>
        <v>4599654</v>
      </c>
      <c r="H188" s="4"/>
      <c r="I188" s="46"/>
    </row>
    <row r="189" spans="1:9" s="20" customFormat="1" ht="53.25" customHeight="1" hidden="1">
      <c r="A189" s="18" t="s">
        <v>180</v>
      </c>
      <c r="B189" s="4" t="s">
        <v>181</v>
      </c>
      <c r="C189" s="4"/>
      <c r="D189" s="17"/>
      <c r="E189" s="4" t="s">
        <v>448</v>
      </c>
      <c r="F189" s="19">
        <v>14000</v>
      </c>
      <c r="G189" s="19">
        <f t="shared" si="7"/>
        <v>14000</v>
      </c>
      <c r="H189" s="4"/>
      <c r="I189" s="46"/>
    </row>
    <row r="190" spans="1:9" s="20" customFormat="1" ht="63" customHeight="1" hidden="1">
      <c r="A190" s="18" t="s">
        <v>442</v>
      </c>
      <c r="B190" s="4" t="s">
        <v>447</v>
      </c>
      <c r="C190" s="4" t="s">
        <v>5</v>
      </c>
      <c r="D190" s="17">
        <v>24055</v>
      </c>
      <c r="E190" s="4" t="s">
        <v>5</v>
      </c>
      <c r="F190" s="9">
        <v>1550464</v>
      </c>
      <c r="G190" s="19">
        <f>D190+F190</f>
        <v>1574519</v>
      </c>
      <c r="H190" s="4"/>
      <c r="I190" s="46"/>
    </row>
    <row r="191" spans="1:9" s="20" customFormat="1" ht="47.25" hidden="1">
      <c r="A191" s="422">
        <v>250404</v>
      </c>
      <c r="B191" s="422" t="s">
        <v>96</v>
      </c>
      <c r="C191" s="4"/>
      <c r="D191" s="21"/>
      <c r="E191" s="4" t="s">
        <v>11</v>
      </c>
      <c r="F191" s="12">
        <v>100487</v>
      </c>
      <c r="G191" s="19">
        <f t="shared" si="7"/>
        <v>100487</v>
      </c>
      <c r="H191" s="4"/>
      <c r="I191" s="46"/>
    </row>
    <row r="192" spans="1:9" s="20" customFormat="1" ht="51" customHeight="1" hidden="1">
      <c r="A192" s="422"/>
      <c r="B192" s="422"/>
      <c r="C192" s="4" t="s">
        <v>4</v>
      </c>
      <c r="D192" s="21">
        <v>2910648</v>
      </c>
      <c r="E192" s="4"/>
      <c r="F192" s="31"/>
      <c r="G192" s="19">
        <f t="shared" si="7"/>
        <v>2910648</v>
      </c>
      <c r="H192" s="4"/>
      <c r="I192" s="46"/>
    </row>
    <row r="193" spans="1:9" s="20" customFormat="1" ht="66" customHeight="1" hidden="1">
      <c r="A193" s="434"/>
      <c r="B193" s="422"/>
      <c r="D193" s="21"/>
      <c r="E193" s="4"/>
      <c r="F193" s="9"/>
      <c r="G193" s="19">
        <f>D193+F193</f>
        <v>0</v>
      </c>
      <c r="H193" s="4"/>
      <c r="I193" s="46"/>
    </row>
    <row r="194" spans="1:9" s="20" customFormat="1" ht="31.5" hidden="1">
      <c r="A194" s="22">
        <v>50</v>
      </c>
      <c r="B194" s="23" t="s">
        <v>201</v>
      </c>
      <c r="C194" s="4"/>
      <c r="D194" s="24">
        <v>0</v>
      </c>
      <c r="E194" s="5"/>
      <c r="F194" s="27">
        <v>0</v>
      </c>
      <c r="G194" s="27">
        <v>0</v>
      </c>
      <c r="H194" s="4"/>
      <c r="I194" s="46"/>
    </row>
    <row r="195" spans="1:9" s="20" customFormat="1" ht="48.75" customHeight="1" hidden="1">
      <c r="A195" s="18" t="s">
        <v>180</v>
      </c>
      <c r="B195" s="4" t="s">
        <v>181</v>
      </c>
      <c r="C195" s="4" t="s">
        <v>193</v>
      </c>
      <c r="D195" s="21"/>
      <c r="E195" s="4"/>
      <c r="F195" s="9"/>
      <c r="G195" s="9">
        <v>0</v>
      </c>
      <c r="H195" s="4"/>
      <c r="I195" s="46"/>
    </row>
    <row r="196" spans="1:9" s="20" customFormat="1" ht="47.25" hidden="1">
      <c r="A196" s="22" t="s">
        <v>169</v>
      </c>
      <c r="B196" s="23" t="s">
        <v>63</v>
      </c>
      <c r="C196" s="23"/>
      <c r="D196" s="24">
        <v>0</v>
      </c>
      <c r="E196" s="32"/>
      <c r="F196" s="24">
        <f>F197+F198</f>
        <v>41720</v>
      </c>
      <c r="G196" s="24">
        <f aca="true" t="shared" si="8" ref="G196:G203">D196+F196</f>
        <v>41720</v>
      </c>
      <c r="H196" s="71"/>
      <c r="I196" s="46"/>
    </row>
    <row r="197" spans="1:9" s="20" customFormat="1" ht="31.5" hidden="1">
      <c r="A197" s="18" t="s">
        <v>180</v>
      </c>
      <c r="B197" s="4" t="s">
        <v>181</v>
      </c>
      <c r="C197" s="4"/>
      <c r="D197" s="17"/>
      <c r="E197" s="4" t="s">
        <v>448</v>
      </c>
      <c r="F197" s="17">
        <v>41720</v>
      </c>
      <c r="G197" s="17">
        <f t="shared" si="8"/>
        <v>41720</v>
      </c>
      <c r="H197" s="4"/>
      <c r="I197" s="46"/>
    </row>
    <row r="198" spans="1:9" s="20" customFormat="1" ht="47.25" hidden="1">
      <c r="A198" s="18" t="s">
        <v>45</v>
      </c>
      <c r="B198" s="4" t="s">
        <v>46</v>
      </c>
      <c r="C198" s="4"/>
      <c r="D198" s="17"/>
      <c r="E198" s="70" t="s">
        <v>351</v>
      </c>
      <c r="F198" s="19">
        <v>0</v>
      </c>
      <c r="G198" s="17">
        <f t="shared" si="8"/>
        <v>0</v>
      </c>
      <c r="H198" s="4"/>
      <c r="I198" s="46"/>
    </row>
    <row r="199" spans="1:9" s="20" customFormat="1" ht="53.25" customHeight="1" hidden="1">
      <c r="A199" s="22" t="s">
        <v>166</v>
      </c>
      <c r="B199" s="23" t="s">
        <v>60</v>
      </c>
      <c r="C199" s="4"/>
      <c r="D199" s="24">
        <f>D203+D200+D201</f>
        <v>0</v>
      </c>
      <c r="E199" s="5"/>
      <c r="F199" s="24">
        <f>F201+F202+F200</f>
        <v>14491369</v>
      </c>
      <c r="G199" s="24">
        <f t="shared" si="8"/>
        <v>14491369</v>
      </c>
      <c r="H199" s="71"/>
      <c r="I199" s="46"/>
    </row>
    <row r="200" spans="1:9" s="20" customFormat="1" ht="33" customHeight="1" hidden="1">
      <c r="A200" s="18" t="s">
        <v>180</v>
      </c>
      <c r="B200" s="4" t="s">
        <v>181</v>
      </c>
      <c r="C200" s="4"/>
      <c r="D200" s="17"/>
      <c r="E200" s="4" t="s">
        <v>448</v>
      </c>
      <c r="F200" s="19">
        <v>21000</v>
      </c>
      <c r="G200" s="17">
        <f>D200+F200</f>
        <v>21000</v>
      </c>
      <c r="H200" s="4"/>
      <c r="I200" s="46"/>
    </row>
    <row r="201" spans="1:9" s="20" customFormat="1" ht="32.25" customHeight="1" hidden="1">
      <c r="A201" s="4">
        <v>240601</v>
      </c>
      <c r="B201" s="4" t="s">
        <v>110</v>
      </c>
      <c r="C201" s="4"/>
      <c r="D201" s="5"/>
      <c r="E201" s="4" t="s">
        <v>400</v>
      </c>
      <c r="F201" s="19">
        <v>14470369</v>
      </c>
      <c r="G201" s="17">
        <f t="shared" si="8"/>
        <v>14470369</v>
      </c>
      <c r="H201" s="4"/>
      <c r="I201" s="46"/>
    </row>
    <row r="202" spans="1:9" s="20" customFormat="1" ht="72" customHeight="1" hidden="1">
      <c r="A202" s="4">
        <v>240900</v>
      </c>
      <c r="B202" s="4" t="s">
        <v>239</v>
      </c>
      <c r="C202" s="4"/>
      <c r="D202" s="5"/>
      <c r="E202" s="70" t="s">
        <v>407</v>
      </c>
      <c r="F202" s="19">
        <v>0</v>
      </c>
      <c r="G202" s="17">
        <f t="shared" si="8"/>
        <v>0</v>
      </c>
      <c r="H202" s="4"/>
      <c r="I202" s="46"/>
    </row>
    <row r="203" spans="1:9" s="20" customFormat="1" ht="54" customHeight="1" hidden="1">
      <c r="A203" s="4">
        <v>250404</v>
      </c>
      <c r="B203" s="4" t="s">
        <v>228</v>
      </c>
      <c r="C203" s="4" t="s">
        <v>358</v>
      </c>
      <c r="D203" s="17">
        <v>0</v>
      </c>
      <c r="E203" s="4"/>
      <c r="F203" s="19"/>
      <c r="G203" s="17">
        <f t="shared" si="8"/>
        <v>0</v>
      </c>
      <c r="H203" s="4"/>
      <c r="I203" s="46"/>
    </row>
    <row r="204" spans="1:9" s="20" customFormat="1" ht="47.25" hidden="1">
      <c r="A204" s="22" t="s">
        <v>164</v>
      </c>
      <c r="B204" s="23" t="s">
        <v>61</v>
      </c>
      <c r="C204" s="4"/>
      <c r="D204" s="24">
        <f>D206+D207+D213+D215+D214</f>
        <v>14847723</v>
      </c>
      <c r="E204" s="5"/>
      <c r="F204" s="24">
        <f>F205+F206+F208+F209+F210+F211+F213</f>
        <v>3804223</v>
      </c>
      <c r="G204" s="24">
        <f>D204+F204</f>
        <v>18651946</v>
      </c>
      <c r="H204" s="71"/>
      <c r="I204" s="46"/>
    </row>
    <row r="205" spans="1:9" s="20" customFormat="1" ht="48" customHeight="1" hidden="1">
      <c r="A205" s="18" t="s">
        <v>180</v>
      </c>
      <c r="B205" s="4" t="s">
        <v>181</v>
      </c>
      <c r="C205" s="4"/>
      <c r="D205" s="17"/>
      <c r="E205" s="4" t="s">
        <v>448</v>
      </c>
      <c r="F205" s="9">
        <v>7000</v>
      </c>
      <c r="G205" s="17">
        <f>D205+F205</f>
        <v>7000</v>
      </c>
      <c r="H205" s="4"/>
      <c r="I205" s="46"/>
    </row>
    <row r="206" spans="1:9" s="20" customFormat="1" ht="84.75" customHeight="1" hidden="1">
      <c r="A206" s="18" t="s">
        <v>35</v>
      </c>
      <c r="B206" s="4" t="s">
        <v>36</v>
      </c>
      <c r="C206" s="4" t="s">
        <v>440</v>
      </c>
      <c r="D206" s="17">
        <v>2300000</v>
      </c>
      <c r="E206" s="4" t="s">
        <v>440</v>
      </c>
      <c r="F206" s="19">
        <v>296214</v>
      </c>
      <c r="G206" s="17">
        <f>D206+F206</f>
        <v>2596214</v>
      </c>
      <c r="H206" s="4"/>
      <c r="I206" s="46"/>
    </row>
    <row r="207" spans="1:9" s="20" customFormat="1" ht="72.75" customHeight="1" hidden="1">
      <c r="A207" s="18" t="s">
        <v>86</v>
      </c>
      <c r="B207" s="4" t="s">
        <v>87</v>
      </c>
      <c r="C207" s="4" t="s">
        <v>456</v>
      </c>
      <c r="D207" s="17">
        <v>10000000</v>
      </c>
      <c r="E207" s="4"/>
      <c r="F207" s="9"/>
      <c r="G207" s="17">
        <f>D207+F207</f>
        <v>10000000</v>
      </c>
      <c r="H207" s="4"/>
      <c r="I207" s="46"/>
    </row>
    <row r="208" spans="1:9" s="20" customFormat="1" ht="78.75" hidden="1">
      <c r="A208" s="428" t="s">
        <v>88</v>
      </c>
      <c r="B208" s="426" t="s">
        <v>89</v>
      </c>
      <c r="C208" s="4"/>
      <c r="D208" s="17"/>
      <c r="E208" s="4" t="s">
        <v>456</v>
      </c>
      <c r="F208" s="19">
        <v>1355142</v>
      </c>
      <c r="G208" s="17">
        <f aca="true" t="shared" si="9" ref="G208:G215">D208+F208</f>
        <v>1355142</v>
      </c>
      <c r="H208" s="4"/>
      <c r="I208" s="46"/>
    </row>
    <row r="209" spans="1:9" s="20" customFormat="1" ht="47.25" hidden="1">
      <c r="A209" s="429"/>
      <c r="B209" s="427"/>
      <c r="C209" s="4"/>
      <c r="D209" s="17"/>
      <c r="E209" s="4" t="s">
        <v>410</v>
      </c>
      <c r="F209" s="19">
        <v>25880</v>
      </c>
      <c r="G209" s="17">
        <f t="shared" si="9"/>
        <v>25880</v>
      </c>
      <c r="H209" s="4"/>
      <c r="I209" s="46"/>
    </row>
    <row r="210" spans="1:9" s="20" customFormat="1" ht="62.25" customHeight="1" hidden="1">
      <c r="A210" s="424" t="s">
        <v>102</v>
      </c>
      <c r="B210" s="423" t="s">
        <v>242</v>
      </c>
      <c r="C210" s="423"/>
      <c r="D210" s="17"/>
      <c r="E210" s="4" t="s">
        <v>456</v>
      </c>
      <c r="F210" s="19">
        <v>66000</v>
      </c>
      <c r="G210" s="17">
        <f t="shared" si="9"/>
        <v>66000</v>
      </c>
      <c r="H210" s="4"/>
      <c r="I210" s="46"/>
    </row>
    <row r="211" spans="1:9" s="20" customFormat="1" ht="63" hidden="1">
      <c r="A211" s="424"/>
      <c r="B211" s="423"/>
      <c r="C211" s="423"/>
      <c r="D211" s="435"/>
      <c r="E211" s="4" t="s">
        <v>457</v>
      </c>
      <c r="F211" s="19">
        <v>1573041</v>
      </c>
      <c r="G211" s="17">
        <f t="shared" si="9"/>
        <v>1573041</v>
      </c>
      <c r="H211" s="4"/>
      <c r="I211" s="46"/>
    </row>
    <row r="212" spans="1:9" s="20" customFormat="1" ht="47.25" hidden="1">
      <c r="A212" s="424"/>
      <c r="B212" s="423"/>
      <c r="C212" s="423"/>
      <c r="D212" s="435"/>
      <c r="E212" s="4" t="s">
        <v>354</v>
      </c>
      <c r="F212" s="9">
        <v>0</v>
      </c>
      <c r="G212" s="17">
        <f t="shared" si="9"/>
        <v>0</v>
      </c>
      <c r="H212" s="4"/>
      <c r="I212" s="46"/>
    </row>
    <row r="213" spans="1:9" s="20" customFormat="1" ht="69" customHeight="1" hidden="1">
      <c r="A213" s="18" t="s">
        <v>232</v>
      </c>
      <c r="B213" s="4" t="s">
        <v>233</v>
      </c>
      <c r="C213" s="4" t="s">
        <v>456</v>
      </c>
      <c r="D213" s="17">
        <v>122723</v>
      </c>
      <c r="E213" s="4" t="s">
        <v>457</v>
      </c>
      <c r="F213" s="19">
        <v>480946</v>
      </c>
      <c r="G213" s="17">
        <f t="shared" si="9"/>
        <v>603669</v>
      </c>
      <c r="H213" s="4"/>
      <c r="I213" s="46"/>
    </row>
    <row r="214" spans="1:9" s="20" customFormat="1" ht="63" hidden="1">
      <c r="A214" s="424" t="s">
        <v>81</v>
      </c>
      <c r="B214" s="423" t="s">
        <v>96</v>
      </c>
      <c r="C214" s="4" t="s">
        <v>457</v>
      </c>
      <c r="D214" s="17">
        <v>2425000</v>
      </c>
      <c r="E214" s="4"/>
      <c r="F214" s="9"/>
      <c r="G214" s="17">
        <f t="shared" si="9"/>
        <v>2425000</v>
      </c>
      <c r="H214" s="4"/>
      <c r="I214" s="46"/>
    </row>
    <row r="215" spans="1:9" s="20" customFormat="1" ht="63" hidden="1">
      <c r="A215" s="424"/>
      <c r="B215" s="423"/>
      <c r="C215" s="4" t="s">
        <v>356</v>
      </c>
      <c r="D215" s="17">
        <v>0</v>
      </c>
      <c r="E215" s="4" t="s">
        <v>356</v>
      </c>
      <c r="F215" s="19">
        <v>0</v>
      </c>
      <c r="G215" s="17">
        <f t="shared" si="9"/>
        <v>0</v>
      </c>
      <c r="H215" s="4"/>
      <c r="I215" s="46"/>
    </row>
    <row r="216" spans="1:9" s="20" customFormat="1" ht="78.75" customHeight="1">
      <c r="A216" s="22" t="s">
        <v>159</v>
      </c>
      <c r="B216" s="23" t="s">
        <v>56</v>
      </c>
      <c r="C216" s="4"/>
      <c r="D216" s="24">
        <f>D218+D219+D220</f>
        <v>6262527</v>
      </c>
      <c r="E216" s="5"/>
      <c r="F216" s="28">
        <f>F218+F219+F217</f>
        <v>6501142</v>
      </c>
      <c r="G216" s="28">
        <f>D216+F216</f>
        <v>12763669</v>
      </c>
      <c r="H216" s="71"/>
      <c r="I216" s="46"/>
    </row>
    <row r="217" spans="1:9" s="20" customFormat="1" ht="42" customHeight="1" hidden="1">
      <c r="A217" s="18" t="s">
        <v>180</v>
      </c>
      <c r="B217" s="4" t="s">
        <v>181</v>
      </c>
      <c r="C217" s="4"/>
      <c r="D217" s="17"/>
      <c r="E217" s="4" t="s">
        <v>448</v>
      </c>
      <c r="F217" s="12">
        <v>7000</v>
      </c>
      <c r="G217" s="19">
        <f aca="true" t="shared" si="10" ref="G217:G233">D217+F217</f>
        <v>7000</v>
      </c>
      <c r="H217" s="4"/>
      <c r="I217" s="46"/>
    </row>
    <row r="218" spans="1:9" s="20" customFormat="1" ht="69.75" customHeight="1">
      <c r="A218" s="18" t="s">
        <v>92</v>
      </c>
      <c r="B218" s="4" t="s">
        <v>93</v>
      </c>
      <c r="C218" s="4" t="s">
        <v>458</v>
      </c>
      <c r="D218" s="17">
        <v>3201442</v>
      </c>
      <c r="E218" s="4" t="s">
        <v>458</v>
      </c>
      <c r="F218" s="12">
        <v>6203691</v>
      </c>
      <c r="G218" s="19">
        <f>D218+F218</f>
        <v>9405133</v>
      </c>
      <c r="H218" s="71">
        <v>82552</v>
      </c>
      <c r="I218" s="46"/>
    </row>
    <row r="219" spans="1:9" s="20" customFormat="1" ht="63">
      <c r="A219" s="424" t="s">
        <v>94</v>
      </c>
      <c r="B219" s="423" t="s">
        <v>95</v>
      </c>
      <c r="C219" s="4" t="s">
        <v>458</v>
      </c>
      <c r="D219" s="17">
        <v>3059895</v>
      </c>
      <c r="E219" s="4" t="s">
        <v>458</v>
      </c>
      <c r="F219" s="12">
        <v>290451</v>
      </c>
      <c r="G219" s="19">
        <f>D219+F219</f>
        <v>3350346</v>
      </c>
      <c r="H219" s="71">
        <v>64182</v>
      </c>
      <c r="I219" s="46"/>
    </row>
    <row r="220" spans="1:9" s="20" customFormat="1" ht="68.25" customHeight="1" hidden="1">
      <c r="A220" s="424"/>
      <c r="B220" s="423"/>
      <c r="C220" s="4" t="s">
        <v>418</v>
      </c>
      <c r="D220" s="17">
        <v>1190</v>
      </c>
      <c r="E220" s="4"/>
      <c r="F220" s="12"/>
      <c r="G220" s="19">
        <f t="shared" si="10"/>
        <v>1190</v>
      </c>
      <c r="H220" s="4"/>
      <c r="I220" s="46"/>
    </row>
    <row r="221" spans="1:9" s="20" customFormat="1" ht="47.25" hidden="1">
      <c r="A221" s="22" t="s">
        <v>168</v>
      </c>
      <c r="B221" s="23" t="s">
        <v>62</v>
      </c>
      <c r="C221" s="4"/>
      <c r="D221" s="24">
        <f>D226</f>
        <v>0</v>
      </c>
      <c r="E221" s="5"/>
      <c r="F221" s="24">
        <f>F222+F223+F224</f>
        <v>7046384</v>
      </c>
      <c r="G221" s="24">
        <f>D221+F221</f>
        <v>7046384</v>
      </c>
      <c r="H221" s="71"/>
      <c r="I221" s="46"/>
    </row>
    <row r="222" spans="1:9" s="20" customFormat="1" ht="31.5" hidden="1">
      <c r="A222" s="18" t="s">
        <v>180</v>
      </c>
      <c r="B222" s="4" t="s">
        <v>181</v>
      </c>
      <c r="C222" s="4"/>
      <c r="D222" s="17"/>
      <c r="E222" s="4" t="s">
        <v>448</v>
      </c>
      <c r="F222" s="17">
        <v>35000</v>
      </c>
      <c r="G222" s="17">
        <f t="shared" si="10"/>
        <v>35000</v>
      </c>
      <c r="H222" s="4"/>
      <c r="I222" s="46"/>
    </row>
    <row r="223" spans="1:9" s="20" customFormat="1" ht="47.25" hidden="1">
      <c r="A223" s="18" t="s">
        <v>88</v>
      </c>
      <c r="B223" s="4" t="s">
        <v>89</v>
      </c>
      <c r="C223" s="4"/>
      <c r="D223" s="5"/>
      <c r="E223" s="4" t="s">
        <v>459</v>
      </c>
      <c r="F223" s="12">
        <v>3511384</v>
      </c>
      <c r="G223" s="17">
        <f t="shared" si="10"/>
        <v>3511384</v>
      </c>
      <c r="H223" s="4"/>
      <c r="I223" s="46"/>
    </row>
    <row r="224" spans="1:9" s="20" customFormat="1" ht="79.5" customHeight="1" hidden="1">
      <c r="A224" s="18" t="s">
        <v>103</v>
      </c>
      <c r="B224" s="4" t="s">
        <v>104</v>
      </c>
      <c r="C224" s="4"/>
      <c r="D224" s="5"/>
      <c r="E224" s="4" t="s">
        <v>459</v>
      </c>
      <c r="F224" s="19">
        <v>3500000</v>
      </c>
      <c r="G224" s="17">
        <f t="shared" si="10"/>
        <v>3500000</v>
      </c>
      <c r="H224" s="4"/>
      <c r="I224" s="46"/>
    </row>
    <row r="225" spans="1:9" s="20" customFormat="1" ht="78.75" hidden="1">
      <c r="A225" s="18" t="s">
        <v>92</v>
      </c>
      <c r="B225" s="4" t="s">
        <v>237</v>
      </c>
      <c r="C225" s="4"/>
      <c r="D225" s="17"/>
      <c r="E225" s="4" t="s">
        <v>321</v>
      </c>
      <c r="F225" s="19">
        <v>0</v>
      </c>
      <c r="G225" s="24">
        <f t="shared" si="10"/>
        <v>0</v>
      </c>
      <c r="H225" s="4"/>
      <c r="I225" s="46"/>
    </row>
    <row r="226" spans="1:9" s="20" customFormat="1" ht="53.25" customHeight="1" hidden="1">
      <c r="A226" s="18" t="s">
        <v>81</v>
      </c>
      <c r="B226" s="4" t="s">
        <v>96</v>
      </c>
      <c r="C226" s="4" t="s">
        <v>274</v>
      </c>
      <c r="D226" s="17">
        <v>0</v>
      </c>
      <c r="E226" s="4"/>
      <c r="F226" s="19"/>
      <c r="G226" s="17">
        <f t="shared" si="10"/>
        <v>0</v>
      </c>
      <c r="H226" s="4"/>
      <c r="I226" s="46"/>
    </row>
    <row r="227" spans="1:9" s="20" customFormat="1" ht="46.5" customHeight="1" hidden="1">
      <c r="A227" s="22" t="s">
        <v>167</v>
      </c>
      <c r="B227" s="23" t="s">
        <v>41</v>
      </c>
      <c r="C227" s="4"/>
      <c r="D227" s="24">
        <f>D229+D230+D232</f>
        <v>35602</v>
      </c>
      <c r="E227" s="5"/>
      <c r="F227" s="28">
        <f>F229</f>
        <v>70000</v>
      </c>
      <c r="G227" s="28">
        <f t="shared" si="10"/>
        <v>105602</v>
      </c>
      <c r="H227" s="4"/>
      <c r="I227" s="46"/>
    </row>
    <row r="228" spans="1:9" s="20" customFormat="1" ht="46.5" customHeight="1" hidden="1">
      <c r="A228" s="26" t="s">
        <v>180</v>
      </c>
      <c r="B228" s="4" t="s">
        <v>181</v>
      </c>
      <c r="C228" s="4" t="s">
        <v>200</v>
      </c>
      <c r="D228" s="21"/>
      <c r="E228" s="5"/>
      <c r="F228" s="19"/>
      <c r="G228" s="28">
        <f t="shared" si="10"/>
        <v>0</v>
      </c>
      <c r="H228" s="4"/>
      <c r="I228" s="46"/>
    </row>
    <row r="229" spans="1:9" s="20" customFormat="1" ht="70.5" customHeight="1" hidden="1">
      <c r="A229" s="18" t="s">
        <v>180</v>
      </c>
      <c r="B229" s="4" t="s">
        <v>181</v>
      </c>
      <c r="C229" s="4" t="s">
        <v>418</v>
      </c>
      <c r="D229" s="21">
        <v>2602</v>
      </c>
      <c r="E229" s="4" t="s">
        <v>448</v>
      </c>
      <c r="F229" s="19">
        <v>70000</v>
      </c>
      <c r="G229" s="19">
        <f>D229+F229</f>
        <v>72602</v>
      </c>
      <c r="H229" s="4"/>
      <c r="I229" s="46"/>
    </row>
    <row r="230" spans="1:9" s="20" customFormat="1" ht="15.75" hidden="1">
      <c r="A230" s="26">
        <v>230000</v>
      </c>
      <c r="B230" s="4" t="s">
        <v>209</v>
      </c>
      <c r="C230" s="423" t="s">
        <v>399</v>
      </c>
      <c r="D230" s="21">
        <v>0</v>
      </c>
      <c r="E230" s="5"/>
      <c r="F230" s="27"/>
      <c r="G230" s="19">
        <f t="shared" si="10"/>
        <v>0</v>
      </c>
      <c r="H230" s="4"/>
      <c r="I230" s="46"/>
    </row>
    <row r="231" spans="1:9" s="20" customFormat="1" ht="48" customHeight="1" hidden="1">
      <c r="A231" s="26">
        <v>210105</v>
      </c>
      <c r="B231" s="4"/>
      <c r="C231" s="423"/>
      <c r="D231" s="21">
        <v>0</v>
      </c>
      <c r="E231" s="5"/>
      <c r="F231" s="19">
        <v>0</v>
      </c>
      <c r="G231" s="19">
        <f t="shared" si="10"/>
        <v>0</v>
      </c>
      <c r="H231" s="4"/>
      <c r="I231" s="46"/>
    </row>
    <row r="232" spans="1:9" s="20" customFormat="1" ht="33" customHeight="1" hidden="1">
      <c r="A232" s="18" t="s">
        <v>81</v>
      </c>
      <c r="B232" s="4" t="s">
        <v>96</v>
      </c>
      <c r="C232" s="423"/>
      <c r="D232" s="17">
        <v>33000</v>
      </c>
      <c r="E232" s="4"/>
      <c r="F232" s="9"/>
      <c r="G232" s="19">
        <f t="shared" si="10"/>
        <v>33000</v>
      </c>
      <c r="H232" s="4"/>
      <c r="I232" s="46"/>
    </row>
    <row r="233" spans="1:9" s="20" customFormat="1" ht="47.25" hidden="1">
      <c r="A233" s="22" t="s">
        <v>208</v>
      </c>
      <c r="B233" s="23" t="s">
        <v>41</v>
      </c>
      <c r="C233" s="4"/>
      <c r="D233" s="32">
        <v>0</v>
      </c>
      <c r="E233" s="4"/>
      <c r="F233" s="24">
        <f>F235+F236</f>
        <v>0</v>
      </c>
      <c r="G233" s="24">
        <f t="shared" si="10"/>
        <v>0</v>
      </c>
      <c r="H233" s="71"/>
      <c r="I233" s="46"/>
    </row>
    <row r="234" spans="1:9" s="20" customFormat="1" ht="45" customHeight="1" hidden="1">
      <c r="A234" s="18" t="s">
        <v>105</v>
      </c>
      <c r="B234" s="4" t="s">
        <v>210</v>
      </c>
      <c r="C234" s="4"/>
      <c r="D234" s="5"/>
      <c r="E234" s="4" t="s">
        <v>218</v>
      </c>
      <c r="F234" s="12">
        <v>0</v>
      </c>
      <c r="G234" s="9">
        <v>0</v>
      </c>
      <c r="H234" s="4"/>
      <c r="I234" s="46"/>
    </row>
    <row r="235" spans="1:9" s="20" customFormat="1" ht="51.75" customHeight="1" hidden="1">
      <c r="A235" s="432">
        <v>250380</v>
      </c>
      <c r="B235" s="426" t="s">
        <v>339</v>
      </c>
      <c r="C235" s="4"/>
      <c r="D235" s="5"/>
      <c r="E235" s="4" t="s">
        <v>320</v>
      </c>
      <c r="F235" s="19">
        <v>0</v>
      </c>
      <c r="G235" s="19">
        <f>F235</f>
        <v>0</v>
      </c>
      <c r="H235" s="4"/>
      <c r="I235" s="46"/>
    </row>
    <row r="236" spans="1:9" s="20" customFormat="1" ht="51.75" customHeight="1" hidden="1">
      <c r="A236" s="433"/>
      <c r="B236" s="427"/>
      <c r="C236" s="4"/>
      <c r="D236" s="5"/>
      <c r="E236" s="4" t="s">
        <v>342</v>
      </c>
      <c r="F236" s="19">
        <v>0</v>
      </c>
      <c r="G236" s="19">
        <f>F236</f>
        <v>0</v>
      </c>
      <c r="H236" s="4"/>
      <c r="I236" s="46"/>
    </row>
    <row r="237" spans="1:9" s="20" customFormat="1" ht="47.25" hidden="1">
      <c r="A237" s="22" t="s">
        <v>149</v>
      </c>
      <c r="B237" s="23" t="s">
        <v>44</v>
      </c>
      <c r="C237" s="4"/>
      <c r="D237" s="24">
        <f>D241+D244+D245+D246+D247+D250+D251</f>
        <v>996508</v>
      </c>
      <c r="E237" s="4"/>
      <c r="F237" s="24">
        <f>F240+F243</f>
        <v>68812</v>
      </c>
      <c r="G237" s="24">
        <f>D237+F237</f>
        <v>1065320</v>
      </c>
      <c r="H237" s="71"/>
      <c r="I237" s="46"/>
    </row>
    <row r="238" spans="1:9" s="20" customFormat="1" ht="49.5" customHeight="1" hidden="1">
      <c r="A238" s="18" t="s">
        <v>180</v>
      </c>
      <c r="B238" s="4" t="s">
        <v>181</v>
      </c>
      <c r="C238" s="4" t="s">
        <v>186</v>
      </c>
      <c r="D238" s="17"/>
      <c r="E238" s="4" t="s">
        <v>186</v>
      </c>
      <c r="F238" s="19"/>
      <c r="G238" s="9">
        <v>0</v>
      </c>
      <c r="H238" s="4"/>
      <c r="I238" s="46"/>
    </row>
    <row r="239" spans="1:9" s="20" customFormat="1" ht="72" customHeight="1" hidden="1">
      <c r="A239" s="424" t="s">
        <v>180</v>
      </c>
      <c r="B239" s="423" t="s">
        <v>181</v>
      </c>
      <c r="C239" s="4" t="s">
        <v>332</v>
      </c>
      <c r="D239" s="17">
        <v>0</v>
      </c>
      <c r="E239" s="4"/>
      <c r="F239" s="19"/>
      <c r="G239" s="19">
        <v>0</v>
      </c>
      <c r="H239" s="4"/>
      <c r="I239" s="46"/>
    </row>
    <row r="240" spans="1:9" s="20" customFormat="1" ht="53.25" customHeight="1" hidden="1">
      <c r="A240" s="424"/>
      <c r="B240" s="423"/>
      <c r="C240" s="4"/>
      <c r="D240" s="17"/>
      <c r="E240" s="4" t="s">
        <v>448</v>
      </c>
      <c r="F240" s="19">
        <v>68812</v>
      </c>
      <c r="G240" s="19">
        <f>F240</f>
        <v>68812</v>
      </c>
      <c r="H240" s="4"/>
      <c r="I240" s="46"/>
    </row>
    <row r="241" spans="1:9" s="20" customFormat="1" ht="47.25" customHeight="1" hidden="1">
      <c r="A241" s="18" t="s">
        <v>98</v>
      </c>
      <c r="B241" s="4" t="s">
        <v>99</v>
      </c>
      <c r="C241" s="4" t="s">
        <v>452</v>
      </c>
      <c r="D241" s="17">
        <v>510000</v>
      </c>
      <c r="E241" s="4"/>
      <c r="F241" s="19"/>
      <c r="G241" s="19">
        <f>D241</f>
        <v>510000</v>
      </c>
      <c r="H241" s="4"/>
      <c r="I241" s="46"/>
    </row>
    <row r="242" spans="1:9" s="20" customFormat="1" ht="42.75" customHeight="1" hidden="1">
      <c r="A242" s="18" t="s">
        <v>88</v>
      </c>
      <c r="B242" s="4" t="s">
        <v>89</v>
      </c>
      <c r="C242" s="4"/>
      <c r="D242" s="17"/>
      <c r="E242" s="4" t="s">
        <v>214</v>
      </c>
      <c r="F242" s="19">
        <v>0</v>
      </c>
      <c r="G242" s="9">
        <v>0</v>
      </c>
      <c r="H242" s="4"/>
      <c r="I242" s="46"/>
    </row>
    <row r="243" spans="1:9" s="20" customFormat="1" ht="95.25" customHeight="1" hidden="1">
      <c r="A243" s="18" t="s">
        <v>75</v>
      </c>
      <c r="B243" s="4" t="s">
        <v>239</v>
      </c>
      <c r="C243" s="4"/>
      <c r="D243" s="17"/>
      <c r="E243" s="70" t="s">
        <v>330</v>
      </c>
      <c r="F243" s="19">
        <v>0</v>
      </c>
      <c r="G243" s="19">
        <f>F243</f>
        <v>0</v>
      </c>
      <c r="H243" s="4"/>
      <c r="I243" s="46"/>
    </row>
    <row r="244" spans="1:9" s="20" customFormat="1" ht="47.25" hidden="1">
      <c r="A244" s="424" t="s">
        <v>81</v>
      </c>
      <c r="B244" s="423" t="s">
        <v>96</v>
      </c>
      <c r="C244" s="4" t="s">
        <v>389</v>
      </c>
      <c r="D244" s="17">
        <v>155037</v>
      </c>
      <c r="E244" s="4"/>
      <c r="F244" s="9"/>
      <c r="G244" s="19">
        <f>D244</f>
        <v>155037</v>
      </c>
      <c r="H244" s="4"/>
      <c r="I244" s="46"/>
    </row>
    <row r="245" spans="1:9" s="20" customFormat="1" ht="47.25" hidden="1">
      <c r="A245" s="424"/>
      <c r="B245" s="423"/>
      <c r="C245" s="4" t="s">
        <v>452</v>
      </c>
      <c r="D245" s="17">
        <v>66308</v>
      </c>
      <c r="E245" s="4"/>
      <c r="F245" s="9"/>
      <c r="G245" s="19">
        <f aca="true" t="shared" si="11" ref="G245:G251">D245</f>
        <v>66308</v>
      </c>
      <c r="H245" s="4"/>
      <c r="I245" s="46"/>
    </row>
    <row r="246" spans="1:9" s="20" customFormat="1" ht="47.25" hidden="1">
      <c r="A246" s="424"/>
      <c r="B246" s="423"/>
      <c r="C246" s="4" t="s">
        <v>423</v>
      </c>
      <c r="D246" s="17">
        <v>233800</v>
      </c>
      <c r="E246" s="4"/>
      <c r="F246" s="9"/>
      <c r="G246" s="19">
        <f t="shared" si="11"/>
        <v>233800</v>
      </c>
      <c r="H246" s="4"/>
      <c r="I246" s="46"/>
    </row>
    <row r="247" spans="1:9" s="20" customFormat="1" ht="66" customHeight="1" hidden="1">
      <c r="A247" s="424"/>
      <c r="B247" s="423"/>
      <c r="C247" s="4" t="s">
        <v>390</v>
      </c>
      <c r="D247" s="17">
        <v>5100</v>
      </c>
      <c r="E247" s="4"/>
      <c r="F247" s="9"/>
      <c r="G247" s="19">
        <f t="shared" si="11"/>
        <v>5100</v>
      </c>
      <c r="H247" s="4"/>
      <c r="I247" s="46"/>
    </row>
    <row r="248" spans="1:9" s="20" customFormat="1" ht="45.75" customHeight="1" hidden="1">
      <c r="A248" s="424"/>
      <c r="B248" s="423"/>
      <c r="C248" s="4"/>
      <c r="D248" s="5"/>
      <c r="E248" s="4"/>
      <c r="F248" s="9"/>
      <c r="G248" s="19">
        <f t="shared" si="11"/>
        <v>0</v>
      </c>
      <c r="H248" s="4"/>
      <c r="I248" s="46"/>
    </row>
    <row r="249" spans="1:9" s="20" customFormat="1" ht="56.25" customHeight="1" hidden="1">
      <c r="A249" s="424"/>
      <c r="B249" s="423"/>
      <c r="C249" s="4"/>
      <c r="D249" s="5"/>
      <c r="E249" s="4"/>
      <c r="F249" s="9"/>
      <c r="G249" s="19">
        <f t="shared" si="11"/>
        <v>0</v>
      </c>
      <c r="H249" s="4"/>
      <c r="I249" s="46"/>
    </row>
    <row r="250" spans="1:9" s="20" customFormat="1" ht="47.25" hidden="1">
      <c r="A250" s="424"/>
      <c r="B250" s="423"/>
      <c r="C250" s="4" t="s">
        <v>388</v>
      </c>
      <c r="D250" s="17">
        <v>25298</v>
      </c>
      <c r="E250" s="4"/>
      <c r="F250" s="9"/>
      <c r="G250" s="19">
        <f t="shared" si="11"/>
        <v>25298</v>
      </c>
      <c r="H250" s="4"/>
      <c r="I250" s="46"/>
    </row>
    <row r="251" spans="1:9" s="20" customFormat="1" ht="63.75" customHeight="1" hidden="1">
      <c r="A251" s="424"/>
      <c r="B251" s="423"/>
      <c r="C251" s="4" t="s">
        <v>418</v>
      </c>
      <c r="D251" s="17">
        <v>965</v>
      </c>
      <c r="E251" s="4"/>
      <c r="F251" s="9"/>
      <c r="G251" s="19">
        <f t="shared" si="11"/>
        <v>965</v>
      </c>
      <c r="H251" s="4"/>
      <c r="I251" s="46"/>
    </row>
    <row r="252" spans="1:9" s="20" customFormat="1" ht="47.25">
      <c r="A252" s="22" t="s">
        <v>150</v>
      </c>
      <c r="B252" s="23" t="s">
        <v>47</v>
      </c>
      <c r="C252" s="4"/>
      <c r="D252" s="24">
        <f>D254+D258+D260+D261+D262+D263</f>
        <v>509258</v>
      </c>
      <c r="E252" s="23"/>
      <c r="F252" s="24">
        <f>F253+F254+F255+F257</f>
        <v>33765</v>
      </c>
      <c r="G252" s="24">
        <f>D252+F252</f>
        <v>543023</v>
      </c>
      <c r="H252" s="71"/>
      <c r="I252" s="46"/>
    </row>
    <row r="253" spans="1:9" s="20" customFormat="1" ht="43.5" customHeight="1" hidden="1">
      <c r="A253" s="18" t="s">
        <v>180</v>
      </c>
      <c r="B253" s="4" t="s">
        <v>181</v>
      </c>
      <c r="C253" s="4"/>
      <c r="D253" s="17"/>
      <c r="E253" s="4" t="s">
        <v>448</v>
      </c>
      <c r="F253" s="19">
        <v>27827</v>
      </c>
      <c r="G253" s="19">
        <f>F253</f>
        <v>27827</v>
      </c>
      <c r="H253" s="4"/>
      <c r="I253" s="46"/>
    </row>
    <row r="254" spans="1:9" s="20" customFormat="1" ht="50.25" customHeight="1">
      <c r="A254" s="424" t="s">
        <v>98</v>
      </c>
      <c r="B254" s="423" t="s">
        <v>99</v>
      </c>
      <c r="C254" s="4" t="s">
        <v>452</v>
      </c>
      <c r="D254" s="17">
        <v>440000</v>
      </c>
      <c r="E254" s="4" t="s">
        <v>452</v>
      </c>
      <c r="F254" s="19">
        <v>5542</v>
      </c>
      <c r="G254" s="19">
        <f>D254+F254</f>
        <v>445542</v>
      </c>
      <c r="H254" s="4">
        <v>5146</v>
      </c>
      <c r="I254" s="46"/>
    </row>
    <row r="255" spans="1:9" s="20" customFormat="1" ht="47.25" hidden="1">
      <c r="A255" s="424"/>
      <c r="B255" s="423"/>
      <c r="C255" s="4"/>
      <c r="D255" s="17"/>
      <c r="E255" s="35" t="s">
        <v>7</v>
      </c>
      <c r="F255" s="39">
        <v>396</v>
      </c>
      <c r="G255" s="39">
        <f>F255</f>
        <v>396</v>
      </c>
      <c r="H255" s="4"/>
      <c r="I255" s="46"/>
    </row>
    <row r="256" spans="1:9" s="20" customFormat="1" ht="21.75" customHeight="1" hidden="1">
      <c r="A256" s="18" t="s">
        <v>88</v>
      </c>
      <c r="B256" s="4" t="s">
        <v>89</v>
      </c>
      <c r="C256" s="4"/>
      <c r="D256" s="17"/>
      <c r="E256" s="4"/>
      <c r="F256" s="19"/>
      <c r="G256" s="19">
        <v>0</v>
      </c>
      <c r="H256" s="4"/>
      <c r="I256" s="46"/>
    </row>
    <row r="257" spans="1:9" s="20" customFormat="1" ht="99.75" customHeight="1" hidden="1">
      <c r="A257" s="18" t="s">
        <v>75</v>
      </c>
      <c r="B257" s="4" t="s">
        <v>239</v>
      </c>
      <c r="C257" s="4"/>
      <c r="D257" s="17"/>
      <c r="E257" s="70" t="s">
        <v>330</v>
      </c>
      <c r="F257" s="19">
        <v>0</v>
      </c>
      <c r="G257" s="19">
        <f>F257</f>
        <v>0</v>
      </c>
      <c r="H257" s="4"/>
      <c r="I257" s="46"/>
    </row>
    <row r="258" spans="1:9" s="20" customFormat="1" ht="47.25" hidden="1">
      <c r="A258" s="424" t="s">
        <v>81</v>
      </c>
      <c r="B258" s="423" t="s">
        <v>96</v>
      </c>
      <c r="C258" s="4" t="s">
        <v>389</v>
      </c>
      <c r="D258" s="17">
        <v>10800</v>
      </c>
      <c r="E258" s="4"/>
      <c r="F258" s="9"/>
      <c r="G258" s="19">
        <f aca="true" t="shared" si="12" ref="G258:G263">D258</f>
        <v>10800</v>
      </c>
      <c r="H258" s="4"/>
      <c r="I258" s="46"/>
    </row>
    <row r="259" spans="1:9" s="20" customFormat="1" ht="34.5" customHeight="1" hidden="1">
      <c r="A259" s="424"/>
      <c r="B259" s="423"/>
      <c r="C259" s="4"/>
      <c r="D259" s="17"/>
      <c r="E259" s="4"/>
      <c r="F259" s="9"/>
      <c r="G259" s="19">
        <f t="shared" si="12"/>
        <v>0</v>
      </c>
      <c r="H259" s="4"/>
      <c r="I259" s="46"/>
    </row>
    <row r="260" spans="1:9" s="20" customFormat="1" ht="52.5" customHeight="1" hidden="1">
      <c r="A260" s="424"/>
      <c r="B260" s="423"/>
      <c r="C260" s="4" t="s">
        <v>423</v>
      </c>
      <c r="D260" s="17">
        <v>31950</v>
      </c>
      <c r="E260" s="4"/>
      <c r="F260" s="9"/>
      <c r="G260" s="19">
        <f t="shared" si="12"/>
        <v>31950</v>
      </c>
      <c r="H260" s="4"/>
      <c r="I260" s="46"/>
    </row>
    <row r="261" spans="1:9" s="20" customFormat="1" ht="63" hidden="1">
      <c r="A261" s="424"/>
      <c r="B261" s="423"/>
      <c r="C261" s="4" t="s">
        <v>390</v>
      </c>
      <c r="D261" s="17">
        <v>5100</v>
      </c>
      <c r="E261" s="4"/>
      <c r="F261" s="9"/>
      <c r="G261" s="19">
        <f t="shared" si="12"/>
        <v>5100</v>
      </c>
      <c r="H261" s="4"/>
      <c r="I261" s="46"/>
    </row>
    <row r="262" spans="1:9" s="20" customFormat="1" ht="47.25" hidden="1">
      <c r="A262" s="424"/>
      <c r="B262" s="423"/>
      <c r="C262" s="4" t="s">
        <v>452</v>
      </c>
      <c r="D262" s="17">
        <v>0</v>
      </c>
      <c r="E262" s="4"/>
      <c r="F262" s="9"/>
      <c r="G262" s="19">
        <f t="shared" si="12"/>
        <v>0</v>
      </c>
      <c r="H262" s="4"/>
      <c r="I262" s="46"/>
    </row>
    <row r="263" spans="1:9" s="20" customFormat="1" ht="47.25" hidden="1">
      <c r="A263" s="424"/>
      <c r="B263" s="423"/>
      <c r="C263" s="4" t="s">
        <v>388</v>
      </c>
      <c r="D263" s="17">
        <v>21408</v>
      </c>
      <c r="E263" s="4"/>
      <c r="F263" s="9"/>
      <c r="G263" s="19">
        <f t="shared" si="12"/>
        <v>21408</v>
      </c>
      <c r="H263" s="4"/>
      <c r="I263" s="46"/>
    </row>
    <row r="264" spans="1:9" s="20" customFormat="1" ht="47.25">
      <c r="A264" s="22" t="s">
        <v>151</v>
      </c>
      <c r="B264" s="23" t="s">
        <v>48</v>
      </c>
      <c r="C264" s="4"/>
      <c r="D264" s="24">
        <f>D265+D266+D269+D270+D271+D272+D274+D275</f>
        <v>970596</v>
      </c>
      <c r="E264" s="23"/>
      <c r="F264" s="24">
        <f>F265+F266+F267+F268</f>
        <v>4568094</v>
      </c>
      <c r="G264" s="24">
        <f>D264+F264</f>
        <v>5538690</v>
      </c>
      <c r="H264" s="71"/>
      <c r="I264" s="46"/>
    </row>
    <row r="265" spans="1:9" s="20" customFormat="1" ht="45" customHeight="1" hidden="1">
      <c r="A265" s="18" t="s">
        <v>180</v>
      </c>
      <c r="B265" s="4" t="s">
        <v>181</v>
      </c>
      <c r="C265" s="4"/>
      <c r="D265" s="17"/>
      <c r="E265" s="4" t="s">
        <v>448</v>
      </c>
      <c r="F265" s="19">
        <v>27975</v>
      </c>
      <c r="G265" s="19">
        <f>F265</f>
        <v>27975</v>
      </c>
      <c r="H265" s="4"/>
      <c r="I265" s="46"/>
    </row>
    <row r="266" spans="1:9" s="20" customFormat="1" ht="56.25" customHeight="1">
      <c r="A266" s="18" t="s">
        <v>98</v>
      </c>
      <c r="B266" s="4" t="s">
        <v>99</v>
      </c>
      <c r="C266" s="4" t="s">
        <v>452</v>
      </c>
      <c r="D266" s="17">
        <v>710000</v>
      </c>
      <c r="E266" s="4" t="s">
        <v>452</v>
      </c>
      <c r="F266" s="19">
        <v>132173</v>
      </c>
      <c r="G266" s="19">
        <f>D266+F266</f>
        <v>842173</v>
      </c>
      <c r="H266" s="4">
        <v>132173</v>
      </c>
      <c r="I266" s="46"/>
    </row>
    <row r="267" spans="1:9" s="20" customFormat="1" ht="47.25" hidden="1">
      <c r="A267" s="18" t="s">
        <v>88</v>
      </c>
      <c r="B267" s="4" t="s">
        <v>89</v>
      </c>
      <c r="C267" s="4"/>
      <c r="D267" s="17"/>
      <c r="E267" s="4" t="s">
        <v>452</v>
      </c>
      <c r="F267" s="19">
        <v>4407946</v>
      </c>
      <c r="G267" s="19">
        <f>F267</f>
        <v>4407946</v>
      </c>
      <c r="H267" s="4"/>
      <c r="I267" s="46"/>
    </row>
    <row r="268" spans="1:9" s="20" customFormat="1" ht="99.75" customHeight="1" hidden="1">
      <c r="A268" s="18" t="s">
        <v>75</v>
      </c>
      <c r="B268" s="4" t="s">
        <v>239</v>
      </c>
      <c r="C268" s="4"/>
      <c r="D268" s="17"/>
      <c r="E268" s="70" t="s">
        <v>330</v>
      </c>
      <c r="F268" s="19">
        <v>0</v>
      </c>
      <c r="G268" s="19">
        <f>F268</f>
        <v>0</v>
      </c>
      <c r="H268" s="4"/>
      <c r="I268" s="46"/>
    </row>
    <row r="269" spans="1:9" s="20" customFormat="1" ht="47.25" hidden="1">
      <c r="A269" s="424" t="s">
        <v>81</v>
      </c>
      <c r="B269" s="423" t="s">
        <v>96</v>
      </c>
      <c r="C269" s="4" t="s">
        <v>389</v>
      </c>
      <c r="D269" s="17">
        <v>108138</v>
      </c>
      <c r="E269" s="4"/>
      <c r="F269" s="9"/>
      <c r="G269" s="19">
        <f>D269</f>
        <v>108138</v>
      </c>
      <c r="H269" s="4"/>
      <c r="I269" s="46"/>
    </row>
    <row r="270" spans="1:9" s="20" customFormat="1" ht="47.25" hidden="1">
      <c r="A270" s="424"/>
      <c r="B270" s="423"/>
      <c r="C270" s="4" t="s">
        <v>452</v>
      </c>
      <c r="D270" s="17">
        <v>66600</v>
      </c>
      <c r="E270" s="4"/>
      <c r="F270" s="9"/>
      <c r="G270" s="19">
        <f aca="true" t="shared" si="13" ref="G270:G275">D270</f>
        <v>66600</v>
      </c>
      <c r="H270" s="4"/>
      <c r="I270" s="46"/>
    </row>
    <row r="271" spans="1:9" s="20" customFormat="1" ht="47.25" hidden="1">
      <c r="A271" s="424"/>
      <c r="B271" s="423"/>
      <c r="C271" s="4" t="s">
        <v>423</v>
      </c>
      <c r="D271" s="17">
        <v>38505</v>
      </c>
      <c r="E271" s="4"/>
      <c r="F271" s="9"/>
      <c r="G271" s="19">
        <f t="shared" si="13"/>
        <v>38505</v>
      </c>
      <c r="H271" s="4"/>
      <c r="I271" s="46"/>
    </row>
    <row r="272" spans="1:9" s="20" customFormat="1" ht="63" hidden="1">
      <c r="A272" s="424"/>
      <c r="B272" s="423"/>
      <c r="C272" s="4" t="s">
        <v>390</v>
      </c>
      <c r="D272" s="17">
        <v>2756</v>
      </c>
      <c r="E272" s="4"/>
      <c r="F272" s="9"/>
      <c r="G272" s="19">
        <f t="shared" si="13"/>
        <v>2756</v>
      </c>
      <c r="H272" s="4"/>
      <c r="I272" s="46"/>
    </row>
    <row r="273" spans="1:9" s="20" customFormat="1" ht="21.75" customHeight="1" hidden="1">
      <c r="A273" s="424"/>
      <c r="B273" s="423"/>
      <c r="C273" s="4"/>
      <c r="D273" s="5"/>
      <c r="E273" s="4"/>
      <c r="F273" s="9"/>
      <c r="G273" s="19">
        <f t="shared" si="13"/>
        <v>0</v>
      </c>
      <c r="H273" s="4"/>
      <c r="I273" s="46"/>
    </row>
    <row r="274" spans="1:9" s="20" customFormat="1" ht="47.25" hidden="1">
      <c r="A274" s="424"/>
      <c r="B274" s="423"/>
      <c r="C274" s="4" t="s">
        <v>388</v>
      </c>
      <c r="D274" s="17">
        <f>18932+14100</f>
        <v>33032</v>
      </c>
      <c r="E274" s="4"/>
      <c r="F274" s="9"/>
      <c r="G274" s="19">
        <f t="shared" si="13"/>
        <v>33032</v>
      </c>
      <c r="H274" s="4"/>
      <c r="I274" s="46"/>
    </row>
    <row r="275" spans="1:9" s="20" customFormat="1" ht="66.75" customHeight="1" hidden="1">
      <c r="A275" s="424"/>
      <c r="B275" s="423"/>
      <c r="C275" s="4" t="s">
        <v>418</v>
      </c>
      <c r="D275" s="17">
        <v>11565</v>
      </c>
      <c r="E275" s="4"/>
      <c r="F275" s="9"/>
      <c r="G275" s="19">
        <f t="shared" si="13"/>
        <v>11565</v>
      </c>
      <c r="H275" s="4"/>
      <c r="I275" s="46"/>
    </row>
    <row r="276" spans="1:9" s="20" customFormat="1" ht="47.25">
      <c r="A276" s="22" t="s">
        <v>152</v>
      </c>
      <c r="B276" s="23" t="s">
        <v>49</v>
      </c>
      <c r="C276" s="4"/>
      <c r="D276" s="24">
        <f>D278+D280+D281+D282+D283+D284+D285</f>
        <v>663789</v>
      </c>
      <c r="E276" s="23"/>
      <c r="F276" s="24">
        <f>F277+F278+F279</f>
        <v>273375</v>
      </c>
      <c r="G276" s="28">
        <f>D276+F276</f>
        <v>937164</v>
      </c>
      <c r="H276" s="74"/>
      <c r="I276" s="46"/>
    </row>
    <row r="277" spans="1:9" s="20" customFormat="1" ht="31.5" hidden="1">
      <c r="A277" s="18" t="s">
        <v>180</v>
      </c>
      <c r="B277" s="4" t="s">
        <v>181</v>
      </c>
      <c r="C277" s="4"/>
      <c r="D277" s="17"/>
      <c r="E277" s="4" t="s">
        <v>448</v>
      </c>
      <c r="F277" s="19">
        <v>42375</v>
      </c>
      <c r="G277" s="19">
        <f>F277</f>
        <v>42375</v>
      </c>
      <c r="H277" s="23"/>
      <c r="I277" s="46"/>
    </row>
    <row r="278" spans="1:9" s="20" customFormat="1" ht="66" customHeight="1">
      <c r="A278" s="18" t="s">
        <v>98</v>
      </c>
      <c r="B278" s="4" t="s">
        <v>99</v>
      </c>
      <c r="C278" s="4" t="s">
        <v>452</v>
      </c>
      <c r="D278" s="17">
        <v>480000</v>
      </c>
      <c r="E278" s="4" t="s">
        <v>452</v>
      </c>
      <c r="F278" s="19">
        <v>10000</v>
      </c>
      <c r="G278" s="19">
        <f>D278+F278</f>
        <v>490000</v>
      </c>
      <c r="H278" s="4">
        <v>10000</v>
      </c>
      <c r="I278" s="46"/>
    </row>
    <row r="279" spans="1:9" s="20" customFormat="1" ht="55.5" customHeight="1" hidden="1">
      <c r="A279" s="18" t="s">
        <v>88</v>
      </c>
      <c r="B279" s="4" t="s">
        <v>89</v>
      </c>
      <c r="C279" s="4"/>
      <c r="D279" s="17"/>
      <c r="E279" s="4" t="s">
        <v>452</v>
      </c>
      <c r="F279" s="19">
        <v>221000</v>
      </c>
      <c r="G279" s="19">
        <f>F279</f>
        <v>221000</v>
      </c>
      <c r="H279" s="4"/>
      <c r="I279" s="46"/>
    </row>
    <row r="280" spans="1:9" s="20" customFormat="1" ht="47.25" hidden="1">
      <c r="A280" s="424" t="s">
        <v>81</v>
      </c>
      <c r="B280" s="423" t="s">
        <v>96</v>
      </c>
      <c r="C280" s="4" t="s">
        <v>389</v>
      </c>
      <c r="D280" s="17">
        <v>111797</v>
      </c>
      <c r="E280" s="4"/>
      <c r="F280" s="9"/>
      <c r="G280" s="19">
        <f aca="true" t="shared" si="14" ref="G280:G285">D280</f>
        <v>111797</v>
      </c>
      <c r="H280" s="4"/>
      <c r="I280" s="46"/>
    </row>
    <row r="281" spans="1:9" s="20" customFormat="1" ht="47.25" hidden="1">
      <c r="A281" s="424"/>
      <c r="B281" s="423"/>
      <c r="C281" s="4" t="s">
        <v>452</v>
      </c>
      <c r="D281" s="17">
        <v>16686</v>
      </c>
      <c r="E281" s="4"/>
      <c r="F281" s="9"/>
      <c r="G281" s="19">
        <f t="shared" si="14"/>
        <v>16686</v>
      </c>
      <c r="H281" s="4"/>
      <c r="I281" s="46"/>
    </row>
    <row r="282" spans="1:9" s="20" customFormat="1" ht="47.25" hidden="1">
      <c r="A282" s="424"/>
      <c r="B282" s="423"/>
      <c r="C282" s="4" t="s">
        <v>423</v>
      </c>
      <c r="D282" s="17">
        <v>26015</v>
      </c>
      <c r="E282" s="4"/>
      <c r="F282" s="9"/>
      <c r="G282" s="19">
        <f t="shared" si="14"/>
        <v>26015</v>
      </c>
      <c r="H282" s="4"/>
      <c r="I282" s="46"/>
    </row>
    <row r="283" spans="1:9" s="20" customFormat="1" ht="63" hidden="1">
      <c r="A283" s="424"/>
      <c r="B283" s="423"/>
      <c r="C283" s="4" t="s">
        <v>390</v>
      </c>
      <c r="D283" s="17">
        <v>4133</v>
      </c>
      <c r="E283" s="4"/>
      <c r="F283" s="9"/>
      <c r="G283" s="19">
        <f t="shared" si="14"/>
        <v>4133</v>
      </c>
      <c r="H283" s="4"/>
      <c r="I283" s="46"/>
    </row>
    <row r="284" spans="1:9" s="20" customFormat="1" ht="47.25" hidden="1">
      <c r="A284" s="424"/>
      <c r="B284" s="423"/>
      <c r="C284" s="4" t="s">
        <v>388</v>
      </c>
      <c r="D284" s="17">
        <v>23096</v>
      </c>
      <c r="E284" s="4"/>
      <c r="F284" s="9"/>
      <c r="G284" s="19">
        <f t="shared" si="14"/>
        <v>23096</v>
      </c>
      <c r="H284" s="4"/>
      <c r="I284" s="46"/>
    </row>
    <row r="285" spans="1:9" s="20" customFormat="1" ht="63.75" customHeight="1" hidden="1">
      <c r="A285" s="424"/>
      <c r="B285" s="423"/>
      <c r="C285" s="4" t="s">
        <v>418</v>
      </c>
      <c r="D285" s="17">
        <v>2062</v>
      </c>
      <c r="E285" s="4"/>
      <c r="F285" s="9"/>
      <c r="G285" s="19">
        <f t="shared" si="14"/>
        <v>2062</v>
      </c>
      <c r="H285" s="4"/>
      <c r="I285" s="46"/>
    </row>
    <row r="286" spans="1:9" s="33" customFormat="1" ht="47.25" hidden="1">
      <c r="A286" s="22" t="s">
        <v>153</v>
      </c>
      <c r="B286" s="23" t="s">
        <v>50</v>
      </c>
      <c r="C286" s="23"/>
      <c r="D286" s="24">
        <f>D288+D290+D292+D294+D296+D297+D298+D299+D300+D301</f>
        <v>1140260</v>
      </c>
      <c r="E286" s="23"/>
      <c r="F286" s="24">
        <f>F289+F293</f>
        <v>77975</v>
      </c>
      <c r="G286" s="24">
        <f>D286+F286</f>
        <v>1218235</v>
      </c>
      <c r="H286" s="74"/>
      <c r="I286" s="46"/>
    </row>
    <row r="287" spans="1:9" s="33" customFormat="1" ht="55.5" customHeight="1" hidden="1">
      <c r="A287" s="18" t="s">
        <v>180</v>
      </c>
      <c r="B287" s="4" t="s">
        <v>181</v>
      </c>
      <c r="C287" s="4" t="s">
        <v>187</v>
      </c>
      <c r="D287" s="17"/>
      <c r="E287" s="4" t="s">
        <v>187</v>
      </c>
      <c r="F287" s="19"/>
      <c r="G287" s="19">
        <v>0</v>
      </c>
      <c r="H287" s="23"/>
      <c r="I287" s="46"/>
    </row>
    <row r="288" spans="1:9" s="33" customFormat="1" ht="69" customHeight="1" hidden="1">
      <c r="A288" s="428" t="s">
        <v>180</v>
      </c>
      <c r="B288" s="426" t="s">
        <v>181</v>
      </c>
      <c r="C288" s="4" t="s">
        <v>418</v>
      </c>
      <c r="D288" s="17">
        <v>7791</v>
      </c>
      <c r="E288" s="4"/>
      <c r="F288" s="19"/>
      <c r="G288" s="19">
        <f>D288</f>
        <v>7791</v>
      </c>
      <c r="H288" s="23"/>
      <c r="I288" s="46"/>
    </row>
    <row r="289" spans="1:9" s="33" customFormat="1" ht="54.75" customHeight="1" hidden="1">
      <c r="A289" s="429"/>
      <c r="B289" s="427"/>
      <c r="C289" s="4"/>
      <c r="D289" s="17"/>
      <c r="E289" s="4" t="s">
        <v>448</v>
      </c>
      <c r="F289" s="19">
        <v>27975</v>
      </c>
      <c r="G289" s="19">
        <f>F289</f>
        <v>27975</v>
      </c>
      <c r="H289" s="23"/>
      <c r="I289" s="46"/>
    </row>
    <row r="290" spans="1:9" s="20" customFormat="1" ht="49.5" customHeight="1" hidden="1">
      <c r="A290" s="424" t="s">
        <v>98</v>
      </c>
      <c r="B290" s="423" t="s">
        <v>99</v>
      </c>
      <c r="C290" s="4" t="s">
        <v>452</v>
      </c>
      <c r="D290" s="17">
        <v>768655</v>
      </c>
      <c r="E290" s="4"/>
      <c r="F290" s="19"/>
      <c r="G290" s="19">
        <f>D290</f>
        <v>768655</v>
      </c>
      <c r="H290" s="4"/>
      <c r="I290" s="46"/>
    </row>
    <row r="291" spans="1:9" s="20" customFormat="1" ht="47.25" hidden="1">
      <c r="A291" s="424"/>
      <c r="B291" s="423"/>
      <c r="C291" s="4"/>
      <c r="D291" s="17"/>
      <c r="E291" s="35" t="s">
        <v>282</v>
      </c>
      <c r="F291" s="39">
        <v>0</v>
      </c>
      <c r="G291" s="39">
        <v>0</v>
      </c>
      <c r="H291" s="4"/>
      <c r="I291" s="46"/>
    </row>
    <row r="292" spans="1:9" s="20" customFormat="1" ht="47.25" hidden="1">
      <c r="A292" s="18" t="s">
        <v>255</v>
      </c>
      <c r="B292" s="4" t="s">
        <v>96</v>
      </c>
      <c r="C292" s="4" t="s">
        <v>277</v>
      </c>
      <c r="D292" s="17">
        <v>0</v>
      </c>
      <c r="E292" s="4"/>
      <c r="F292" s="19"/>
      <c r="G292" s="19">
        <f>D292</f>
        <v>0</v>
      </c>
      <c r="H292" s="4"/>
      <c r="I292" s="46"/>
    </row>
    <row r="293" spans="1:9" s="20" customFormat="1" ht="93.75" customHeight="1" hidden="1">
      <c r="A293" s="18" t="s">
        <v>75</v>
      </c>
      <c r="B293" s="4" t="s">
        <v>239</v>
      </c>
      <c r="C293" s="4"/>
      <c r="D293" s="17"/>
      <c r="E293" s="4" t="s">
        <v>408</v>
      </c>
      <c r="F293" s="19">
        <v>50000</v>
      </c>
      <c r="G293" s="19">
        <f>F293</f>
        <v>50000</v>
      </c>
      <c r="H293" s="4"/>
      <c r="I293" s="46"/>
    </row>
    <row r="294" spans="1:9" s="20" customFormat="1" ht="47.25" hidden="1">
      <c r="A294" s="424" t="s">
        <v>81</v>
      </c>
      <c r="B294" s="423" t="s">
        <v>96</v>
      </c>
      <c r="C294" s="4" t="s">
        <v>389</v>
      </c>
      <c r="D294" s="17">
        <v>245113</v>
      </c>
      <c r="E294" s="4"/>
      <c r="F294" s="9"/>
      <c r="G294" s="19">
        <f>D294</f>
        <v>245113</v>
      </c>
      <c r="H294" s="4"/>
      <c r="I294" s="46"/>
    </row>
    <row r="295" spans="1:9" s="20" customFormat="1" ht="21" customHeight="1" hidden="1">
      <c r="A295" s="424"/>
      <c r="B295" s="423"/>
      <c r="C295" s="4"/>
      <c r="D295" s="17"/>
      <c r="E295" s="4"/>
      <c r="F295" s="9"/>
      <c r="G295" s="19">
        <f aca="true" t="shared" si="15" ref="G295:G301">D295</f>
        <v>0</v>
      </c>
      <c r="H295" s="4"/>
      <c r="I295" s="46"/>
    </row>
    <row r="296" spans="1:9" s="20" customFormat="1" ht="15.75" hidden="1">
      <c r="A296" s="424"/>
      <c r="B296" s="423"/>
      <c r="C296" s="4"/>
      <c r="D296" s="17">
        <v>0</v>
      </c>
      <c r="E296" s="4"/>
      <c r="F296" s="9"/>
      <c r="G296" s="19">
        <f t="shared" si="15"/>
        <v>0</v>
      </c>
      <c r="H296" s="4"/>
      <c r="I296" s="46"/>
    </row>
    <row r="297" spans="1:9" s="20" customFormat="1" ht="47.25" hidden="1">
      <c r="A297" s="424"/>
      <c r="B297" s="423"/>
      <c r="C297" s="4" t="s">
        <v>423</v>
      </c>
      <c r="D297" s="17">
        <v>63468</v>
      </c>
      <c r="E297" s="4"/>
      <c r="F297" s="9"/>
      <c r="G297" s="19">
        <f t="shared" si="15"/>
        <v>63468</v>
      </c>
      <c r="H297" s="4"/>
      <c r="I297" s="46"/>
    </row>
    <row r="298" spans="1:9" s="20" customFormat="1" ht="63" hidden="1">
      <c r="A298" s="424"/>
      <c r="B298" s="423"/>
      <c r="C298" s="4" t="s">
        <v>390</v>
      </c>
      <c r="D298" s="17">
        <v>3100</v>
      </c>
      <c r="E298" s="4"/>
      <c r="F298" s="9"/>
      <c r="G298" s="19">
        <f t="shared" si="15"/>
        <v>3100</v>
      </c>
      <c r="H298" s="4"/>
      <c r="I298" s="46"/>
    </row>
    <row r="299" spans="1:9" s="20" customFormat="1" ht="47.25" hidden="1">
      <c r="A299" s="424"/>
      <c r="B299" s="423"/>
      <c r="C299" s="4" t="s">
        <v>388</v>
      </c>
      <c r="D299" s="17">
        <v>18610</v>
      </c>
      <c r="E299" s="4"/>
      <c r="F299" s="9"/>
      <c r="G299" s="19">
        <f t="shared" si="15"/>
        <v>18610</v>
      </c>
      <c r="H299" s="4"/>
      <c r="I299" s="46"/>
    </row>
    <row r="300" spans="1:9" s="20" customFormat="1" ht="47.25" hidden="1">
      <c r="A300" s="424"/>
      <c r="B300" s="423"/>
      <c r="C300" s="4" t="s">
        <v>452</v>
      </c>
      <c r="D300" s="17">
        <v>32058</v>
      </c>
      <c r="E300" s="4"/>
      <c r="F300" s="9"/>
      <c r="G300" s="19">
        <f t="shared" si="15"/>
        <v>32058</v>
      </c>
      <c r="H300" s="4"/>
      <c r="I300" s="46"/>
    </row>
    <row r="301" spans="1:9" s="20" customFormat="1" ht="65.25" customHeight="1" hidden="1">
      <c r="A301" s="424"/>
      <c r="B301" s="423"/>
      <c r="C301" s="4" t="s">
        <v>418</v>
      </c>
      <c r="D301" s="17">
        <v>1465</v>
      </c>
      <c r="E301" s="4"/>
      <c r="F301" s="9"/>
      <c r="G301" s="19">
        <f t="shared" si="15"/>
        <v>1465</v>
      </c>
      <c r="H301" s="4"/>
      <c r="I301" s="46"/>
    </row>
    <row r="302" spans="1:9" s="33" customFormat="1" ht="47.25" hidden="1">
      <c r="A302" s="22" t="s">
        <v>154</v>
      </c>
      <c r="B302" s="23" t="s">
        <v>51</v>
      </c>
      <c r="C302" s="23"/>
      <c r="D302" s="24">
        <f>D305+D307+D309+D310+D311+D312+D313</f>
        <v>828027</v>
      </c>
      <c r="E302" s="23"/>
      <c r="F302" s="24">
        <f>F303+F304+F305+F306</f>
        <v>80975</v>
      </c>
      <c r="G302" s="28">
        <f>D302+F302</f>
        <v>909002</v>
      </c>
      <c r="H302" s="74"/>
      <c r="I302" s="46"/>
    </row>
    <row r="303" spans="1:9" s="33" customFormat="1" ht="49.5" customHeight="1" hidden="1">
      <c r="A303" s="18" t="s">
        <v>180</v>
      </c>
      <c r="B303" s="4" t="s">
        <v>181</v>
      </c>
      <c r="C303" s="4"/>
      <c r="D303" s="17"/>
      <c r="E303" s="4" t="s">
        <v>448</v>
      </c>
      <c r="F303" s="19">
        <v>27975</v>
      </c>
      <c r="G303" s="19">
        <f>F303</f>
        <v>27975</v>
      </c>
      <c r="H303" s="23"/>
      <c r="I303" s="46"/>
    </row>
    <row r="304" spans="1:9" s="33" customFormat="1" ht="49.5" customHeight="1" hidden="1">
      <c r="A304" s="18" t="s">
        <v>88</v>
      </c>
      <c r="B304" s="4" t="s">
        <v>89</v>
      </c>
      <c r="C304" s="4"/>
      <c r="D304" s="17"/>
      <c r="E304" s="4" t="s">
        <v>452</v>
      </c>
      <c r="F304" s="19">
        <v>3000</v>
      </c>
      <c r="G304" s="19">
        <f>F304</f>
        <v>3000</v>
      </c>
      <c r="H304" s="23"/>
      <c r="I304" s="46"/>
    </row>
    <row r="305" spans="1:9" s="20" customFormat="1" ht="48" customHeight="1" hidden="1">
      <c r="A305" s="18" t="s">
        <v>98</v>
      </c>
      <c r="B305" s="4" t="s">
        <v>99</v>
      </c>
      <c r="C305" s="4" t="s">
        <v>452</v>
      </c>
      <c r="D305" s="17">
        <v>650000</v>
      </c>
      <c r="E305" s="4"/>
      <c r="F305" s="19"/>
      <c r="G305" s="19">
        <f>D305+F305</f>
        <v>650000</v>
      </c>
      <c r="H305" s="4"/>
      <c r="I305" s="46"/>
    </row>
    <row r="306" spans="1:9" s="20" customFormat="1" ht="93.75" customHeight="1" hidden="1">
      <c r="A306" s="18" t="s">
        <v>75</v>
      </c>
      <c r="B306" s="4" t="s">
        <v>239</v>
      </c>
      <c r="C306" s="4"/>
      <c r="D306" s="17"/>
      <c r="E306" s="4" t="s">
        <v>408</v>
      </c>
      <c r="F306" s="19">
        <v>50000</v>
      </c>
      <c r="G306" s="19">
        <f>F306</f>
        <v>50000</v>
      </c>
      <c r="H306" s="4"/>
      <c r="I306" s="46"/>
    </row>
    <row r="307" spans="1:9" s="20" customFormat="1" ht="47.25" hidden="1">
      <c r="A307" s="424" t="s">
        <v>81</v>
      </c>
      <c r="B307" s="423" t="s">
        <v>96</v>
      </c>
      <c r="C307" s="4" t="s">
        <v>389</v>
      </c>
      <c r="D307" s="17">
        <v>72092</v>
      </c>
      <c r="E307" s="4"/>
      <c r="F307" s="9"/>
      <c r="G307" s="19">
        <f aca="true" t="shared" si="16" ref="G307:G313">D307</f>
        <v>72092</v>
      </c>
      <c r="H307" s="4"/>
      <c r="I307" s="46"/>
    </row>
    <row r="308" spans="1:9" s="20" customFormat="1" ht="30.75" customHeight="1" hidden="1">
      <c r="A308" s="424"/>
      <c r="B308" s="423"/>
      <c r="C308" s="4"/>
      <c r="D308" s="17"/>
      <c r="E308" s="4"/>
      <c r="F308" s="9"/>
      <c r="G308" s="19">
        <f t="shared" si="16"/>
        <v>0</v>
      </c>
      <c r="H308" s="4"/>
      <c r="I308" s="46"/>
    </row>
    <row r="309" spans="1:9" s="20" customFormat="1" ht="47.25" hidden="1">
      <c r="A309" s="424"/>
      <c r="B309" s="423"/>
      <c r="C309" s="4" t="s">
        <v>423</v>
      </c>
      <c r="D309" s="17">
        <v>43038</v>
      </c>
      <c r="E309" s="4"/>
      <c r="F309" s="9"/>
      <c r="G309" s="19">
        <f t="shared" si="16"/>
        <v>43038</v>
      </c>
      <c r="H309" s="4"/>
      <c r="I309" s="46"/>
    </row>
    <row r="310" spans="1:9" s="20" customFormat="1" ht="63" hidden="1">
      <c r="A310" s="424"/>
      <c r="B310" s="423"/>
      <c r="C310" s="4" t="s">
        <v>390</v>
      </c>
      <c r="D310" s="17">
        <v>2067</v>
      </c>
      <c r="E310" s="4"/>
      <c r="F310" s="9"/>
      <c r="G310" s="19">
        <f t="shared" si="16"/>
        <v>2067</v>
      </c>
      <c r="H310" s="4"/>
      <c r="I310" s="46"/>
    </row>
    <row r="311" spans="1:9" s="20" customFormat="1" ht="47.25" hidden="1">
      <c r="A311" s="424"/>
      <c r="B311" s="423"/>
      <c r="C311" s="4" t="s">
        <v>388</v>
      </c>
      <c r="D311" s="17">
        <v>26781</v>
      </c>
      <c r="E311" s="4"/>
      <c r="F311" s="9"/>
      <c r="G311" s="19">
        <f t="shared" si="16"/>
        <v>26781</v>
      </c>
      <c r="H311" s="4"/>
      <c r="I311" s="46"/>
    </row>
    <row r="312" spans="1:9" s="20" customFormat="1" ht="47.25" hidden="1">
      <c r="A312" s="424"/>
      <c r="B312" s="423"/>
      <c r="C312" s="4" t="s">
        <v>452</v>
      </c>
      <c r="D312" s="17">
        <v>33132</v>
      </c>
      <c r="E312" s="4"/>
      <c r="F312" s="9"/>
      <c r="G312" s="19">
        <f t="shared" si="16"/>
        <v>33132</v>
      </c>
      <c r="H312" s="4"/>
      <c r="I312" s="46"/>
    </row>
    <row r="313" spans="1:9" s="20" customFormat="1" ht="69" customHeight="1" hidden="1">
      <c r="A313" s="424"/>
      <c r="B313" s="423"/>
      <c r="C313" s="4" t="s">
        <v>418</v>
      </c>
      <c r="D313" s="17">
        <v>917</v>
      </c>
      <c r="E313" s="4"/>
      <c r="F313" s="9"/>
      <c r="G313" s="19">
        <f t="shared" si="16"/>
        <v>917</v>
      </c>
      <c r="H313" s="4"/>
      <c r="I313" s="46"/>
    </row>
    <row r="314" spans="1:9" s="20" customFormat="1" ht="46.5" customHeight="1" hidden="1">
      <c r="A314" s="22" t="s">
        <v>155</v>
      </c>
      <c r="B314" s="23" t="s">
        <v>52</v>
      </c>
      <c r="C314" s="4"/>
      <c r="D314" s="24">
        <f>D315+D317+D318+D320+D321+D323+D324+D325</f>
        <v>745594</v>
      </c>
      <c r="E314" s="4"/>
      <c r="F314" s="24">
        <f>F316</f>
        <v>27975</v>
      </c>
      <c r="G314" s="24">
        <f>D314+F314</f>
        <v>773569</v>
      </c>
      <c r="H314" s="71"/>
      <c r="I314" s="46"/>
    </row>
    <row r="315" spans="1:9" s="20" customFormat="1" ht="67.5" customHeight="1" hidden="1">
      <c r="A315" s="424" t="s">
        <v>180</v>
      </c>
      <c r="B315" s="423" t="s">
        <v>181</v>
      </c>
      <c r="C315" s="4" t="s">
        <v>418</v>
      </c>
      <c r="D315" s="17">
        <v>339</v>
      </c>
      <c r="E315" s="4"/>
      <c r="F315" s="24"/>
      <c r="G315" s="19">
        <f>D315</f>
        <v>339</v>
      </c>
      <c r="H315" s="71"/>
      <c r="I315" s="46"/>
    </row>
    <row r="316" spans="1:9" s="20" customFormat="1" ht="64.5" customHeight="1" hidden="1">
      <c r="A316" s="424"/>
      <c r="B316" s="423"/>
      <c r="C316" s="4"/>
      <c r="D316" s="17"/>
      <c r="E316" s="4" t="s">
        <v>448</v>
      </c>
      <c r="F316" s="19">
        <v>27975</v>
      </c>
      <c r="G316" s="19">
        <f>F316</f>
        <v>27975</v>
      </c>
      <c r="H316" s="4"/>
      <c r="I316" s="46"/>
    </row>
    <row r="317" spans="1:9" s="20" customFormat="1" ht="45.75" customHeight="1" hidden="1">
      <c r="A317" s="18" t="s">
        <v>98</v>
      </c>
      <c r="B317" s="4" t="s">
        <v>99</v>
      </c>
      <c r="C317" s="4" t="s">
        <v>452</v>
      </c>
      <c r="D317" s="17">
        <v>527000</v>
      </c>
      <c r="E317" s="4"/>
      <c r="F317" s="19"/>
      <c r="G317" s="19">
        <f>D317</f>
        <v>527000</v>
      </c>
      <c r="H317" s="4"/>
      <c r="I317" s="46"/>
    </row>
    <row r="318" spans="1:9" s="20" customFormat="1" ht="47.25" hidden="1">
      <c r="A318" s="424" t="s">
        <v>81</v>
      </c>
      <c r="B318" s="423" t="s">
        <v>96</v>
      </c>
      <c r="C318" s="4" t="s">
        <v>389</v>
      </c>
      <c r="D318" s="17">
        <v>100929</v>
      </c>
      <c r="E318" s="4"/>
      <c r="F318" s="9"/>
      <c r="G318" s="19">
        <f aca="true" t="shared" si="17" ref="G318:G325">D318</f>
        <v>100929</v>
      </c>
      <c r="H318" s="4"/>
      <c r="I318" s="46"/>
    </row>
    <row r="319" spans="1:9" s="20" customFormat="1" ht="15.75" customHeight="1" hidden="1">
      <c r="A319" s="424"/>
      <c r="B319" s="423"/>
      <c r="C319" s="4"/>
      <c r="D319" s="17"/>
      <c r="E319" s="4"/>
      <c r="F319" s="19">
        <v>0</v>
      </c>
      <c r="G319" s="19">
        <f t="shared" si="17"/>
        <v>0</v>
      </c>
      <c r="H319" s="4"/>
      <c r="I319" s="46"/>
    </row>
    <row r="320" spans="1:9" s="20" customFormat="1" ht="47.25" hidden="1">
      <c r="A320" s="424"/>
      <c r="B320" s="423"/>
      <c r="C320" s="4" t="s">
        <v>423</v>
      </c>
      <c r="D320" s="17">
        <v>60000</v>
      </c>
      <c r="E320" s="4"/>
      <c r="F320" s="9"/>
      <c r="G320" s="19">
        <f t="shared" si="17"/>
        <v>60000</v>
      </c>
      <c r="H320" s="4"/>
      <c r="I320" s="46"/>
    </row>
    <row r="321" spans="1:9" s="20" customFormat="1" ht="63" hidden="1">
      <c r="A321" s="424"/>
      <c r="B321" s="423"/>
      <c r="C321" s="4" t="s">
        <v>390</v>
      </c>
      <c r="D321" s="17">
        <v>3500</v>
      </c>
      <c r="E321" s="4"/>
      <c r="F321" s="9"/>
      <c r="G321" s="19">
        <f t="shared" si="17"/>
        <v>3500</v>
      </c>
      <c r="H321" s="4"/>
      <c r="I321" s="46"/>
    </row>
    <row r="322" spans="1:9" s="20" customFormat="1" ht="24.75" customHeight="1" hidden="1">
      <c r="A322" s="424"/>
      <c r="B322" s="423"/>
      <c r="C322" s="4"/>
      <c r="D322" s="5"/>
      <c r="E322" s="4"/>
      <c r="F322" s="9"/>
      <c r="G322" s="19">
        <f t="shared" si="17"/>
        <v>0</v>
      </c>
      <c r="H322" s="4"/>
      <c r="I322" s="46"/>
    </row>
    <row r="323" spans="1:9" s="20" customFormat="1" ht="47.25" hidden="1">
      <c r="A323" s="424"/>
      <c r="B323" s="423"/>
      <c r="C323" s="4" t="s">
        <v>388</v>
      </c>
      <c r="D323" s="17">
        <v>19000</v>
      </c>
      <c r="E323" s="4"/>
      <c r="F323" s="9"/>
      <c r="G323" s="19">
        <f t="shared" si="17"/>
        <v>19000</v>
      </c>
      <c r="H323" s="4"/>
      <c r="I323" s="46"/>
    </row>
    <row r="324" spans="1:9" s="20" customFormat="1" ht="47.25" hidden="1">
      <c r="A324" s="424"/>
      <c r="B324" s="423"/>
      <c r="C324" s="4" t="s">
        <v>452</v>
      </c>
      <c r="D324" s="17">
        <v>32792</v>
      </c>
      <c r="E324" s="4"/>
      <c r="F324" s="9"/>
      <c r="G324" s="19">
        <f t="shared" si="17"/>
        <v>32792</v>
      </c>
      <c r="H324" s="4"/>
      <c r="I324" s="46"/>
    </row>
    <row r="325" spans="1:9" s="20" customFormat="1" ht="68.25" customHeight="1" hidden="1">
      <c r="A325" s="424"/>
      <c r="B325" s="423"/>
      <c r="C325" s="4" t="s">
        <v>418</v>
      </c>
      <c r="D325" s="17">
        <v>2034</v>
      </c>
      <c r="E325" s="4"/>
      <c r="F325" s="9"/>
      <c r="G325" s="19">
        <f t="shared" si="17"/>
        <v>2034</v>
      </c>
      <c r="H325" s="4"/>
      <c r="I325" s="46"/>
    </row>
    <row r="326" spans="1:11" s="34" customFormat="1" ht="15.75" hidden="1">
      <c r="A326" s="23"/>
      <c r="B326" s="23" t="s">
        <v>70</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36" t="s">
        <v>215</v>
      </c>
      <c r="B328" s="436"/>
      <c r="C328" s="66"/>
      <c r="D328" s="67"/>
      <c r="E328" s="54"/>
      <c r="F328" s="57" t="s">
        <v>216</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393</v>
      </c>
      <c r="D334" s="10">
        <f>D318+D307+D294+D280+D269+D258+D244</f>
        <v>803906</v>
      </c>
      <c r="F334" s="10"/>
    </row>
    <row r="335" spans="2:6" ht="15.75" hidden="1">
      <c r="B335" s="1" t="s">
        <v>394</v>
      </c>
      <c r="D335" s="10">
        <f>D321+D310+D298+D283+D272+D261+D247</f>
        <v>25756</v>
      </c>
      <c r="F335" s="10"/>
    </row>
    <row r="336" spans="2:6" ht="15.75" hidden="1">
      <c r="B336" s="1" t="s">
        <v>395</v>
      </c>
      <c r="C336" s="3"/>
      <c r="D336" s="10">
        <f>D323+D311+D299+D284+D274+D263+D250</f>
        <v>167225</v>
      </c>
      <c r="F336" s="10"/>
    </row>
    <row r="337" spans="2:6" ht="15.75" hidden="1">
      <c r="B337" s="1" t="s">
        <v>396</v>
      </c>
      <c r="D337" s="10">
        <f>D320+D309+D297+D282+D271+D260+D246</f>
        <v>496776</v>
      </c>
      <c r="F337" s="10"/>
    </row>
    <row r="338" spans="2:6" ht="15.75" hidden="1">
      <c r="B338" s="1" t="s">
        <v>397</v>
      </c>
      <c r="D338" s="10">
        <f>D325+D313+D301+D285+D275+D251+D315+D288+D229+D220+D187+D157+D143+D139+D137+D134+D131+D128+D109+D101++D100+D90+D79+D74+D13+D136+D33+D36+D42+D44+D50+D51+D53+D55+D56+D63+D65</f>
        <v>757108</v>
      </c>
      <c r="F338" s="10"/>
    </row>
    <row r="339" spans="2:6" ht="15.75" hidden="1">
      <c r="B339" s="1" t="s">
        <v>398</v>
      </c>
      <c r="D339" s="10">
        <f>D324+D312+D300+D281+D270+D262+D245</f>
        <v>247576</v>
      </c>
      <c r="F339" s="10"/>
    </row>
    <row r="340" ht="15.75" hidden="1">
      <c r="F340" s="10"/>
    </row>
    <row r="341" ht="15.75" hidden="1">
      <c r="F341" s="10"/>
    </row>
    <row r="342" spans="2:6" ht="15.75" hidden="1">
      <c r="B342" s="1" t="s">
        <v>401</v>
      </c>
      <c r="D342" s="10">
        <f>D151</f>
        <v>120711</v>
      </c>
      <c r="F342" s="10"/>
    </row>
    <row r="343" spans="2:6" ht="15.75" hidden="1">
      <c r="B343" s="1" t="s">
        <v>402</v>
      </c>
      <c r="D343" s="10">
        <f>D106+D180</f>
        <v>680000</v>
      </c>
      <c r="E343" s="1" t="s">
        <v>403</v>
      </c>
      <c r="F343" s="10">
        <f>F106</f>
        <v>24192</v>
      </c>
    </row>
    <row r="344" spans="2:6" ht="15.75" hidden="1">
      <c r="B344" s="1" t="s">
        <v>404</v>
      </c>
      <c r="D344" s="10">
        <f>D232</f>
        <v>33000</v>
      </c>
      <c r="F344" s="10"/>
    </row>
    <row r="345" spans="2:6" ht="15.75" hidden="1">
      <c r="B345" s="1" t="s">
        <v>406</v>
      </c>
      <c r="D345" s="10">
        <f>D26</f>
        <v>3348800</v>
      </c>
      <c r="F345" s="10"/>
    </row>
    <row r="346" spans="2:6" ht="15.75" hidden="1">
      <c r="B346" s="1" t="s">
        <v>409</v>
      </c>
      <c r="D346" s="10">
        <f>D14</f>
        <v>480000</v>
      </c>
      <c r="F346" s="10"/>
    </row>
    <row r="347" spans="2:6" ht="15.75" hidden="1">
      <c r="B347" s="1" t="s">
        <v>412</v>
      </c>
      <c r="D347" s="10">
        <f>D23</f>
        <v>304955</v>
      </c>
      <c r="F347" s="10"/>
    </row>
    <row r="348" spans="2:6" ht="15.75" hidden="1">
      <c r="B348" s="1" t="s">
        <v>413</v>
      </c>
      <c r="D348" s="10">
        <f>D24</f>
        <v>209200</v>
      </c>
      <c r="F348" s="10">
        <f>F16</f>
        <v>415760</v>
      </c>
    </row>
    <row r="349" spans="2:6" ht="15.75" hidden="1">
      <c r="B349" s="1" t="s">
        <v>414</v>
      </c>
      <c r="D349" s="10">
        <f>D206</f>
        <v>2300000</v>
      </c>
      <c r="F349" s="10"/>
    </row>
    <row r="350" spans="2:8" ht="15.75" hidden="1">
      <c r="B350" s="1" t="s">
        <v>415</v>
      </c>
      <c r="D350" s="10">
        <f>D152</f>
        <v>108000</v>
      </c>
      <c r="E350" s="7"/>
      <c r="F350" s="10"/>
      <c r="H350" s="10"/>
    </row>
    <row r="351" spans="2:6" ht="15.75" hidden="1">
      <c r="B351" s="1" t="s">
        <v>420</v>
      </c>
      <c r="D351" s="10">
        <f>D190</f>
        <v>24055</v>
      </c>
      <c r="F351" s="1">
        <f>F190</f>
        <v>1550464</v>
      </c>
    </row>
    <row r="352" spans="2:7" ht="15.75" hidden="1">
      <c r="B352" s="1" t="s">
        <v>421</v>
      </c>
      <c r="C352" s="43"/>
      <c r="D352" s="44"/>
      <c r="E352" s="43"/>
      <c r="F352" s="10">
        <f>F191</f>
        <v>100487</v>
      </c>
      <c r="G352" s="43"/>
    </row>
    <row r="353" spans="2:7" ht="15.75" hidden="1">
      <c r="B353" s="1" t="s">
        <v>422</v>
      </c>
      <c r="C353" s="43"/>
      <c r="D353" s="10">
        <f>D192</f>
        <v>2910648</v>
      </c>
      <c r="E353" s="43"/>
      <c r="F353" s="44"/>
      <c r="G353" s="43"/>
    </row>
    <row r="354" spans="2:7" ht="15.75" hidden="1">
      <c r="B354" s="1" t="s">
        <v>416</v>
      </c>
      <c r="C354" s="43"/>
      <c r="D354" s="43"/>
      <c r="E354" s="43"/>
      <c r="F354" s="10">
        <f>F306+F293+F21</f>
        <v>300000</v>
      </c>
      <c r="G354" s="44"/>
    </row>
    <row r="355" ht="15.75" hidden="1"/>
    <row r="356" ht="15.75" hidden="1"/>
    <row r="357" spans="2:6" ht="15.75" hidden="1">
      <c r="B357" s="1" t="s">
        <v>424</v>
      </c>
      <c r="D357" s="10">
        <f>D324+D317+D312+D305+D300+D290+D281+D278+D270+D266+D262+D254+D245+D241+D179+D166+D162+D159+D158</f>
        <v>102708451</v>
      </c>
      <c r="F357" s="10">
        <f>F305+F304+F279+F278+F267+F266+F254+F235+F179+F176+F174+F169+F166+F165+F162</f>
        <v>76723720</v>
      </c>
    </row>
    <row r="358" ht="15.75" hidden="1"/>
    <row r="359" spans="2:6" ht="15.75" hidden="1">
      <c r="B359" s="1" t="s">
        <v>425</v>
      </c>
      <c r="D359" s="10">
        <f>D34+D37+D43+D54</f>
        <v>11151843</v>
      </c>
      <c r="F359" s="10">
        <f>F34+F37+F54+F67</f>
        <v>15404849</v>
      </c>
    </row>
    <row r="360" spans="2:4" ht="15.75" hidden="1">
      <c r="B360" s="1" t="s">
        <v>426</v>
      </c>
      <c r="D360" s="10">
        <f>D40+D58</f>
        <v>4900252</v>
      </c>
    </row>
    <row r="361" spans="2:4" ht="15.75" hidden="1">
      <c r="B361" s="1" t="s">
        <v>427</v>
      </c>
      <c r="D361" s="10">
        <f>D46</f>
        <v>29827597</v>
      </c>
    </row>
    <row r="362" spans="2:6" ht="15.75" hidden="1">
      <c r="B362" s="1" t="s">
        <v>428</v>
      </c>
      <c r="D362" s="10">
        <f>D59+D60+D61+D66</f>
        <v>1199500</v>
      </c>
      <c r="F362" s="10">
        <f>F66+F69</f>
        <v>1108725</v>
      </c>
    </row>
    <row r="363" spans="2:6" ht="15.75" hidden="1">
      <c r="B363" s="1" t="s">
        <v>429</v>
      </c>
      <c r="D363" s="10">
        <f>D57+D71+D72</f>
        <v>2578544</v>
      </c>
      <c r="F363" s="1">
        <f>F71</f>
        <v>31358</v>
      </c>
    </row>
    <row r="364" ht="15.75" hidden="1"/>
    <row r="365" ht="15.75" hidden="1"/>
    <row r="366" spans="2:6" ht="15.75" hidden="1">
      <c r="B366" s="1" t="s">
        <v>430</v>
      </c>
      <c r="D366" s="10">
        <f>D75+D80+D83+D86+D89</f>
        <v>0</v>
      </c>
      <c r="F366" s="10">
        <f>F75+F80+F83+F86+F89+F94+F236</f>
        <v>22518298</v>
      </c>
    </row>
    <row r="367" spans="2:6" ht="15.75" hidden="1">
      <c r="B367" s="1" t="s">
        <v>431</v>
      </c>
      <c r="D367" s="10">
        <f>D127+D129+D132+D135+D141</f>
        <v>5504638</v>
      </c>
      <c r="F367" s="10">
        <f>F127+F129+F132+F135+F141+F145</f>
        <v>4137302</v>
      </c>
    </row>
    <row r="368" spans="2:4" ht="15.75" hidden="1">
      <c r="B368" s="1" t="s">
        <v>432</v>
      </c>
      <c r="D368" s="10">
        <f>D138</f>
        <v>1114809</v>
      </c>
    </row>
    <row r="369" spans="2:6" ht="15.75" hidden="1">
      <c r="B369" s="1" t="s">
        <v>433</v>
      </c>
      <c r="D369" s="1">
        <f>D140</f>
        <v>1693819</v>
      </c>
      <c r="F369" s="1">
        <f>F140</f>
        <v>42020</v>
      </c>
    </row>
    <row r="370" ht="15.75" hidden="1"/>
    <row r="371" spans="2:6" ht="15.75" hidden="1">
      <c r="B371" s="1" t="s">
        <v>434</v>
      </c>
      <c r="D371" s="10">
        <f>D105+D110+D112+D117+D119+D120+D103</f>
        <v>13778297</v>
      </c>
      <c r="F371" s="10">
        <f>F105+F115</f>
        <v>4271341</v>
      </c>
    </row>
    <row r="372" spans="2:6" ht="15.75" hidden="1">
      <c r="B372" s="1" t="s">
        <v>435</v>
      </c>
      <c r="F372" s="10">
        <f>F114</f>
        <v>0</v>
      </c>
    </row>
    <row r="373" spans="4:6" ht="15.75" hidden="1">
      <c r="D373" s="10"/>
      <c r="F373" s="10"/>
    </row>
    <row r="374" ht="15.75" hidden="1">
      <c r="F374" s="10"/>
    </row>
    <row r="376" spans="2:6" ht="15.75">
      <c r="B376" s="1" t="s">
        <v>436</v>
      </c>
      <c r="D376" s="10">
        <f>D207+D213</f>
        <v>10122723</v>
      </c>
      <c r="F376" s="10">
        <f>F210</f>
        <v>66000</v>
      </c>
    </row>
    <row r="377" spans="2:6" ht="15.75">
      <c r="B377" s="1" t="s">
        <v>437</v>
      </c>
      <c r="D377" s="10">
        <f>D214</f>
        <v>2425000</v>
      </c>
      <c r="F377" s="10">
        <f>F211+F213</f>
        <v>2053987</v>
      </c>
    </row>
    <row r="378" spans="2:6" ht="15.75">
      <c r="B378" s="1" t="s">
        <v>438</v>
      </c>
      <c r="D378" s="10">
        <f>D215</f>
        <v>0</v>
      </c>
      <c r="F378" s="10">
        <f>F215</f>
        <v>0</v>
      </c>
    </row>
    <row r="380" spans="2:6" ht="15.75">
      <c r="B380" s="1" t="s">
        <v>439</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212</v>
      </c>
      <c r="G1" s="13"/>
    </row>
    <row r="2" spans="5:7" ht="28.5" customHeight="1">
      <c r="E2" s="14" t="s">
        <v>213</v>
      </c>
      <c r="G2" s="13"/>
    </row>
    <row r="3" spans="3:7" ht="39.75" customHeight="1">
      <c r="C3" s="8"/>
      <c r="E3" s="14" t="s">
        <v>357</v>
      </c>
      <c r="G3" s="13"/>
    </row>
    <row r="5" spans="1:10" s="6" customFormat="1" ht="28.5" customHeight="1">
      <c r="A5" s="425" t="s">
        <v>387</v>
      </c>
      <c r="B5" s="425"/>
      <c r="C5" s="425"/>
      <c r="D5" s="425"/>
      <c r="E5" s="425"/>
      <c r="F5" s="425"/>
      <c r="G5" s="425"/>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423" t="s">
        <v>40</v>
      </c>
      <c r="C8" s="423" t="s">
        <v>64</v>
      </c>
      <c r="D8" s="423"/>
      <c r="E8" s="423" t="s">
        <v>67</v>
      </c>
      <c r="F8" s="423"/>
      <c r="G8" s="4" t="s">
        <v>68</v>
      </c>
      <c r="H8" s="20"/>
    </row>
    <row r="9" spans="1:8" s="2" customFormat="1" ht="57.75" customHeight="1">
      <c r="A9" s="64" t="s">
        <v>39</v>
      </c>
      <c r="B9" s="423"/>
      <c r="C9" s="4" t="s">
        <v>65</v>
      </c>
      <c r="D9" s="4" t="s">
        <v>66</v>
      </c>
      <c r="E9" s="4" t="s">
        <v>65</v>
      </c>
      <c r="F9" s="4" t="s">
        <v>66</v>
      </c>
      <c r="G9" s="4" t="s">
        <v>66</v>
      </c>
      <c r="H9" s="20"/>
    </row>
    <row r="10" spans="1:8" s="2" customFormat="1" ht="16.5" customHeight="1">
      <c r="A10" s="4">
        <v>1</v>
      </c>
      <c r="B10" s="4">
        <v>2</v>
      </c>
      <c r="C10" s="4">
        <v>3</v>
      </c>
      <c r="D10" s="4">
        <v>4</v>
      </c>
      <c r="E10" s="4">
        <v>5</v>
      </c>
      <c r="F10" s="4">
        <v>6</v>
      </c>
      <c r="G10" s="4">
        <v>7</v>
      </c>
      <c r="H10" s="20"/>
    </row>
    <row r="11" spans="1:9" s="2" customFormat="1" ht="31.5">
      <c r="A11" s="22" t="s">
        <v>148</v>
      </c>
      <c r="B11" s="23" t="s">
        <v>42</v>
      </c>
      <c r="C11" s="4"/>
      <c r="D11" s="24">
        <f>D13+D14+D23+D24+D26+D28+D29+D30</f>
        <v>0</v>
      </c>
      <c r="E11" s="4"/>
      <c r="F11" s="28">
        <f>F12+F15+F16+F20+F21+F23+F24+F26+F28+F29+F30</f>
        <v>0</v>
      </c>
      <c r="G11" s="28">
        <f>D11+F11</f>
        <v>0</v>
      </c>
      <c r="H11" s="47"/>
      <c r="I11" s="46"/>
    </row>
    <row r="12" spans="1:9" s="20" customFormat="1" ht="47.25">
      <c r="A12" s="424" t="s">
        <v>180</v>
      </c>
      <c r="B12" s="423" t="s">
        <v>181</v>
      </c>
      <c r="C12" s="4"/>
      <c r="D12" s="17"/>
      <c r="E12" s="4" t="s">
        <v>365</v>
      </c>
      <c r="F12" s="19"/>
      <c r="G12" s="19">
        <f>D12+F12</f>
        <v>0</v>
      </c>
      <c r="I12" s="46"/>
    </row>
    <row r="13" spans="1:9" s="20" customFormat="1" ht="68.25" customHeight="1">
      <c r="A13" s="424"/>
      <c r="B13" s="423"/>
      <c r="C13" s="61" t="s">
        <v>332</v>
      </c>
      <c r="D13" s="17"/>
      <c r="E13" s="4"/>
      <c r="F13" s="19"/>
      <c r="G13" s="19">
        <f aca="true" t="shared" si="0" ref="G13:G25">D13+F13</f>
        <v>0</v>
      </c>
      <c r="I13" s="46"/>
    </row>
    <row r="14" spans="1:9" s="20" customFormat="1" ht="51" customHeight="1">
      <c r="A14" s="424" t="s">
        <v>82</v>
      </c>
      <c r="B14" s="423" t="s">
        <v>108</v>
      </c>
      <c r="C14" s="4" t="s">
        <v>368</v>
      </c>
      <c r="D14" s="17"/>
      <c r="E14" s="4"/>
      <c r="F14" s="9"/>
      <c r="G14" s="19">
        <f t="shared" si="0"/>
        <v>0</v>
      </c>
      <c r="I14" s="46"/>
    </row>
    <row r="15" spans="1:9" s="20" customFormat="1" ht="31.5">
      <c r="A15" s="424"/>
      <c r="B15" s="423"/>
      <c r="C15" s="4"/>
      <c r="D15" s="17"/>
      <c r="E15" s="35" t="s">
        <v>367</v>
      </c>
      <c r="F15" s="36"/>
      <c r="G15" s="59">
        <f t="shared" si="0"/>
        <v>0</v>
      </c>
      <c r="I15" s="46"/>
    </row>
    <row r="16" spans="1:9" s="20" customFormat="1" ht="63">
      <c r="A16" s="424" t="s">
        <v>88</v>
      </c>
      <c r="B16" s="423" t="s">
        <v>89</v>
      </c>
      <c r="C16" s="423"/>
      <c r="D16" s="17"/>
      <c r="E16" s="4" t="s">
        <v>366</v>
      </c>
      <c r="F16" s="19"/>
      <c r="G16" s="19">
        <f t="shared" si="0"/>
        <v>0</v>
      </c>
      <c r="I16" s="46"/>
    </row>
    <row r="17" spans="1:9" s="20" customFormat="1" ht="44.25" customHeight="1" hidden="1">
      <c r="A17" s="424"/>
      <c r="B17" s="423"/>
      <c r="C17" s="423"/>
      <c r="D17" s="5"/>
      <c r="E17" s="4" t="s">
        <v>143</v>
      </c>
      <c r="F17" s="9"/>
      <c r="G17" s="19">
        <f t="shared" si="0"/>
        <v>0</v>
      </c>
      <c r="I17" s="46"/>
    </row>
    <row r="18" spans="1:9" s="20" customFormat="1" ht="47.25" customHeight="1" hidden="1">
      <c r="A18" s="424"/>
      <c r="B18" s="423"/>
      <c r="C18" s="423"/>
      <c r="D18" s="5"/>
      <c r="E18" s="4" t="s">
        <v>142</v>
      </c>
      <c r="F18" s="19">
        <v>0</v>
      </c>
      <c r="G18" s="19">
        <f t="shared" si="0"/>
        <v>0</v>
      </c>
      <c r="I18" s="46"/>
    </row>
    <row r="19" spans="1:9" s="20" customFormat="1" ht="15.75" hidden="1">
      <c r="A19" s="424"/>
      <c r="B19" s="423"/>
      <c r="C19" s="423"/>
      <c r="D19" s="5"/>
      <c r="E19" s="4"/>
      <c r="F19" s="19">
        <v>0</v>
      </c>
      <c r="G19" s="19">
        <f t="shared" si="0"/>
        <v>0</v>
      </c>
      <c r="I19" s="46"/>
    </row>
    <row r="20" spans="1:9" s="20" customFormat="1" ht="222" customHeight="1">
      <c r="A20" s="18" t="s">
        <v>229</v>
      </c>
      <c r="B20" s="40" t="s">
        <v>230</v>
      </c>
      <c r="C20" s="4"/>
      <c r="D20" s="5"/>
      <c r="E20" s="4" t="s">
        <v>272</v>
      </c>
      <c r="F20" s="19"/>
      <c r="G20" s="19">
        <f t="shared" si="0"/>
        <v>0</v>
      </c>
      <c r="I20" s="46"/>
    </row>
    <row r="21" spans="1:9" s="20" customFormat="1" ht="46.5" customHeight="1">
      <c r="A21" s="26">
        <v>240900</v>
      </c>
      <c r="B21" s="4" t="s">
        <v>109</v>
      </c>
      <c r="C21" s="16"/>
      <c r="D21" s="15"/>
      <c r="E21" s="4" t="s">
        <v>369</v>
      </c>
      <c r="F21" s="19"/>
      <c r="G21" s="19">
        <f t="shared" si="0"/>
        <v>0</v>
      </c>
      <c r="I21" s="46"/>
    </row>
    <row r="22" spans="1:9" s="20" customFormat="1" ht="75" customHeight="1" hidden="1">
      <c r="A22" s="26">
        <v>250203</v>
      </c>
      <c r="B22" s="4" t="s">
        <v>207</v>
      </c>
      <c r="C22" s="4"/>
      <c r="D22" s="21">
        <v>0</v>
      </c>
      <c r="E22" s="4"/>
      <c r="F22" s="9"/>
      <c r="G22" s="19">
        <f t="shared" si="0"/>
        <v>0</v>
      </c>
      <c r="I22" s="46"/>
    </row>
    <row r="23" spans="1:9" s="20" customFormat="1" ht="94.5">
      <c r="A23" s="422">
        <v>250404</v>
      </c>
      <c r="B23" s="423" t="s">
        <v>96</v>
      </c>
      <c r="C23" s="4" t="s">
        <v>348</v>
      </c>
      <c r="D23" s="21">
        <v>0</v>
      </c>
      <c r="E23" s="9"/>
      <c r="F23" s="12"/>
      <c r="G23" s="19">
        <f t="shared" si="0"/>
        <v>0</v>
      </c>
      <c r="I23" s="46"/>
    </row>
    <row r="24" spans="1:9" s="20" customFormat="1" ht="63">
      <c r="A24" s="422"/>
      <c r="B24" s="423"/>
      <c r="C24" s="4" t="s">
        <v>366</v>
      </c>
      <c r="D24" s="17">
        <v>0</v>
      </c>
      <c r="E24" s="4"/>
      <c r="F24" s="19">
        <v>0</v>
      </c>
      <c r="G24" s="19">
        <f t="shared" si="0"/>
        <v>0</v>
      </c>
      <c r="I24" s="46"/>
    </row>
    <row r="25" spans="1:9" s="20" customFormat="1" ht="32.25" customHeight="1" hidden="1">
      <c r="A25" s="422"/>
      <c r="B25" s="423"/>
      <c r="C25" s="4" t="s">
        <v>144</v>
      </c>
      <c r="D25" s="17">
        <v>120000</v>
      </c>
      <c r="E25" s="4" t="s">
        <v>144</v>
      </c>
      <c r="F25" s="19">
        <v>0</v>
      </c>
      <c r="G25" s="19">
        <f t="shared" si="0"/>
        <v>120000</v>
      </c>
      <c r="I25" s="46"/>
    </row>
    <row r="26" spans="1:9" s="20" customFormat="1" ht="65.25" customHeight="1">
      <c r="A26" s="422"/>
      <c r="B26" s="423"/>
      <c r="C26" s="4" t="s">
        <v>370</v>
      </c>
      <c r="D26" s="17">
        <v>0</v>
      </c>
      <c r="E26" s="4"/>
      <c r="F26" s="19">
        <v>0</v>
      </c>
      <c r="G26" s="19">
        <f aca="true" t="shared" si="1" ref="G26:G31">D26+F26</f>
        <v>0</v>
      </c>
      <c r="I26" s="46"/>
    </row>
    <row r="27" spans="1:9" s="20" customFormat="1" ht="38.25" customHeight="1" hidden="1">
      <c r="A27" s="422"/>
      <c r="B27" s="423"/>
      <c r="C27" s="4" t="s">
        <v>211</v>
      </c>
      <c r="D27" s="17">
        <v>0</v>
      </c>
      <c r="E27" s="4"/>
      <c r="F27" s="19"/>
      <c r="G27" s="19">
        <f t="shared" si="1"/>
        <v>0</v>
      </c>
      <c r="I27" s="46"/>
    </row>
    <row r="28" spans="1:9" s="20" customFormat="1" ht="46.5" customHeight="1">
      <c r="A28" s="422"/>
      <c r="B28" s="423"/>
      <c r="C28" s="35" t="s">
        <v>367</v>
      </c>
      <c r="D28" s="38">
        <v>0</v>
      </c>
      <c r="E28" s="35"/>
      <c r="F28" s="36"/>
      <c r="G28" s="59">
        <f t="shared" si="1"/>
        <v>0</v>
      </c>
      <c r="I28" s="46"/>
    </row>
    <row r="29" spans="1:9" s="20" customFormat="1" ht="62.25" customHeight="1">
      <c r="A29" s="422"/>
      <c r="B29" s="423"/>
      <c r="C29" s="4" t="s">
        <v>364</v>
      </c>
      <c r="D29" s="17"/>
      <c r="E29" s="35"/>
      <c r="F29" s="36"/>
      <c r="G29" s="19">
        <f t="shared" si="1"/>
        <v>0</v>
      </c>
      <c r="I29" s="46"/>
    </row>
    <row r="30" spans="1:9" s="20" customFormat="1" ht="63">
      <c r="A30" s="422"/>
      <c r="B30" s="423"/>
      <c r="C30" s="4" t="s">
        <v>272</v>
      </c>
      <c r="D30" s="17"/>
      <c r="E30" s="4"/>
      <c r="F30" s="19"/>
      <c r="G30" s="19">
        <f t="shared" si="1"/>
        <v>0</v>
      </c>
      <c r="I30" s="46"/>
    </row>
    <row r="31" spans="1:9" s="20" customFormat="1" ht="47.25">
      <c r="A31" s="22" t="s">
        <v>156</v>
      </c>
      <c r="B31" s="23" t="s">
        <v>53</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180</v>
      </c>
      <c r="B32" s="4" t="s">
        <v>181</v>
      </c>
      <c r="C32" s="4" t="s">
        <v>205</v>
      </c>
      <c r="D32" s="17"/>
      <c r="E32" s="4"/>
      <c r="F32" s="19"/>
      <c r="G32" s="9">
        <v>0</v>
      </c>
      <c r="I32" s="46"/>
    </row>
    <row r="33" spans="1:9" s="20" customFormat="1" ht="66" customHeight="1">
      <c r="A33" s="18" t="s">
        <v>180</v>
      </c>
      <c r="B33" s="4" t="s">
        <v>181</v>
      </c>
      <c r="C33" s="58" t="s">
        <v>332</v>
      </c>
      <c r="D33" s="17">
        <v>0</v>
      </c>
      <c r="E33" s="4"/>
      <c r="F33" s="19"/>
      <c r="G33" s="19">
        <f>D33+F33</f>
        <v>0</v>
      </c>
      <c r="I33" s="46"/>
    </row>
    <row r="34" spans="1:9" s="20" customFormat="1" ht="33" customHeight="1">
      <c r="A34" s="424" t="s">
        <v>71</v>
      </c>
      <c r="B34" s="423" t="s">
        <v>111</v>
      </c>
      <c r="C34" s="58" t="s">
        <v>324</v>
      </c>
      <c r="D34" s="17">
        <v>0</v>
      </c>
      <c r="E34" s="4" t="s">
        <v>371</v>
      </c>
      <c r="F34" s="19">
        <v>0</v>
      </c>
      <c r="G34" s="19">
        <f>D34+F34</f>
        <v>0</v>
      </c>
      <c r="H34" s="47"/>
      <c r="I34" s="46"/>
    </row>
    <row r="35" spans="1:9" s="20" customFormat="1" ht="47.25">
      <c r="A35" s="424"/>
      <c r="B35" s="423"/>
      <c r="C35" s="35" t="s">
        <v>282</v>
      </c>
      <c r="D35" s="38">
        <v>0</v>
      </c>
      <c r="E35" s="35" t="s">
        <v>282</v>
      </c>
      <c r="F35" s="36">
        <v>0</v>
      </c>
      <c r="G35" s="19">
        <f>D35+F35</f>
        <v>0</v>
      </c>
      <c r="I35" s="46"/>
    </row>
    <row r="36" spans="1:9" s="20" customFormat="1" ht="71.25" customHeight="1">
      <c r="A36" s="424"/>
      <c r="B36" s="423"/>
      <c r="C36" s="58" t="s">
        <v>332</v>
      </c>
      <c r="D36" s="17">
        <v>0</v>
      </c>
      <c r="E36" s="35"/>
      <c r="F36" s="36"/>
      <c r="G36" s="19">
        <f>D36+F36</f>
        <v>0</v>
      </c>
      <c r="I36" s="46"/>
    </row>
    <row r="37" spans="1:9" s="20" customFormat="1" ht="35.25" customHeight="1">
      <c r="A37" s="424" t="s">
        <v>72</v>
      </c>
      <c r="B37" s="424" t="s">
        <v>112</v>
      </c>
      <c r="C37" s="58" t="s">
        <v>324</v>
      </c>
      <c r="D37" s="17">
        <v>0</v>
      </c>
      <c r="E37" s="4" t="s">
        <v>371</v>
      </c>
      <c r="F37" s="19">
        <v>0</v>
      </c>
      <c r="G37" s="19">
        <f>D37+F37</f>
        <v>0</v>
      </c>
      <c r="H37" s="47"/>
      <c r="I37" s="46"/>
    </row>
    <row r="38" spans="1:9" s="20" customFormat="1" ht="32.25" customHeight="1" hidden="1">
      <c r="A38" s="424"/>
      <c r="B38" s="424"/>
      <c r="C38" s="58" t="s">
        <v>245</v>
      </c>
      <c r="D38" s="17"/>
      <c r="E38" s="4" t="s">
        <v>245</v>
      </c>
      <c r="F38" s="19"/>
      <c r="G38" s="19">
        <f aca="true" t="shared" si="2" ref="G38:G48">D38+F38</f>
        <v>0</v>
      </c>
      <c r="I38" s="46"/>
    </row>
    <row r="39" spans="1:9" s="20" customFormat="1" ht="66" customHeight="1" hidden="1">
      <c r="A39" s="424"/>
      <c r="B39" s="424"/>
      <c r="C39" s="58" t="s">
        <v>245</v>
      </c>
      <c r="D39" s="17"/>
      <c r="E39" s="4" t="s">
        <v>245</v>
      </c>
      <c r="F39" s="19"/>
      <c r="G39" s="19">
        <f t="shared" si="2"/>
        <v>0</v>
      </c>
      <c r="I39" s="46"/>
    </row>
    <row r="40" spans="1:9" s="20" customFormat="1" ht="35.25" customHeight="1">
      <c r="A40" s="424"/>
      <c r="B40" s="424"/>
      <c r="C40" s="58" t="s">
        <v>329</v>
      </c>
      <c r="D40" s="17">
        <v>0</v>
      </c>
      <c r="E40" s="4"/>
      <c r="F40" s="19"/>
      <c r="G40" s="19">
        <f t="shared" si="2"/>
        <v>0</v>
      </c>
      <c r="I40" s="46"/>
    </row>
    <row r="41" spans="1:9" s="20" customFormat="1" ht="47.25">
      <c r="A41" s="424"/>
      <c r="B41" s="424"/>
      <c r="C41" s="35" t="s">
        <v>282</v>
      </c>
      <c r="D41" s="38">
        <v>0</v>
      </c>
      <c r="E41" s="35" t="s">
        <v>282</v>
      </c>
      <c r="F41" s="36">
        <v>0</v>
      </c>
      <c r="G41" s="19">
        <f t="shared" si="2"/>
        <v>0</v>
      </c>
      <c r="I41" s="46"/>
    </row>
    <row r="42" spans="1:9" s="20" customFormat="1" ht="66" customHeight="1">
      <c r="A42" s="424"/>
      <c r="B42" s="424"/>
      <c r="C42" s="58" t="s">
        <v>332</v>
      </c>
      <c r="D42" s="17">
        <v>0</v>
      </c>
      <c r="E42" s="35"/>
      <c r="F42" s="36"/>
      <c r="G42" s="19">
        <f t="shared" si="2"/>
        <v>0</v>
      </c>
      <c r="I42" s="46"/>
    </row>
    <row r="43" spans="1:9" s="20" customFormat="1" ht="35.25" customHeight="1">
      <c r="A43" s="424" t="s">
        <v>73</v>
      </c>
      <c r="B43" s="423" t="s">
        <v>113</v>
      </c>
      <c r="C43" s="58" t="s">
        <v>324</v>
      </c>
      <c r="D43" s="17">
        <v>0</v>
      </c>
      <c r="E43" s="4"/>
      <c r="F43" s="19"/>
      <c r="G43" s="19">
        <f t="shared" si="2"/>
        <v>0</v>
      </c>
      <c r="I43" s="46"/>
    </row>
    <row r="44" spans="1:9" s="20" customFormat="1" ht="70.5" customHeight="1">
      <c r="A44" s="424"/>
      <c r="B44" s="423"/>
      <c r="C44" s="58" t="s">
        <v>332</v>
      </c>
      <c r="D44" s="17">
        <v>0</v>
      </c>
      <c r="E44" s="4"/>
      <c r="F44" s="19"/>
      <c r="G44" s="19">
        <f t="shared" si="2"/>
        <v>0</v>
      </c>
      <c r="I44" s="46"/>
    </row>
    <row r="45" spans="1:9" s="20" customFormat="1" ht="31.5">
      <c r="A45" s="424"/>
      <c r="B45" s="423"/>
      <c r="C45" s="4"/>
      <c r="D45" s="17"/>
      <c r="E45" s="35" t="s">
        <v>367</v>
      </c>
      <c r="F45" s="36">
        <v>0</v>
      </c>
      <c r="G45" s="19">
        <f t="shared" si="2"/>
        <v>0</v>
      </c>
      <c r="H45" s="47"/>
      <c r="I45" s="46"/>
    </row>
    <row r="46" spans="1:9" s="20" customFormat="1" ht="39" customHeight="1">
      <c r="A46" s="424" t="s">
        <v>30</v>
      </c>
      <c r="B46" s="423" t="s">
        <v>31</v>
      </c>
      <c r="C46" s="58" t="s">
        <v>281</v>
      </c>
      <c r="D46" s="17">
        <v>0</v>
      </c>
      <c r="E46" s="4" t="s">
        <v>372</v>
      </c>
      <c r="F46" s="19">
        <v>0</v>
      </c>
      <c r="G46" s="19">
        <f t="shared" si="2"/>
        <v>0</v>
      </c>
      <c r="H46" s="47"/>
      <c r="I46" s="46"/>
    </row>
    <row r="47" spans="1:9" s="20" customFormat="1" ht="46.5" customHeight="1" hidden="1">
      <c r="A47" s="424"/>
      <c r="B47" s="423"/>
      <c r="C47" s="4" t="s">
        <v>355</v>
      </c>
      <c r="D47" s="17">
        <v>0</v>
      </c>
      <c r="E47" s="4" t="s">
        <v>355</v>
      </c>
      <c r="F47" s="19">
        <v>0</v>
      </c>
      <c r="G47" s="19">
        <f t="shared" si="2"/>
        <v>0</v>
      </c>
      <c r="I47" s="46"/>
    </row>
    <row r="48" spans="1:9" s="20" customFormat="1" ht="51.75" customHeight="1" hidden="1">
      <c r="A48" s="424"/>
      <c r="B48" s="423"/>
      <c r="C48" s="4"/>
      <c r="D48" s="21">
        <v>0</v>
      </c>
      <c r="E48" s="26"/>
      <c r="F48" s="16"/>
      <c r="G48" s="19">
        <f t="shared" si="2"/>
        <v>0</v>
      </c>
      <c r="I48" s="46"/>
    </row>
    <row r="49" spans="1:9" s="20" customFormat="1" ht="47.25">
      <c r="A49" s="424"/>
      <c r="B49" s="423"/>
      <c r="C49" s="35" t="s">
        <v>282</v>
      </c>
      <c r="D49" s="36">
        <v>0</v>
      </c>
      <c r="E49" s="35" t="s">
        <v>282</v>
      </c>
      <c r="F49" s="36">
        <v>0</v>
      </c>
      <c r="G49" s="19">
        <f>D49+F49</f>
        <v>0</v>
      </c>
      <c r="I49" s="46"/>
    </row>
    <row r="50" spans="1:9" s="20" customFormat="1" ht="66.75" customHeight="1">
      <c r="A50" s="424"/>
      <c r="B50" s="423"/>
      <c r="C50" s="58" t="s">
        <v>332</v>
      </c>
      <c r="D50" s="19">
        <v>0</v>
      </c>
      <c r="E50" s="35"/>
      <c r="F50" s="36"/>
      <c r="G50" s="19">
        <f aca="true" t="shared" si="3" ref="G50:G67">D50+F50</f>
        <v>0</v>
      </c>
      <c r="I50" s="46"/>
    </row>
    <row r="51" spans="1:9" s="20" customFormat="1" ht="63.75" customHeight="1">
      <c r="A51" s="18" t="s">
        <v>326</v>
      </c>
      <c r="B51" s="4" t="s">
        <v>325</v>
      </c>
      <c r="C51" s="58" t="s">
        <v>332</v>
      </c>
      <c r="D51" s="19">
        <v>0</v>
      </c>
      <c r="E51" s="35"/>
      <c r="F51" s="36"/>
      <c r="G51" s="19">
        <f t="shared" si="3"/>
        <v>0</v>
      </c>
      <c r="I51" s="46"/>
    </row>
    <row r="52" spans="1:9" s="51" customFormat="1" ht="46.5" customHeight="1">
      <c r="A52" s="18" t="s">
        <v>333</v>
      </c>
      <c r="B52" s="4" t="s">
        <v>334</v>
      </c>
      <c r="C52" s="58" t="s">
        <v>324</v>
      </c>
      <c r="D52" s="19">
        <v>0</v>
      </c>
      <c r="E52" s="4" t="s">
        <v>371</v>
      </c>
      <c r="F52" s="19">
        <v>0</v>
      </c>
      <c r="G52" s="19">
        <f t="shared" si="3"/>
        <v>0</v>
      </c>
      <c r="H52" s="47"/>
      <c r="I52" s="52"/>
    </row>
    <row r="53" spans="1:9" s="20" customFormat="1" ht="60.75" customHeight="1">
      <c r="A53" s="18" t="s">
        <v>327</v>
      </c>
      <c r="B53" s="4" t="s">
        <v>328</v>
      </c>
      <c r="C53" s="60" t="s">
        <v>332</v>
      </c>
      <c r="D53" s="19">
        <v>0</v>
      </c>
      <c r="E53" s="35"/>
      <c r="F53" s="36"/>
      <c r="G53" s="19">
        <f t="shared" si="3"/>
        <v>0</v>
      </c>
      <c r="I53" s="46"/>
    </row>
    <row r="54" spans="1:9" s="20" customFormat="1" ht="47.25">
      <c r="A54" s="25" t="s">
        <v>85</v>
      </c>
      <c r="B54" s="4" t="s">
        <v>32</v>
      </c>
      <c r="C54" s="4" t="s">
        <v>374</v>
      </c>
      <c r="D54" s="21">
        <v>0</v>
      </c>
      <c r="E54" s="4"/>
      <c r="F54" s="16"/>
      <c r="G54" s="19">
        <f t="shared" si="3"/>
        <v>0</v>
      </c>
      <c r="I54" s="46"/>
    </row>
    <row r="55" spans="1:9" s="20" customFormat="1" ht="95.25" customHeight="1">
      <c r="A55" s="18" t="s">
        <v>74</v>
      </c>
      <c r="B55" s="4" t="s">
        <v>107</v>
      </c>
      <c r="C55" s="60" t="s">
        <v>329</v>
      </c>
      <c r="D55" s="17">
        <v>0</v>
      </c>
      <c r="E55" s="4"/>
      <c r="F55" s="9"/>
      <c r="G55" s="19">
        <f t="shared" si="3"/>
        <v>0</v>
      </c>
      <c r="I55" s="46"/>
    </row>
    <row r="56" spans="1:9" s="20" customFormat="1" ht="35.25" customHeight="1">
      <c r="A56" s="18" t="s">
        <v>172</v>
      </c>
      <c r="B56" s="4" t="s">
        <v>173</v>
      </c>
      <c r="C56" s="60" t="s">
        <v>259</v>
      </c>
      <c r="D56" s="17">
        <v>0</v>
      </c>
      <c r="E56" s="4"/>
      <c r="F56" s="9"/>
      <c r="G56" s="19">
        <f t="shared" si="3"/>
        <v>0</v>
      </c>
      <c r="I56" s="46"/>
    </row>
    <row r="57" spans="1:9" s="20" customFormat="1" ht="47.25">
      <c r="A57" s="18" t="s">
        <v>256</v>
      </c>
      <c r="B57" s="4" t="s">
        <v>257</v>
      </c>
      <c r="C57" s="60" t="s">
        <v>259</v>
      </c>
      <c r="D57" s="17">
        <v>0</v>
      </c>
      <c r="E57" s="4"/>
      <c r="F57" s="19"/>
      <c r="G57" s="19">
        <f t="shared" si="3"/>
        <v>0</v>
      </c>
      <c r="I57" s="46"/>
    </row>
    <row r="58" spans="1:9" s="20" customFormat="1" ht="31.5" customHeight="1">
      <c r="A58" s="424" t="s">
        <v>114</v>
      </c>
      <c r="B58" s="423" t="s">
        <v>206</v>
      </c>
      <c r="C58" s="60" t="s">
        <v>259</v>
      </c>
      <c r="D58" s="17">
        <v>0</v>
      </c>
      <c r="E58" s="4"/>
      <c r="F58" s="19"/>
      <c r="G58" s="19">
        <f t="shared" si="3"/>
        <v>0</v>
      </c>
      <c r="I58" s="46"/>
    </row>
    <row r="59" spans="1:9" s="20" customFormat="1" ht="47.25">
      <c r="A59" s="424"/>
      <c r="B59" s="423"/>
      <c r="C59" s="35" t="s">
        <v>282</v>
      </c>
      <c r="D59" s="36">
        <v>0</v>
      </c>
      <c r="E59" s="35" t="s">
        <v>367</v>
      </c>
      <c r="F59" s="36">
        <v>0</v>
      </c>
      <c r="G59" s="19">
        <f t="shared" si="3"/>
        <v>0</v>
      </c>
      <c r="H59" s="47"/>
      <c r="I59" s="46"/>
    </row>
    <row r="60" spans="1:9" s="20" customFormat="1" ht="65.25" customHeight="1">
      <c r="A60" s="424"/>
      <c r="B60" s="423"/>
      <c r="C60" s="4" t="s">
        <v>332</v>
      </c>
      <c r="D60" s="19">
        <v>0</v>
      </c>
      <c r="E60" s="35"/>
      <c r="F60" s="36"/>
      <c r="G60" s="19">
        <f t="shared" si="3"/>
        <v>0</v>
      </c>
      <c r="I60" s="46"/>
    </row>
    <row r="61" spans="1:9" s="20" customFormat="1" ht="47.25">
      <c r="A61" s="18" t="s">
        <v>170</v>
      </c>
      <c r="B61" s="4" t="s">
        <v>171</v>
      </c>
      <c r="C61" s="4" t="s">
        <v>273</v>
      </c>
      <c r="D61" s="17">
        <v>0</v>
      </c>
      <c r="E61" s="4"/>
      <c r="F61" s="19"/>
      <c r="G61" s="19">
        <f t="shared" si="3"/>
        <v>0</v>
      </c>
      <c r="I61" s="46"/>
    </row>
    <row r="62" spans="1:9" s="20" customFormat="1" ht="63">
      <c r="A62" s="422">
        <v>130112</v>
      </c>
      <c r="B62" s="423" t="s">
        <v>96</v>
      </c>
      <c r="C62" s="58" t="s">
        <v>332</v>
      </c>
      <c r="D62" s="17">
        <v>0</v>
      </c>
      <c r="E62" s="4"/>
      <c r="F62" s="19"/>
      <c r="G62" s="19">
        <f t="shared" si="3"/>
        <v>0</v>
      </c>
      <c r="I62" s="46"/>
    </row>
    <row r="63" spans="1:9" s="20" customFormat="1" ht="37.5" customHeight="1">
      <c r="A63" s="422"/>
      <c r="B63" s="423"/>
      <c r="C63" s="4" t="s">
        <v>373</v>
      </c>
      <c r="D63" s="21">
        <v>0</v>
      </c>
      <c r="E63" s="60" t="s">
        <v>259</v>
      </c>
      <c r="F63" s="12">
        <v>0</v>
      </c>
      <c r="G63" s="19">
        <f t="shared" si="3"/>
        <v>0</v>
      </c>
      <c r="H63" s="47"/>
      <c r="I63" s="46"/>
    </row>
    <row r="64" spans="1:9" s="20" customFormat="1" ht="31.5">
      <c r="A64" s="424" t="s">
        <v>88</v>
      </c>
      <c r="B64" s="423" t="s">
        <v>89</v>
      </c>
      <c r="C64" s="4"/>
      <c r="D64" s="5"/>
      <c r="E64" s="4" t="s">
        <v>371</v>
      </c>
      <c r="F64" s="12">
        <v>0</v>
      </c>
      <c r="G64" s="19">
        <f t="shared" si="3"/>
        <v>0</v>
      </c>
      <c r="H64" s="47"/>
      <c r="I64" s="46"/>
    </row>
    <row r="65" spans="1:9" s="20" customFormat="1" ht="31.5">
      <c r="A65" s="424"/>
      <c r="B65" s="423"/>
      <c r="C65" s="4"/>
      <c r="D65" s="5"/>
      <c r="E65" s="4" t="s">
        <v>372</v>
      </c>
      <c r="F65" s="12">
        <v>0</v>
      </c>
      <c r="G65" s="19">
        <f t="shared" si="3"/>
        <v>0</v>
      </c>
      <c r="I65" s="46"/>
    </row>
    <row r="66" spans="1:9" s="20" customFormat="1" ht="31.5">
      <c r="A66" s="424"/>
      <c r="B66" s="423"/>
      <c r="C66" s="4"/>
      <c r="D66" s="5"/>
      <c r="E66" s="4" t="s">
        <v>375</v>
      </c>
      <c r="F66" s="12">
        <v>0</v>
      </c>
      <c r="G66" s="19">
        <f t="shared" si="3"/>
        <v>0</v>
      </c>
      <c r="I66" s="46"/>
    </row>
    <row r="67" spans="1:9" s="20" customFormat="1" ht="47.25">
      <c r="A67" s="4">
        <v>240601</v>
      </c>
      <c r="B67" s="4" t="s">
        <v>110</v>
      </c>
      <c r="C67" s="4"/>
      <c r="D67" s="5"/>
      <c r="E67" s="4" t="s">
        <v>376</v>
      </c>
      <c r="F67" s="19">
        <v>0</v>
      </c>
      <c r="G67" s="19">
        <f t="shared" si="3"/>
        <v>0</v>
      </c>
      <c r="H67" s="47"/>
      <c r="I67" s="46"/>
    </row>
    <row r="68" spans="1:9" s="20" customFormat="1" ht="77.25" customHeight="1">
      <c r="A68" s="25" t="s">
        <v>28</v>
      </c>
      <c r="B68" s="4" t="s">
        <v>29</v>
      </c>
      <c r="C68" s="426" t="s">
        <v>374</v>
      </c>
      <c r="D68" s="15">
        <v>0</v>
      </c>
      <c r="E68" s="60" t="s">
        <v>258</v>
      </c>
      <c r="F68" s="16">
        <v>0</v>
      </c>
      <c r="G68" s="19">
        <f>D68+F68</f>
        <v>0</v>
      </c>
      <c r="I68" s="46"/>
    </row>
    <row r="69" spans="1:9" s="20" customFormat="1" ht="94.5">
      <c r="A69" s="25" t="s">
        <v>352</v>
      </c>
      <c r="B69" s="4" t="s">
        <v>353</v>
      </c>
      <c r="C69" s="427"/>
      <c r="D69" s="15">
        <v>0</v>
      </c>
      <c r="E69" s="4"/>
      <c r="F69" s="16"/>
      <c r="G69" s="19">
        <f>D69+F69</f>
        <v>0</v>
      </c>
      <c r="I69" s="46"/>
    </row>
    <row r="70" spans="1:9" s="20" customFormat="1" ht="46.5" customHeight="1">
      <c r="A70" s="22" t="s">
        <v>157</v>
      </c>
      <c r="B70" s="23" t="s">
        <v>54</v>
      </c>
      <c r="C70" s="4"/>
      <c r="D70" s="24">
        <f>D72+D73+D74+D75+D76+D77+D78+D79+D80+D81+D83+D82+D85+D86+D87+D89</f>
        <v>0</v>
      </c>
      <c r="E70" s="5"/>
      <c r="F70" s="24">
        <f>F72+F73+F75+F77+F78+F80+F81+F83+F84+F86+F90</f>
        <v>0</v>
      </c>
      <c r="G70" s="28">
        <f>D70+F70</f>
        <v>0</v>
      </c>
      <c r="H70" s="47"/>
      <c r="I70" s="46"/>
    </row>
    <row r="71" spans="1:9" s="20" customFormat="1" ht="34.5" customHeight="1" hidden="1">
      <c r="A71" s="18" t="s">
        <v>180</v>
      </c>
      <c r="B71" s="4" t="s">
        <v>181</v>
      </c>
      <c r="C71" s="4" t="s">
        <v>189</v>
      </c>
      <c r="D71" s="17"/>
      <c r="E71" s="4"/>
      <c r="F71" s="19"/>
      <c r="G71" s="19">
        <v>0</v>
      </c>
      <c r="I71" s="46"/>
    </row>
    <row r="72" spans="1:9" s="20" customFormat="1" ht="52.5" customHeight="1">
      <c r="A72" s="424" t="s">
        <v>76</v>
      </c>
      <c r="B72" s="423" t="s">
        <v>23</v>
      </c>
      <c r="C72" s="60" t="s">
        <v>342</v>
      </c>
      <c r="D72" s="17">
        <v>0</v>
      </c>
      <c r="E72" s="4" t="s">
        <v>377</v>
      </c>
      <c r="F72" s="19">
        <v>0</v>
      </c>
      <c r="G72" s="19">
        <f>D72+F72</f>
        <v>0</v>
      </c>
      <c r="H72" s="47"/>
      <c r="I72" s="46"/>
    </row>
    <row r="73" spans="1:9" s="20" customFormat="1" ht="51.75" customHeight="1">
      <c r="A73" s="424"/>
      <c r="B73" s="423"/>
      <c r="C73" s="4" t="s">
        <v>355</v>
      </c>
      <c r="D73" s="17">
        <v>0</v>
      </c>
      <c r="E73" s="4" t="s">
        <v>355</v>
      </c>
      <c r="F73" s="19">
        <v>0</v>
      </c>
      <c r="G73" s="19">
        <f aca="true" t="shared" si="4" ref="G73:G90">D73+F73</f>
        <v>0</v>
      </c>
      <c r="I73" s="46"/>
    </row>
    <row r="74" spans="1:9" s="20" customFormat="1" ht="54.75" customHeight="1">
      <c r="A74" s="424"/>
      <c r="B74" s="423"/>
      <c r="C74" s="60" t="s">
        <v>343</v>
      </c>
      <c r="D74" s="17">
        <v>0</v>
      </c>
      <c r="E74" s="4"/>
      <c r="F74" s="19"/>
      <c r="G74" s="19">
        <f t="shared" si="4"/>
        <v>0</v>
      </c>
      <c r="I74" s="46"/>
    </row>
    <row r="75" spans="1:9" s="20" customFormat="1" ht="47.25">
      <c r="A75" s="424"/>
      <c r="B75" s="423"/>
      <c r="C75" s="60" t="s">
        <v>282</v>
      </c>
      <c r="D75" s="38">
        <v>0</v>
      </c>
      <c r="E75" s="35" t="s">
        <v>367</v>
      </c>
      <c r="F75" s="36">
        <v>0</v>
      </c>
      <c r="G75" s="19">
        <f t="shared" si="4"/>
        <v>0</v>
      </c>
      <c r="I75" s="46"/>
    </row>
    <row r="76" spans="1:9" s="20" customFormat="1" ht="63">
      <c r="A76" s="424"/>
      <c r="B76" s="423"/>
      <c r="C76" s="60" t="s">
        <v>332</v>
      </c>
      <c r="D76" s="17">
        <v>0</v>
      </c>
      <c r="E76" s="35"/>
      <c r="F76" s="36"/>
      <c r="G76" s="19">
        <f t="shared" si="4"/>
        <v>0</v>
      </c>
      <c r="I76" s="46"/>
    </row>
    <row r="77" spans="1:9" s="20" customFormat="1" ht="50.25" customHeight="1">
      <c r="A77" s="424" t="s">
        <v>115</v>
      </c>
      <c r="B77" s="423" t="s">
        <v>247</v>
      </c>
      <c r="C77" s="60" t="s">
        <v>342</v>
      </c>
      <c r="D77" s="17">
        <v>0</v>
      </c>
      <c r="E77" s="4" t="s">
        <v>377</v>
      </c>
      <c r="F77" s="19">
        <v>0</v>
      </c>
      <c r="G77" s="19">
        <f t="shared" si="4"/>
        <v>0</v>
      </c>
      <c r="H77" s="47"/>
      <c r="I77" s="46"/>
    </row>
    <row r="78" spans="1:9" s="20" customFormat="1" ht="47.25">
      <c r="A78" s="424"/>
      <c r="B78" s="423"/>
      <c r="C78" s="35" t="s">
        <v>282</v>
      </c>
      <c r="D78" s="36">
        <v>0</v>
      </c>
      <c r="E78" s="35" t="s">
        <v>367</v>
      </c>
      <c r="F78" s="36">
        <v>0</v>
      </c>
      <c r="G78" s="19">
        <f t="shared" si="4"/>
        <v>0</v>
      </c>
      <c r="I78" s="46"/>
    </row>
    <row r="79" spans="1:9" s="20" customFormat="1" ht="63">
      <c r="A79" s="424"/>
      <c r="B79" s="423"/>
      <c r="C79" s="61" t="s">
        <v>332</v>
      </c>
      <c r="D79" s="19">
        <v>0</v>
      </c>
      <c r="E79" s="35"/>
      <c r="F79" s="36"/>
      <c r="G79" s="19">
        <f t="shared" si="4"/>
        <v>0</v>
      </c>
      <c r="I79" s="46"/>
    </row>
    <row r="80" spans="1:9" s="20" customFormat="1" ht="47.25">
      <c r="A80" s="424" t="s">
        <v>77</v>
      </c>
      <c r="B80" s="423" t="s">
        <v>24</v>
      </c>
      <c r="C80" s="61" t="s">
        <v>342</v>
      </c>
      <c r="D80" s="17">
        <v>0</v>
      </c>
      <c r="E80" s="4" t="s">
        <v>377</v>
      </c>
      <c r="F80" s="19">
        <v>0</v>
      </c>
      <c r="G80" s="19">
        <f t="shared" si="4"/>
        <v>0</v>
      </c>
      <c r="H80" s="47"/>
      <c r="I80" s="46"/>
    </row>
    <row r="81" spans="1:9" s="20" customFormat="1" ht="47.25">
      <c r="A81" s="424"/>
      <c r="B81" s="423"/>
      <c r="C81" s="35" t="s">
        <v>282</v>
      </c>
      <c r="D81" s="36">
        <v>0</v>
      </c>
      <c r="E81" s="35" t="s">
        <v>367</v>
      </c>
      <c r="F81" s="36">
        <v>0</v>
      </c>
      <c r="G81" s="19">
        <f t="shared" si="4"/>
        <v>0</v>
      </c>
      <c r="I81" s="46"/>
    </row>
    <row r="82" spans="1:9" s="20" customFormat="1" ht="63">
      <c r="A82" s="424"/>
      <c r="B82" s="423"/>
      <c r="C82" s="61" t="s">
        <v>332</v>
      </c>
      <c r="D82" s="19">
        <v>0</v>
      </c>
      <c r="E82" s="35"/>
      <c r="F82" s="36"/>
      <c r="G82" s="19">
        <f t="shared" si="4"/>
        <v>0</v>
      </c>
      <c r="I82" s="46"/>
    </row>
    <row r="83" spans="1:9" s="20" customFormat="1" ht="47.25" customHeight="1">
      <c r="A83" s="424" t="s">
        <v>78</v>
      </c>
      <c r="B83" s="423" t="s">
        <v>25</v>
      </c>
      <c r="C83" s="61" t="s">
        <v>342</v>
      </c>
      <c r="D83" s="17">
        <v>0</v>
      </c>
      <c r="E83" s="4" t="s">
        <v>377</v>
      </c>
      <c r="F83" s="19">
        <v>0</v>
      </c>
      <c r="G83" s="19">
        <f t="shared" si="4"/>
        <v>0</v>
      </c>
      <c r="H83" s="47"/>
      <c r="I83" s="46"/>
    </row>
    <row r="84" spans="1:9" s="20" customFormat="1" ht="31.5">
      <c r="A84" s="424"/>
      <c r="B84" s="423"/>
      <c r="C84" s="4"/>
      <c r="D84" s="17"/>
      <c r="E84" s="35" t="s">
        <v>367</v>
      </c>
      <c r="F84" s="36">
        <v>0</v>
      </c>
      <c r="G84" s="19">
        <f t="shared" si="4"/>
        <v>0</v>
      </c>
      <c r="I84" s="46"/>
    </row>
    <row r="85" spans="1:9" s="20" customFormat="1" ht="66" customHeight="1">
      <c r="A85" s="424"/>
      <c r="B85" s="423"/>
      <c r="C85" s="61" t="s">
        <v>332</v>
      </c>
      <c r="D85" s="17">
        <v>0</v>
      </c>
      <c r="E85" s="35"/>
      <c r="F85" s="36"/>
      <c r="G85" s="19">
        <f t="shared" si="4"/>
        <v>0</v>
      </c>
      <c r="I85" s="46"/>
    </row>
    <row r="86" spans="1:9" s="53" customFormat="1" ht="50.25" customHeight="1">
      <c r="A86" s="18" t="s">
        <v>335</v>
      </c>
      <c r="B86" s="4" t="s">
        <v>336</v>
      </c>
      <c r="C86" s="61" t="s">
        <v>342</v>
      </c>
      <c r="D86" s="17">
        <v>0</v>
      </c>
      <c r="E86" s="4" t="s">
        <v>377</v>
      </c>
      <c r="F86" s="19">
        <v>0</v>
      </c>
      <c r="G86" s="19">
        <f t="shared" si="4"/>
        <v>0</v>
      </c>
      <c r="H86" s="47"/>
      <c r="I86" s="46"/>
    </row>
    <row r="87" spans="1:9" s="20" customFormat="1" ht="47.25">
      <c r="A87" s="18" t="s">
        <v>116</v>
      </c>
      <c r="B87" s="4" t="s">
        <v>117</v>
      </c>
      <c r="C87" s="61" t="s">
        <v>260</v>
      </c>
      <c r="D87" s="17">
        <v>0</v>
      </c>
      <c r="E87" s="4"/>
      <c r="F87" s="9"/>
      <c r="G87" s="19">
        <f t="shared" si="4"/>
        <v>0</v>
      </c>
      <c r="I87" s="46"/>
    </row>
    <row r="88" spans="1:9" s="20" customFormat="1" ht="15.75" customHeight="1" hidden="1">
      <c r="A88" s="18" t="s">
        <v>79</v>
      </c>
      <c r="B88" s="4" t="s">
        <v>26</v>
      </c>
      <c r="C88" s="61"/>
      <c r="D88" s="17"/>
      <c r="E88" s="4"/>
      <c r="F88" s="19">
        <v>0</v>
      </c>
      <c r="G88" s="19">
        <f t="shared" si="4"/>
        <v>0</v>
      </c>
      <c r="I88" s="46"/>
    </row>
    <row r="89" spans="1:9" s="20" customFormat="1" ht="46.5" customHeight="1">
      <c r="A89" s="18" t="s">
        <v>80</v>
      </c>
      <c r="B89" s="4" t="s">
        <v>248</v>
      </c>
      <c r="C89" s="61" t="s">
        <v>261</v>
      </c>
      <c r="D89" s="17">
        <v>0</v>
      </c>
      <c r="E89" s="4"/>
      <c r="F89" s="9"/>
      <c r="G89" s="19">
        <f t="shared" si="4"/>
        <v>0</v>
      </c>
      <c r="I89" s="46"/>
    </row>
    <row r="90" spans="1:9" s="20" customFormat="1" ht="52.5" customHeight="1">
      <c r="A90" s="18" t="s">
        <v>88</v>
      </c>
      <c r="B90" s="4" t="s">
        <v>89</v>
      </c>
      <c r="C90" s="4"/>
      <c r="D90" s="5"/>
      <c r="E90" s="4" t="s">
        <v>377</v>
      </c>
      <c r="F90" s="19">
        <v>0</v>
      </c>
      <c r="G90" s="19">
        <f t="shared" si="4"/>
        <v>0</v>
      </c>
      <c r="H90" s="47"/>
      <c r="I90" s="46"/>
    </row>
    <row r="91" spans="1:9" s="20" customFormat="1" ht="36" customHeight="1" hidden="1">
      <c r="A91" s="424" t="s">
        <v>75</v>
      </c>
      <c r="B91" s="423" t="s">
        <v>109</v>
      </c>
      <c r="C91" s="4"/>
      <c r="D91" s="5"/>
      <c r="E91" s="4" t="s">
        <v>145</v>
      </c>
      <c r="F91" s="12"/>
      <c r="G91" s="9">
        <v>0</v>
      </c>
      <c r="I91" s="46"/>
    </row>
    <row r="92" spans="1:9" s="20" customFormat="1" ht="33" customHeight="1" hidden="1">
      <c r="A92" s="424"/>
      <c r="B92" s="423"/>
      <c r="C92" s="4"/>
      <c r="D92" s="5"/>
      <c r="E92" s="4" t="s">
        <v>146</v>
      </c>
      <c r="F92" s="12"/>
      <c r="G92" s="9">
        <v>0</v>
      </c>
      <c r="I92" s="46"/>
    </row>
    <row r="93" spans="1:9" s="20" customFormat="1" ht="49.5" customHeight="1">
      <c r="A93" s="22" t="s">
        <v>158</v>
      </c>
      <c r="B93" s="23" t="s">
        <v>55</v>
      </c>
      <c r="C93" s="4"/>
      <c r="D93" s="28">
        <f>D96+D99+D101+D102+D104+D105+D106+D107+D108+D109+D113+D115+D116</f>
        <v>0</v>
      </c>
      <c r="E93" s="9"/>
      <c r="F93" s="28">
        <f>F94+F97+F101+F102+F104+F107+F110+F111</f>
        <v>0</v>
      </c>
      <c r="G93" s="28">
        <f>D93+F93</f>
        <v>0</v>
      </c>
      <c r="H93" s="47"/>
      <c r="I93" s="46"/>
    </row>
    <row r="94" spans="1:9" s="20" customFormat="1" ht="47.25">
      <c r="A94" s="424" t="s">
        <v>180</v>
      </c>
      <c r="B94" s="423" t="s">
        <v>181</v>
      </c>
      <c r="C94" s="4"/>
      <c r="D94" s="19"/>
      <c r="E94" s="4" t="s">
        <v>365</v>
      </c>
      <c r="F94" s="19">
        <v>0</v>
      </c>
      <c r="G94" s="19">
        <f>D94+F94</f>
        <v>0</v>
      </c>
      <c r="I94" s="46"/>
    </row>
    <row r="95" spans="1:9" s="20" customFormat="1" ht="96.75" customHeight="1" hidden="1">
      <c r="A95" s="424"/>
      <c r="B95" s="423"/>
      <c r="C95" s="4" t="s">
        <v>246</v>
      </c>
      <c r="D95" s="17">
        <v>0</v>
      </c>
      <c r="E95" s="4"/>
      <c r="F95" s="9"/>
      <c r="G95" s="19">
        <f aca="true" t="shared" si="5" ref="G95:G116">D95+F95</f>
        <v>0</v>
      </c>
      <c r="I95" s="46"/>
    </row>
    <row r="96" spans="1:9" s="20" customFormat="1" ht="64.5" customHeight="1">
      <c r="A96" s="424"/>
      <c r="B96" s="423"/>
      <c r="C96" s="61" t="s">
        <v>332</v>
      </c>
      <c r="D96" s="19">
        <v>0</v>
      </c>
      <c r="E96" s="4"/>
      <c r="F96" s="9"/>
      <c r="G96" s="19">
        <f t="shared" si="5"/>
        <v>0</v>
      </c>
      <c r="I96" s="46"/>
    </row>
    <row r="97" spans="1:9" s="20" customFormat="1" ht="51.75" customHeight="1">
      <c r="A97" s="424" t="s">
        <v>83</v>
      </c>
      <c r="B97" s="423" t="s">
        <v>252</v>
      </c>
      <c r="C97" s="4"/>
      <c r="D97" s="19"/>
      <c r="E97" s="4" t="s">
        <v>365</v>
      </c>
      <c r="F97" s="19">
        <v>0</v>
      </c>
      <c r="G97" s="19">
        <f t="shared" si="5"/>
        <v>0</v>
      </c>
      <c r="I97" s="46"/>
    </row>
    <row r="98" spans="1:9" s="20" customFormat="1" ht="63" hidden="1">
      <c r="A98" s="424"/>
      <c r="B98" s="423"/>
      <c r="C98" s="4" t="s">
        <v>332</v>
      </c>
      <c r="D98" s="17">
        <v>0</v>
      </c>
      <c r="E98" s="4"/>
      <c r="F98" s="19"/>
      <c r="G98" s="19">
        <f t="shared" si="5"/>
        <v>0</v>
      </c>
      <c r="I98" s="46"/>
    </row>
    <row r="99" spans="1:9" s="20" customFormat="1" ht="63">
      <c r="A99" s="18" t="s">
        <v>84</v>
      </c>
      <c r="B99" s="4" t="s">
        <v>253</v>
      </c>
      <c r="C99" s="4" t="s">
        <v>379</v>
      </c>
      <c r="D99" s="17">
        <v>0</v>
      </c>
      <c r="E99" s="4"/>
      <c r="F99" s="9"/>
      <c r="G99" s="19">
        <f t="shared" si="5"/>
        <v>0</v>
      </c>
      <c r="I99" s="46"/>
    </row>
    <row r="100" spans="1:9" s="20" customFormat="1" ht="47.25" hidden="1">
      <c r="A100" s="18" t="s">
        <v>85</v>
      </c>
      <c r="B100" s="4" t="s">
        <v>254</v>
      </c>
      <c r="C100" s="4"/>
      <c r="D100" s="17"/>
      <c r="E100" s="4"/>
      <c r="F100" s="9"/>
      <c r="G100" s="19">
        <f t="shared" si="5"/>
        <v>0</v>
      </c>
      <c r="I100" s="46"/>
    </row>
    <row r="101" spans="1:9" s="20" customFormat="1" ht="50.25" customHeight="1">
      <c r="A101" s="424" t="s">
        <v>178</v>
      </c>
      <c r="B101" s="423" t="s">
        <v>179</v>
      </c>
      <c r="C101" s="4" t="s">
        <v>378</v>
      </c>
      <c r="D101" s="17">
        <v>0</v>
      </c>
      <c r="E101" s="4" t="s">
        <v>378</v>
      </c>
      <c r="F101" s="19">
        <v>0</v>
      </c>
      <c r="G101" s="19">
        <f t="shared" si="5"/>
        <v>0</v>
      </c>
      <c r="I101" s="46"/>
    </row>
    <row r="102" spans="1:9" s="20" customFormat="1" ht="50.25" customHeight="1">
      <c r="A102" s="424"/>
      <c r="B102" s="423"/>
      <c r="C102" s="4" t="s">
        <v>355</v>
      </c>
      <c r="D102" s="17">
        <v>0</v>
      </c>
      <c r="E102" s="4" t="s">
        <v>355</v>
      </c>
      <c r="F102" s="19">
        <v>0</v>
      </c>
      <c r="G102" s="19">
        <f t="shared" si="5"/>
        <v>0</v>
      </c>
      <c r="I102" s="46"/>
    </row>
    <row r="103" spans="1:9" s="20" customFormat="1" ht="110.25" customHeight="1" hidden="1">
      <c r="A103" s="424"/>
      <c r="B103" s="423"/>
      <c r="C103" s="4"/>
      <c r="D103" s="17"/>
      <c r="E103" s="4"/>
      <c r="F103" s="9"/>
      <c r="G103" s="19">
        <f t="shared" si="5"/>
        <v>0</v>
      </c>
      <c r="I103" s="46"/>
    </row>
    <row r="104" spans="1:9" s="20" customFormat="1" ht="51" customHeight="1">
      <c r="A104" s="424"/>
      <c r="B104" s="423"/>
      <c r="C104" s="35" t="s">
        <v>282</v>
      </c>
      <c r="D104" s="37">
        <v>0</v>
      </c>
      <c r="E104" s="35" t="s">
        <v>282</v>
      </c>
      <c r="F104" s="37">
        <v>0</v>
      </c>
      <c r="G104" s="19">
        <f t="shared" si="5"/>
        <v>0</v>
      </c>
      <c r="I104" s="46"/>
    </row>
    <row r="105" spans="1:9" s="20" customFormat="1" ht="63">
      <c r="A105" s="424"/>
      <c r="B105" s="423"/>
      <c r="C105" s="61" t="s">
        <v>332</v>
      </c>
      <c r="D105" s="9">
        <v>0</v>
      </c>
      <c r="E105" s="35"/>
      <c r="F105" s="37"/>
      <c r="G105" s="19">
        <f t="shared" si="5"/>
        <v>0</v>
      </c>
      <c r="I105" s="46"/>
    </row>
    <row r="106" spans="1:9" s="20" customFormat="1" ht="49.5" customHeight="1">
      <c r="A106" s="424" t="s">
        <v>27</v>
      </c>
      <c r="B106" s="423" t="s">
        <v>21</v>
      </c>
      <c r="C106" s="4" t="s">
        <v>378</v>
      </c>
      <c r="D106" s="17">
        <v>0</v>
      </c>
      <c r="E106" s="4"/>
      <c r="F106" s="9"/>
      <c r="G106" s="19">
        <f t="shared" si="5"/>
        <v>0</v>
      </c>
      <c r="I106" s="46"/>
    </row>
    <row r="107" spans="1:9" s="20" customFormat="1" ht="47.25">
      <c r="A107" s="424"/>
      <c r="B107" s="423"/>
      <c r="C107" s="35" t="s">
        <v>282</v>
      </c>
      <c r="D107" s="37">
        <v>0</v>
      </c>
      <c r="E107" s="35" t="s">
        <v>367</v>
      </c>
      <c r="F107" s="37">
        <v>0</v>
      </c>
      <c r="G107" s="19">
        <f t="shared" si="5"/>
        <v>0</v>
      </c>
      <c r="I107" s="46"/>
    </row>
    <row r="108" spans="1:9" s="20" customFormat="1" ht="48" customHeight="1">
      <c r="A108" s="424" t="s">
        <v>90</v>
      </c>
      <c r="B108" s="423" t="s">
        <v>97</v>
      </c>
      <c r="C108" s="61" t="s">
        <v>262</v>
      </c>
      <c r="D108" s="17">
        <v>0</v>
      </c>
      <c r="E108" s="4"/>
      <c r="F108" s="9"/>
      <c r="G108" s="19">
        <f>D108+F108</f>
        <v>0</v>
      </c>
      <c r="I108" s="46"/>
    </row>
    <row r="109" spans="1:9" s="20" customFormat="1" ht="47.25">
      <c r="A109" s="424"/>
      <c r="B109" s="423"/>
      <c r="C109" s="35" t="s">
        <v>282</v>
      </c>
      <c r="D109" s="38">
        <v>0</v>
      </c>
      <c r="E109" s="35"/>
      <c r="F109" s="37"/>
      <c r="G109" s="19">
        <f t="shared" si="5"/>
        <v>0</v>
      </c>
      <c r="I109" s="46"/>
    </row>
    <row r="110" spans="1:9" s="20" customFormat="1" ht="48" customHeight="1">
      <c r="A110" s="424" t="s">
        <v>88</v>
      </c>
      <c r="B110" s="423" t="s">
        <v>89</v>
      </c>
      <c r="C110" s="4"/>
      <c r="D110" s="17"/>
      <c r="E110" s="4" t="s">
        <v>319</v>
      </c>
      <c r="F110" s="12">
        <v>0</v>
      </c>
      <c r="G110" s="19">
        <f t="shared" si="5"/>
        <v>0</v>
      </c>
      <c r="I110" s="46"/>
    </row>
    <row r="111" spans="1:9" s="20" customFormat="1" ht="45.75" customHeight="1">
      <c r="A111" s="424"/>
      <c r="B111" s="423"/>
      <c r="C111" s="4"/>
      <c r="D111" s="5"/>
      <c r="E111" s="4" t="s">
        <v>378</v>
      </c>
      <c r="F111" s="12">
        <v>0</v>
      </c>
      <c r="G111" s="19">
        <f t="shared" si="5"/>
        <v>0</v>
      </c>
      <c r="I111" s="46"/>
    </row>
    <row r="112" spans="1:9" s="20" customFormat="1" ht="52.5" customHeight="1" hidden="1">
      <c r="A112" s="18" t="s">
        <v>37</v>
      </c>
      <c r="B112" s="423" t="s">
        <v>250</v>
      </c>
      <c r="C112" s="4" t="s">
        <v>147</v>
      </c>
      <c r="D112" s="17"/>
      <c r="E112" s="4"/>
      <c r="F112" s="16"/>
      <c r="G112" s="19">
        <f t="shared" si="5"/>
        <v>0</v>
      </c>
      <c r="I112" s="46"/>
    </row>
    <row r="113" spans="1:9" s="20" customFormat="1" ht="49.5" customHeight="1">
      <c r="A113" s="424" t="s">
        <v>37</v>
      </c>
      <c r="B113" s="423"/>
      <c r="C113" s="61" t="s">
        <v>263</v>
      </c>
      <c r="D113" s="17">
        <v>0</v>
      </c>
      <c r="E113" s="4"/>
      <c r="F113" s="16"/>
      <c r="G113" s="19">
        <f t="shared" si="5"/>
        <v>0</v>
      </c>
      <c r="I113" s="46"/>
    </row>
    <row r="114" spans="1:9" s="20" customFormat="1" ht="62.25" customHeight="1" hidden="1">
      <c r="A114" s="424"/>
      <c r="B114" s="423"/>
      <c r="C114" s="61" t="s">
        <v>246</v>
      </c>
      <c r="D114" s="17"/>
      <c r="E114" s="4"/>
      <c r="F114" s="16"/>
      <c r="G114" s="19">
        <f t="shared" si="5"/>
        <v>0</v>
      </c>
      <c r="I114" s="46"/>
    </row>
    <row r="115" spans="1:9" s="20" customFormat="1" ht="78.75" customHeight="1">
      <c r="A115" s="18" t="s">
        <v>91</v>
      </c>
      <c r="B115" s="4" t="s">
        <v>251</v>
      </c>
      <c r="C115" s="61" t="s">
        <v>263</v>
      </c>
      <c r="D115" s="17">
        <v>0</v>
      </c>
      <c r="E115" s="4"/>
      <c r="F115" s="16"/>
      <c r="G115" s="19">
        <f t="shared" si="5"/>
        <v>0</v>
      </c>
      <c r="I115" s="46"/>
    </row>
    <row r="116" spans="1:9" s="20" customFormat="1" ht="51" customHeight="1">
      <c r="A116" s="18" t="s">
        <v>121</v>
      </c>
      <c r="B116" s="4" t="s">
        <v>238</v>
      </c>
      <c r="C116" s="61" t="s">
        <v>263</v>
      </c>
      <c r="D116" s="17">
        <v>0</v>
      </c>
      <c r="E116" s="4"/>
      <c r="F116" s="16"/>
      <c r="G116" s="19">
        <f t="shared" si="5"/>
        <v>0</v>
      </c>
      <c r="I116" s="46"/>
    </row>
    <row r="117" spans="1:9" s="20" customFormat="1" ht="68.25" customHeight="1" hidden="1">
      <c r="A117" s="22" t="s">
        <v>191</v>
      </c>
      <c r="B117" s="23" t="s">
        <v>195</v>
      </c>
      <c r="C117" s="4"/>
      <c r="D117" s="24">
        <v>0</v>
      </c>
      <c r="E117" s="4"/>
      <c r="F117" s="24">
        <v>0</v>
      </c>
      <c r="G117" s="24">
        <v>0</v>
      </c>
      <c r="I117" s="46"/>
    </row>
    <row r="118" spans="1:9" s="20" customFormat="1" ht="31.5" hidden="1">
      <c r="A118" s="18" t="s">
        <v>180</v>
      </c>
      <c r="B118" s="4" t="s">
        <v>181</v>
      </c>
      <c r="C118" s="4" t="s">
        <v>192</v>
      </c>
      <c r="D118" s="17"/>
      <c r="E118" s="4" t="s">
        <v>192</v>
      </c>
      <c r="F118" s="12"/>
      <c r="G118" s="9">
        <v>0</v>
      </c>
      <c r="I118" s="46"/>
    </row>
    <row r="119" spans="1:9" s="20" customFormat="1" ht="63" hidden="1">
      <c r="A119" s="22" t="s">
        <v>202</v>
      </c>
      <c r="B119" s="23" t="s">
        <v>203</v>
      </c>
      <c r="C119" s="4"/>
      <c r="D119" s="24">
        <v>0</v>
      </c>
      <c r="E119" s="4"/>
      <c r="F119" s="24">
        <v>0</v>
      </c>
      <c r="G119" s="24">
        <v>0</v>
      </c>
      <c r="I119" s="46"/>
    </row>
    <row r="120" spans="1:9" s="20" customFormat="1" ht="47.25" hidden="1">
      <c r="A120" s="18" t="s">
        <v>180</v>
      </c>
      <c r="B120" s="4" t="s">
        <v>181</v>
      </c>
      <c r="C120" s="4" t="s">
        <v>204</v>
      </c>
      <c r="D120" s="17"/>
      <c r="E120" s="4" t="s">
        <v>204</v>
      </c>
      <c r="F120" s="12"/>
      <c r="G120" s="9">
        <v>0</v>
      </c>
      <c r="I120" s="46"/>
    </row>
    <row r="121" spans="1:9" s="20" customFormat="1" ht="35.25" customHeight="1">
      <c r="A121" s="22" t="s">
        <v>163</v>
      </c>
      <c r="B121" s="23" t="s">
        <v>58</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180</v>
      </c>
      <c r="B122" s="4" t="s">
        <v>181</v>
      </c>
      <c r="C122" s="4" t="s">
        <v>194</v>
      </c>
      <c r="D122" s="17"/>
      <c r="E122" s="4"/>
      <c r="F122" s="19"/>
      <c r="G122" s="16">
        <v>0</v>
      </c>
      <c r="I122" s="46"/>
    </row>
    <row r="123" spans="1:9" s="20" customFormat="1" ht="54" customHeight="1">
      <c r="A123" s="424" t="s">
        <v>174</v>
      </c>
      <c r="B123" s="423" t="s">
        <v>175</v>
      </c>
      <c r="C123" s="61" t="s">
        <v>264</v>
      </c>
      <c r="D123" s="17">
        <v>0</v>
      </c>
      <c r="E123" s="4" t="s">
        <v>381</v>
      </c>
      <c r="F123" s="19">
        <v>0</v>
      </c>
      <c r="G123" s="12">
        <f>D123+F123</f>
        <v>0</v>
      </c>
      <c r="H123" s="47"/>
      <c r="I123" s="46"/>
    </row>
    <row r="124" spans="1:9" s="20" customFormat="1" ht="65.25" customHeight="1" hidden="1">
      <c r="A124" s="424"/>
      <c r="B124" s="423"/>
      <c r="C124" s="61" t="s">
        <v>332</v>
      </c>
      <c r="D124" s="17">
        <v>0</v>
      </c>
      <c r="E124" s="4"/>
      <c r="F124" s="19"/>
      <c r="G124" s="12">
        <f aca="true" t="shared" si="6" ref="G124:G138">D124+F124</f>
        <v>0</v>
      </c>
      <c r="I124" s="46"/>
    </row>
    <row r="125" spans="1:9" s="20" customFormat="1" ht="54" customHeight="1">
      <c r="A125" s="424" t="s">
        <v>176</v>
      </c>
      <c r="B125" s="423" t="s">
        <v>177</v>
      </c>
      <c r="C125" s="61" t="s">
        <v>265</v>
      </c>
      <c r="D125" s="17">
        <v>0</v>
      </c>
      <c r="E125" s="4" t="s">
        <v>381</v>
      </c>
      <c r="F125" s="19">
        <v>0</v>
      </c>
      <c r="G125" s="12">
        <f t="shared" si="6"/>
        <v>0</v>
      </c>
      <c r="H125" s="47"/>
      <c r="I125" s="46"/>
    </row>
    <row r="126" spans="1:9" s="20" customFormat="1" ht="47.25">
      <c r="A126" s="424"/>
      <c r="B126" s="423"/>
      <c r="C126" s="35" t="s">
        <v>282</v>
      </c>
      <c r="D126" s="36">
        <v>0</v>
      </c>
      <c r="E126" s="35" t="s">
        <v>367</v>
      </c>
      <c r="F126" s="36">
        <v>0</v>
      </c>
      <c r="G126" s="12">
        <f t="shared" si="6"/>
        <v>0</v>
      </c>
      <c r="I126" s="46"/>
    </row>
    <row r="127" spans="1:9" s="20" customFormat="1" ht="66.75" customHeight="1">
      <c r="A127" s="424"/>
      <c r="B127" s="423"/>
      <c r="C127" s="61" t="s">
        <v>332</v>
      </c>
      <c r="D127" s="19">
        <v>0</v>
      </c>
      <c r="E127" s="35"/>
      <c r="F127" s="36"/>
      <c r="G127" s="12">
        <f t="shared" si="6"/>
        <v>0</v>
      </c>
      <c r="I127" s="46"/>
    </row>
    <row r="128" spans="1:9" s="20" customFormat="1" ht="54" customHeight="1">
      <c r="A128" s="424" t="s">
        <v>184</v>
      </c>
      <c r="B128" s="423" t="s">
        <v>185</v>
      </c>
      <c r="C128" s="61" t="s">
        <v>265</v>
      </c>
      <c r="D128" s="17">
        <v>0</v>
      </c>
      <c r="E128" s="4" t="s">
        <v>381</v>
      </c>
      <c r="F128" s="19">
        <v>0</v>
      </c>
      <c r="G128" s="12">
        <f t="shared" si="6"/>
        <v>0</v>
      </c>
      <c r="H128" s="69"/>
      <c r="I128" s="46"/>
    </row>
    <row r="129" spans="1:9" s="20" customFormat="1" ht="47.25">
      <c r="A129" s="424"/>
      <c r="B129" s="423"/>
      <c r="C129" s="35" t="s">
        <v>282</v>
      </c>
      <c r="D129" s="36">
        <v>0</v>
      </c>
      <c r="E129" s="35" t="s">
        <v>367</v>
      </c>
      <c r="F129" s="36">
        <v>0</v>
      </c>
      <c r="G129" s="12">
        <f t="shared" si="6"/>
        <v>0</v>
      </c>
      <c r="I129" s="46"/>
    </row>
    <row r="130" spans="1:9" s="20" customFormat="1" ht="51" customHeight="1">
      <c r="A130" s="424" t="s">
        <v>182</v>
      </c>
      <c r="B130" s="423" t="s">
        <v>183</v>
      </c>
      <c r="C130" s="61" t="s">
        <v>265</v>
      </c>
      <c r="D130" s="17">
        <v>0</v>
      </c>
      <c r="E130" s="4" t="s">
        <v>381</v>
      </c>
      <c r="F130" s="19">
        <v>0</v>
      </c>
      <c r="G130" s="12">
        <f t="shared" si="6"/>
        <v>0</v>
      </c>
      <c r="H130" s="47"/>
      <c r="I130" s="46"/>
    </row>
    <row r="131" spans="1:9" s="20" customFormat="1" ht="31.5">
      <c r="A131" s="424"/>
      <c r="B131" s="423"/>
      <c r="C131" s="4"/>
      <c r="D131" s="17"/>
      <c r="E131" s="35" t="s">
        <v>367</v>
      </c>
      <c r="F131" s="36">
        <v>0</v>
      </c>
      <c r="G131" s="12">
        <f t="shared" si="6"/>
        <v>0</v>
      </c>
      <c r="I131" s="46"/>
    </row>
    <row r="132" spans="1:9" s="20" customFormat="1" ht="66" customHeight="1">
      <c r="A132" s="424"/>
      <c r="B132" s="423"/>
      <c r="C132" s="61" t="s">
        <v>332</v>
      </c>
      <c r="D132" s="17">
        <v>0</v>
      </c>
      <c r="E132" s="35"/>
      <c r="F132" s="36"/>
      <c r="G132" s="12">
        <f t="shared" si="6"/>
        <v>0</v>
      </c>
      <c r="I132" s="46"/>
    </row>
    <row r="133" spans="1:9" s="20" customFormat="1" ht="47.25">
      <c r="A133" s="26">
        <v>110300</v>
      </c>
      <c r="B133" s="4" t="s">
        <v>34</v>
      </c>
      <c r="C133" s="61" t="s">
        <v>266</v>
      </c>
      <c r="D133" s="21">
        <v>0</v>
      </c>
      <c r="E133" s="4"/>
      <c r="F133" s="36"/>
      <c r="G133" s="12">
        <f t="shared" si="6"/>
        <v>0</v>
      </c>
      <c r="I133" s="46"/>
    </row>
    <row r="134" spans="1:9" s="20" customFormat="1" ht="47.25">
      <c r="A134" s="422">
        <v>110502</v>
      </c>
      <c r="B134" s="423" t="s">
        <v>22</v>
      </c>
      <c r="C134" s="61" t="s">
        <v>349</v>
      </c>
      <c r="D134" s="15">
        <v>0</v>
      </c>
      <c r="E134" s="61" t="s">
        <v>349</v>
      </c>
      <c r="F134" s="16">
        <v>0</v>
      </c>
      <c r="G134" s="12">
        <f t="shared" si="6"/>
        <v>0</v>
      </c>
      <c r="H134" s="47"/>
      <c r="I134" s="46"/>
    </row>
    <row r="135" spans="1:9" s="20" customFormat="1" ht="51" customHeight="1">
      <c r="A135" s="422"/>
      <c r="B135" s="423"/>
      <c r="C135" s="61" t="s">
        <v>265</v>
      </c>
      <c r="D135" s="15">
        <v>0</v>
      </c>
      <c r="E135" s="4" t="s">
        <v>381</v>
      </c>
      <c r="F135" s="12">
        <v>0</v>
      </c>
      <c r="G135" s="12">
        <f t="shared" si="6"/>
        <v>0</v>
      </c>
      <c r="I135" s="46"/>
    </row>
    <row r="136" spans="1:9" s="20" customFormat="1" ht="55.5" customHeight="1">
      <c r="A136" s="422"/>
      <c r="B136" s="423"/>
      <c r="C136" s="61" t="s">
        <v>267</v>
      </c>
      <c r="D136" s="15">
        <v>0</v>
      </c>
      <c r="E136" s="26"/>
      <c r="F136" s="16"/>
      <c r="G136" s="12">
        <f t="shared" si="6"/>
        <v>0</v>
      </c>
      <c r="I136" s="46"/>
    </row>
    <row r="137" spans="1:9" s="20" customFormat="1" ht="68.25" customHeight="1" hidden="1">
      <c r="A137" s="422"/>
      <c r="B137" s="423"/>
      <c r="C137" s="4" t="s">
        <v>332</v>
      </c>
      <c r="D137" s="15">
        <v>0</v>
      </c>
      <c r="E137" s="4"/>
      <c r="F137" s="16"/>
      <c r="G137" s="12">
        <f t="shared" si="6"/>
        <v>0</v>
      </c>
      <c r="I137" s="46"/>
    </row>
    <row r="138" spans="1:9" s="20" customFormat="1" ht="47.25">
      <c r="A138" s="422"/>
      <c r="B138" s="423"/>
      <c r="C138" s="4"/>
      <c r="D138" s="15"/>
      <c r="E138" s="35" t="s">
        <v>282</v>
      </c>
      <c r="F138" s="36">
        <v>0</v>
      </c>
      <c r="G138" s="12">
        <f t="shared" si="6"/>
        <v>0</v>
      </c>
      <c r="I138" s="46"/>
    </row>
    <row r="139" spans="1:9" s="20" customFormat="1" ht="47.25">
      <c r="A139" s="18" t="s">
        <v>88</v>
      </c>
      <c r="B139" s="4" t="s">
        <v>89</v>
      </c>
      <c r="C139" s="4"/>
      <c r="D139" s="5"/>
      <c r="E139" s="4" t="s">
        <v>380</v>
      </c>
      <c r="F139" s="19">
        <v>0</v>
      </c>
      <c r="G139" s="12">
        <f>D139+F139</f>
        <v>0</v>
      </c>
      <c r="H139" s="47"/>
      <c r="I139" s="46"/>
    </row>
    <row r="140" spans="1:9" s="20" customFormat="1" ht="47.25" hidden="1">
      <c r="A140" s="22" t="s">
        <v>344</v>
      </c>
      <c r="B140" s="23" t="s">
        <v>345</v>
      </c>
      <c r="C140" s="4"/>
      <c r="D140" s="24">
        <v>0</v>
      </c>
      <c r="E140" s="5"/>
      <c r="F140" s="28">
        <v>0</v>
      </c>
      <c r="G140" s="27">
        <v>0</v>
      </c>
      <c r="H140" s="47"/>
      <c r="I140" s="46"/>
    </row>
    <row r="141" spans="1:9" s="20" customFormat="1" ht="47.25" hidden="1">
      <c r="A141" s="18" t="s">
        <v>180</v>
      </c>
      <c r="B141" s="4" t="s">
        <v>181</v>
      </c>
      <c r="C141" s="4"/>
      <c r="D141" s="5"/>
      <c r="E141" s="55" t="s">
        <v>317</v>
      </c>
      <c r="F141" s="56">
        <v>0</v>
      </c>
      <c r="G141" s="9">
        <v>0</v>
      </c>
      <c r="H141" s="47"/>
      <c r="I141" s="46"/>
    </row>
    <row r="142" spans="1:9" s="20" customFormat="1" ht="54" customHeight="1">
      <c r="A142" s="22" t="s">
        <v>162</v>
      </c>
      <c r="B142" s="23" t="s">
        <v>188</v>
      </c>
      <c r="C142" s="4"/>
      <c r="D142" s="24">
        <f>D143+D144+D145+D146</f>
        <v>0</v>
      </c>
      <c r="E142" s="5"/>
      <c r="F142" s="28">
        <f>F143+F144</f>
        <v>0</v>
      </c>
      <c r="G142" s="28">
        <f aca="true" t="shared" si="7" ref="G142:G150">D142+F142</f>
        <v>0</v>
      </c>
      <c r="H142" s="47"/>
      <c r="I142" s="46"/>
    </row>
    <row r="143" spans="1:9" s="20" customFormat="1" ht="47.25">
      <c r="A143" s="18" t="s">
        <v>180</v>
      </c>
      <c r="B143" s="4" t="s">
        <v>181</v>
      </c>
      <c r="C143" s="4"/>
      <c r="D143" s="17"/>
      <c r="E143" s="61" t="s">
        <v>317</v>
      </c>
      <c r="F143" s="19">
        <v>0</v>
      </c>
      <c r="G143" s="19">
        <f t="shared" si="7"/>
        <v>0</v>
      </c>
      <c r="I143" s="46"/>
    </row>
    <row r="144" spans="1:9" s="20" customFormat="1" ht="47.25">
      <c r="A144" s="18" t="s">
        <v>88</v>
      </c>
      <c r="B144" s="4" t="s">
        <v>89</v>
      </c>
      <c r="C144" s="4"/>
      <c r="D144" s="5"/>
      <c r="E144" s="4" t="s">
        <v>382</v>
      </c>
      <c r="F144" s="19">
        <v>0</v>
      </c>
      <c r="G144" s="19">
        <f t="shared" si="7"/>
        <v>0</v>
      </c>
      <c r="I144" s="46"/>
    </row>
    <row r="145" spans="1:9" s="20" customFormat="1" ht="31.5" customHeight="1">
      <c r="A145" s="18" t="s">
        <v>81</v>
      </c>
      <c r="B145" s="4" t="s">
        <v>96</v>
      </c>
      <c r="C145" s="61" t="s">
        <v>268</v>
      </c>
      <c r="D145" s="17">
        <v>0</v>
      </c>
      <c r="E145" s="4"/>
      <c r="F145" s="9"/>
      <c r="G145" s="19">
        <f t="shared" si="7"/>
        <v>0</v>
      </c>
      <c r="I145" s="46"/>
    </row>
    <row r="146" spans="1:9" s="20" customFormat="1" ht="47.25">
      <c r="A146" s="18" t="s">
        <v>106</v>
      </c>
      <c r="B146" s="4" t="s">
        <v>236</v>
      </c>
      <c r="C146" s="4" t="s">
        <v>383</v>
      </c>
      <c r="D146" s="17">
        <v>0</v>
      </c>
      <c r="E146" s="4"/>
      <c r="F146" s="9"/>
      <c r="G146" s="19">
        <f t="shared" si="7"/>
        <v>0</v>
      </c>
      <c r="I146" s="46"/>
    </row>
    <row r="147" spans="1:9" s="20" customFormat="1" ht="47.25">
      <c r="A147" s="22" t="s">
        <v>197</v>
      </c>
      <c r="B147" s="23" t="s">
        <v>198</v>
      </c>
      <c r="C147" s="4"/>
      <c r="D147" s="24">
        <f>D148</f>
        <v>0</v>
      </c>
      <c r="E147" s="5"/>
      <c r="F147" s="24">
        <f>F148</f>
        <v>0</v>
      </c>
      <c r="G147" s="24">
        <f t="shared" si="7"/>
        <v>0</v>
      </c>
      <c r="H147" s="47"/>
      <c r="I147" s="46"/>
    </row>
    <row r="148" spans="1:9" s="20" customFormat="1" ht="48.75" customHeight="1">
      <c r="A148" s="18" t="s">
        <v>180</v>
      </c>
      <c r="B148" s="4" t="s">
        <v>181</v>
      </c>
      <c r="C148" s="4"/>
      <c r="D148" s="17"/>
      <c r="E148" s="4" t="s">
        <v>317</v>
      </c>
      <c r="F148" s="19">
        <v>0</v>
      </c>
      <c r="G148" s="24">
        <f t="shared" si="7"/>
        <v>0</v>
      </c>
      <c r="I148" s="46"/>
    </row>
    <row r="149" spans="1:9" s="20" customFormat="1" ht="45.75" customHeight="1">
      <c r="A149" s="22" t="s">
        <v>160</v>
      </c>
      <c r="B149" s="23" t="s">
        <v>243</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24" t="s">
        <v>180</v>
      </c>
      <c r="B150" s="423" t="s">
        <v>181</v>
      </c>
      <c r="C150" s="4"/>
      <c r="D150" s="24"/>
      <c r="E150" s="61" t="s">
        <v>317</v>
      </c>
      <c r="F150" s="19"/>
      <c r="G150" s="19">
        <f t="shared" si="7"/>
        <v>0</v>
      </c>
      <c r="H150" s="47"/>
      <c r="I150" s="46"/>
    </row>
    <row r="151" spans="1:9" s="20" customFormat="1" ht="61.5" customHeight="1">
      <c r="A151" s="424"/>
      <c r="B151" s="423"/>
      <c r="C151" s="61" t="s">
        <v>332</v>
      </c>
      <c r="D151" s="17">
        <v>0</v>
      </c>
      <c r="E151" s="4"/>
      <c r="F151" s="19"/>
      <c r="G151" s="19">
        <f aca="true" t="shared" si="8" ref="G151:G172">D151+F151</f>
        <v>0</v>
      </c>
      <c r="I151" s="46"/>
    </row>
    <row r="152" spans="1:9" s="20" customFormat="1" ht="47.25">
      <c r="A152" s="18" t="s">
        <v>90</v>
      </c>
      <c r="B152" s="4" t="s">
        <v>97</v>
      </c>
      <c r="C152" s="61" t="s">
        <v>320</v>
      </c>
      <c r="D152" s="17">
        <v>0</v>
      </c>
      <c r="E152" s="4"/>
      <c r="F152" s="9"/>
      <c r="G152" s="19">
        <f t="shared" si="8"/>
        <v>0</v>
      </c>
      <c r="I152" s="46"/>
    </row>
    <row r="153" spans="1:9" s="20" customFormat="1" ht="47.25">
      <c r="A153" s="424" t="s">
        <v>234</v>
      </c>
      <c r="B153" s="423" t="s">
        <v>235</v>
      </c>
      <c r="C153" s="61" t="s">
        <v>320</v>
      </c>
      <c r="D153" s="17">
        <v>0</v>
      </c>
      <c r="E153" s="4"/>
      <c r="F153" s="9"/>
      <c r="G153" s="19">
        <f t="shared" si="8"/>
        <v>0</v>
      </c>
      <c r="I153" s="46"/>
    </row>
    <row r="154" spans="1:9" s="20" customFormat="1" ht="47.25">
      <c r="A154" s="424"/>
      <c r="B154" s="423"/>
      <c r="C154" s="61" t="s">
        <v>282</v>
      </c>
      <c r="D154" s="37">
        <v>0</v>
      </c>
      <c r="E154" s="4"/>
      <c r="F154" s="9"/>
      <c r="G154" s="19">
        <f t="shared" si="8"/>
        <v>0</v>
      </c>
      <c r="I154" s="46"/>
    </row>
    <row r="155" spans="1:9" s="20" customFormat="1" ht="47.25">
      <c r="A155" s="424" t="s">
        <v>118</v>
      </c>
      <c r="B155" s="423" t="s">
        <v>119</v>
      </c>
      <c r="C155" s="4"/>
      <c r="D155" s="17"/>
      <c r="E155" s="4" t="s">
        <v>249</v>
      </c>
      <c r="F155" s="19">
        <v>0</v>
      </c>
      <c r="G155" s="19">
        <f t="shared" si="8"/>
        <v>0</v>
      </c>
      <c r="I155" s="46"/>
    </row>
    <row r="156" spans="1:9" s="20" customFormat="1" ht="47.25" customHeight="1" hidden="1">
      <c r="A156" s="424"/>
      <c r="B156" s="423"/>
      <c r="C156" s="4" t="s">
        <v>244</v>
      </c>
      <c r="D156" s="17">
        <v>0</v>
      </c>
      <c r="E156" s="4" t="s">
        <v>249</v>
      </c>
      <c r="F156" s="9"/>
      <c r="G156" s="19">
        <f t="shared" si="8"/>
        <v>0</v>
      </c>
      <c r="I156" s="46"/>
    </row>
    <row r="157" spans="1:9" s="20" customFormat="1" ht="47.25">
      <c r="A157" s="424"/>
      <c r="B157" s="423"/>
      <c r="C157" s="4"/>
      <c r="D157" s="17"/>
      <c r="E157" s="61" t="s">
        <v>282</v>
      </c>
      <c r="F157" s="37">
        <v>0</v>
      </c>
      <c r="G157" s="19">
        <f t="shared" si="8"/>
        <v>0</v>
      </c>
      <c r="I157" s="46"/>
    </row>
    <row r="158" spans="1:9" s="20" customFormat="1" ht="56.25" customHeight="1">
      <c r="A158" s="18" t="s">
        <v>278</v>
      </c>
      <c r="B158" s="4" t="s">
        <v>279</v>
      </c>
      <c r="C158" s="4"/>
      <c r="D158" s="17"/>
      <c r="E158" s="4" t="s">
        <v>249</v>
      </c>
      <c r="F158" s="19">
        <v>0</v>
      </c>
      <c r="G158" s="19">
        <f t="shared" si="8"/>
        <v>0</v>
      </c>
      <c r="I158" s="46"/>
    </row>
    <row r="159" spans="1:9" s="20" customFormat="1" ht="51.75" customHeight="1">
      <c r="A159" s="424" t="s">
        <v>98</v>
      </c>
      <c r="B159" s="423" t="s">
        <v>120</v>
      </c>
      <c r="C159" s="61" t="s">
        <v>320</v>
      </c>
      <c r="D159" s="62">
        <v>0</v>
      </c>
      <c r="E159" s="4" t="s">
        <v>249</v>
      </c>
      <c r="F159" s="19">
        <v>0</v>
      </c>
      <c r="G159" s="19">
        <f t="shared" si="8"/>
        <v>0</v>
      </c>
      <c r="I159" s="46"/>
    </row>
    <row r="160" spans="1:9" s="20" customFormat="1" ht="47.25">
      <c r="A160" s="424"/>
      <c r="B160" s="423"/>
      <c r="C160" s="61" t="s">
        <v>282</v>
      </c>
      <c r="D160" s="37">
        <v>0</v>
      </c>
      <c r="E160" s="35" t="s">
        <v>367</v>
      </c>
      <c r="F160" s="37">
        <v>0</v>
      </c>
      <c r="G160" s="19">
        <f t="shared" si="8"/>
        <v>0</v>
      </c>
      <c r="I160" s="46"/>
    </row>
    <row r="161" spans="1:9" s="20" customFormat="1" ht="47.25" hidden="1">
      <c r="A161" s="18" t="s">
        <v>337</v>
      </c>
      <c r="B161" s="4" t="s">
        <v>338</v>
      </c>
      <c r="C161" s="35"/>
      <c r="D161" s="37"/>
      <c r="E161" s="4" t="s">
        <v>320</v>
      </c>
      <c r="F161" s="36">
        <v>0</v>
      </c>
      <c r="G161" s="19">
        <f t="shared" si="8"/>
        <v>0</v>
      </c>
      <c r="I161" s="46"/>
    </row>
    <row r="162" spans="1:9" s="20" customFormat="1" ht="51" customHeight="1">
      <c r="A162" s="424" t="s">
        <v>88</v>
      </c>
      <c r="B162" s="423" t="s">
        <v>89</v>
      </c>
      <c r="C162" s="4"/>
      <c r="D162" s="5"/>
      <c r="E162" s="4" t="s">
        <v>249</v>
      </c>
      <c r="F162" s="12">
        <v>0</v>
      </c>
      <c r="G162" s="19">
        <f t="shared" si="8"/>
        <v>0</v>
      </c>
      <c r="I162" s="46"/>
    </row>
    <row r="163" spans="1:9" s="20" customFormat="1" ht="31.5">
      <c r="A163" s="424"/>
      <c r="B163" s="423"/>
      <c r="C163" s="4"/>
      <c r="D163" s="5"/>
      <c r="E163" s="35" t="s">
        <v>367</v>
      </c>
      <c r="F163" s="37">
        <v>0</v>
      </c>
      <c r="G163" s="19">
        <f t="shared" si="8"/>
        <v>0</v>
      </c>
      <c r="I163" s="46"/>
    </row>
    <row r="164" spans="1:9" s="51" customFormat="1" ht="46.5" customHeight="1" hidden="1">
      <c r="A164" s="428" t="s">
        <v>43</v>
      </c>
      <c r="B164" s="426" t="s">
        <v>219</v>
      </c>
      <c r="C164" s="4"/>
      <c r="D164" s="5"/>
      <c r="E164" s="4" t="s">
        <v>320</v>
      </c>
      <c r="F164" s="19">
        <v>0</v>
      </c>
      <c r="G164" s="19">
        <f t="shared" si="8"/>
        <v>0</v>
      </c>
      <c r="H164" s="20"/>
      <c r="I164" s="52"/>
    </row>
    <row r="165" spans="1:9" s="51" customFormat="1" ht="69.75" customHeight="1">
      <c r="A165" s="430"/>
      <c r="B165" s="431"/>
      <c r="C165" s="4"/>
      <c r="D165" s="5"/>
      <c r="E165" s="4" t="s">
        <v>384</v>
      </c>
      <c r="F165" s="19">
        <v>0</v>
      </c>
      <c r="G165" s="19">
        <f t="shared" si="8"/>
        <v>0</v>
      </c>
      <c r="H165" s="20"/>
      <c r="I165" s="52"/>
    </row>
    <row r="166" spans="1:9" s="51" customFormat="1" ht="87" customHeight="1">
      <c r="A166" s="429"/>
      <c r="B166" s="427"/>
      <c r="C166" s="4"/>
      <c r="D166" s="5"/>
      <c r="E166" s="4" t="s">
        <v>385</v>
      </c>
      <c r="F166" s="19">
        <v>0</v>
      </c>
      <c r="G166" s="19">
        <f t="shared" si="8"/>
        <v>0</v>
      </c>
      <c r="H166" s="20"/>
      <c r="I166" s="52"/>
    </row>
    <row r="167" spans="1:9" s="20" customFormat="1" ht="69.75" customHeight="1">
      <c r="A167" s="18" t="s">
        <v>100</v>
      </c>
      <c r="B167" s="4" t="s">
        <v>101</v>
      </c>
      <c r="C167" s="4"/>
      <c r="D167" s="5"/>
      <c r="E167" s="61" t="s">
        <v>320</v>
      </c>
      <c r="F167" s="19">
        <v>0</v>
      </c>
      <c r="G167" s="19">
        <f t="shared" si="8"/>
        <v>0</v>
      </c>
      <c r="I167" s="46"/>
    </row>
    <row r="168" spans="1:9" s="20" customFormat="1" ht="27.75" customHeight="1" hidden="1">
      <c r="A168" s="4">
        <v>180107</v>
      </c>
      <c r="B168" s="4" t="s">
        <v>231</v>
      </c>
      <c r="C168" s="4"/>
      <c r="D168" s="17"/>
      <c r="E168" s="4" t="s">
        <v>249</v>
      </c>
      <c r="F168" s="19">
        <v>0</v>
      </c>
      <c r="G168" s="19">
        <f t="shared" si="8"/>
        <v>0</v>
      </c>
      <c r="I168" s="46"/>
    </row>
    <row r="169" spans="1:9" s="20" customFormat="1" ht="63" customHeight="1">
      <c r="A169" s="423">
        <v>180409</v>
      </c>
      <c r="B169" s="423" t="s">
        <v>242</v>
      </c>
      <c r="C169" s="4"/>
      <c r="D169" s="17"/>
      <c r="E169" s="4" t="s">
        <v>249</v>
      </c>
      <c r="F169" s="19">
        <v>0</v>
      </c>
      <c r="G169" s="19">
        <f t="shared" si="8"/>
        <v>0</v>
      </c>
      <c r="I169" s="46"/>
    </row>
    <row r="170" spans="1:9" s="20" customFormat="1" ht="47.25">
      <c r="A170" s="423"/>
      <c r="B170" s="423"/>
      <c r="C170" s="4"/>
      <c r="D170" s="17"/>
      <c r="E170" s="4" t="s">
        <v>386</v>
      </c>
      <c r="F170" s="19">
        <v>0</v>
      </c>
      <c r="G170" s="19">
        <f t="shared" si="8"/>
        <v>0</v>
      </c>
      <c r="I170" s="46"/>
    </row>
    <row r="171" spans="1:9" s="20" customFormat="1" ht="47.25">
      <c r="A171" s="18" t="s">
        <v>33</v>
      </c>
      <c r="B171" s="4" t="s">
        <v>110</v>
      </c>
      <c r="C171" s="4"/>
      <c r="D171" s="5"/>
      <c r="E171" s="4" t="s">
        <v>376</v>
      </c>
      <c r="F171" s="19">
        <v>0</v>
      </c>
      <c r="G171" s="19">
        <f t="shared" si="8"/>
        <v>0</v>
      </c>
      <c r="I171" s="46"/>
    </row>
    <row r="172" spans="1:9" s="20" customFormat="1" ht="45.75" customHeight="1">
      <c r="A172" s="18" t="s">
        <v>81</v>
      </c>
      <c r="B172" s="4" t="s">
        <v>96</v>
      </c>
      <c r="C172" s="61" t="s">
        <v>320</v>
      </c>
      <c r="D172" s="17">
        <v>0</v>
      </c>
      <c r="E172" s="4" t="s">
        <v>249</v>
      </c>
      <c r="F172" s="12">
        <v>0</v>
      </c>
      <c r="G172" s="19">
        <f t="shared" si="8"/>
        <v>0</v>
      </c>
      <c r="I172" s="46"/>
    </row>
    <row r="173" spans="1:9" s="20" customFormat="1" ht="38.25" hidden="1">
      <c r="A173" s="18" t="s">
        <v>43</v>
      </c>
      <c r="B173" s="29" t="s">
        <v>219</v>
      </c>
      <c r="C173" s="4"/>
      <c r="D173" s="5"/>
      <c r="E173" s="4" t="s">
        <v>227</v>
      </c>
      <c r="F173" s="12">
        <v>0</v>
      </c>
      <c r="G173" s="9">
        <v>0</v>
      </c>
      <c r="I173" s="46"/>
    </row>
    <row r="174" spans="1:9" s="20" customFormat="1" ht="70.5" customHeight="1" hidden="1">
      <c r="A174" s="22" t="s">
        <v>241</v>
      </c>
      <c r="B174" s="23" t="s">
        <v>240</v>
      </c>
      <c r="C174" s="23"/>
      <c r="D174" s="24">
        <v>0</v>
      </c>
      <c r="E174" s="23"/>
      <c r="F174" s="30"/>
      <c r="G174" s="27">
        <v>0</v>
      </c>
      <c r="I174" s="46"/>
    </row>
    <row r="175" spans="1:9" s="20" customFormat="1" ht="36" customHeight="1" hidden="1">
      <c r="A175" s="18" t="s">
        <v>90</v>
      </c>
      <c r="B175" s="4" t="s">
        <v>97</v>
      </c>
      <c r="C175" s="4" t="s">
        <v>122</v>
      </c>
      <c r="D175" s="17">
        <v>0</v>
      </c>
      <c r="E175" s="4"/>
      <c r="F175" s="12"/>
      <c r="G175" s="9">
        <v>0</v>
      </c>
      <c r="I175" s="46"/>
    </row>
    <row r="176" spans="1:9" s="20" customFormat="1" ht="47.25" customHeight="1" hidden="1">
      <c r="A176" s="18" t="s">
        <v>98</v>
      </c>
      <c r="B176" s="4" t="s">
        <v>120</v>
      </c>
      <c r="C176" s="4" t="s">
        <v>217</v>
      </c>
      <c r="D176" s="17">
        <v>0</v>
      </c>
      <c r="E176" s="4"/>
      <c r="F176" s="12"/>
      <c r="G176" s="9">
        <v>0</v>
      </c>
      <c r="I176" s="46"/>
    </row>
    <row r="177" spans="1:9" s="20" customFormat="1" ht="47.25">
      <c r="A177" s="22" t="s">
        <v>161</v>
      </c>
      <c r="B177" s="23" t="s">
        <v>57</v>
      </c>
      <c r="C177" s="4"/>
      <c r="D177" s="24">
        <f>D179</f>
        <v>0</v>
      </c>
      <c r="E177" s="5"/>
      <c r="F177" s="24">
        <f>F178</f>
        <v>0</v>
      </c>
      <c r="G177" s="28">
        <f aca="true" t="shared" si="9" ref="G177:G184">D177+F177</f>
        <v>0</v>
      </c>
      <c r="H177" s="47"/>
      <c r="I177" s="46"/>
    </row>
    <row r="178" spans="1:9" s="20" customFormat="1" ht="48" customHeight="1">
      <c r="A178" s="18" t="s">
        <v>180</v>
      </c>
      <c r="B178" s="4" t="s">
        <v>181</v>
      </c>
      <c r="C178" s="4"/>
      <c r="D178" s="17"/>
      <c r="E178" s="4" t="s">
        <v>365</v>
      </c>
      <c r="F178" s="19">
        <v>0</v>
      </c>
      <c r="G178" s="19">
        <f t="shared" si="9"/>
        <v>0</v>
      </c>
      <c r="I178" s="46"/>
    </row>
    <row r="179" spans="1:9" s="20" customFormat="1" ht="63">
      <c r="A179" s="18" t="s">
        <v>81</v>
      </c>
      <c r="B179" s="4" t="s">
        <v>96</v>
      </c>
      <c r="C179" s="61" t="s">
        <v>332</v>
      </c>
      <c r="D179" s="17">
        <v>0</v>
      </c>
      <c r="E179" s="4"/>
      <c r="F179" s="9"/>
      <c r="G179" s="19">
        <f t="shared" si="9"/>
        <v>0</v>
      </c>
      <c r="I179" s="46"/>
    </row>
    <row r="180" spans="1:9" s="20" customFormat="1" ht="47.25">
      <c r="A180" s="22" t="s">
        <v>165</v>
      </c>
      <c r="B180" s="23" t="s">
        <v>59</v>
      </c>
      <c r="C180" s="4"/>
      <c r="D180" s="24">
        <f>D181+D182+D183+D184</f>
        <v>0</v>
      </c>
      <c r="E180" s="5"/>
      <c r="F180" s="28">
        <f>F181</f>
        <v>0</v>
      </c>
      <c r="G180" s="28">
        <f t="shared" si="9"/>
        <v>0</v>
      </c>
      <c r="I180" s="46"/>
    </row>
    <row r="181" spans="1:9" s="20" customFormat="1" ht="60" customHeight="1">
      <c r="A181" s="18" t="s">
        <v>180</v>
      </c>
      <c r="B181" s="4" t="s">
        <v>181</v>
      </c>
      <c r="C181" s="4"/>
      <c r="D181" s="17"/>
      <c r="E181" s="4" t="s">
        <v>317</v>
      </c>
      <c r="F181" s="19">
        <v>0</v>
      </c>
      <c r="G181" s="19">
        <f t="shared" si="9"/>
        <v>0</v>
      </c>
      <c r="I181" s="46"/>
    </row>
    <row r="182" spans="1:9" s="20" customFormat="1" ht="63">
      <c r="A182" s="422">
        <v>250404</v>
      </c>
      <c r="B182" s="422" t="s">
        <v>96</v>
      </c>
      <c r="C182" s="4" t="s">
        <v>341</v>
      </c>
      <c r="D182" s="21">
        <v>0</v>
      </c>
      <c r="E182" s="9"/>
      <c r="F182" s="31"/>
      <c r="G182" s="19">
        <f t="shared" si="9"/>
        <v>0</v>
      </c>
      <c r="I182" s="46"/>
    </row>
    <row r="183" spans="1:9" s="20" customFormat="1" ht="51" customHeight="1">
      <c r="A183" s="422"/>
      <c r="B183" s="422"/>
      <c r="C183" s="4" t="s">
        <v>359</v>
      </c>
      <c r="D183" s="21">
        <v>0</v>
      </c>
      <c r="E183" s="9"/>
      <c r="F183" s="31"/>
      <c r="G183" s="19">
        <f t="shared" si="9"/>
        <v>0</v>
      </c>
      <c r="I183" s="46"/>
    </row>
    <row r="184" spans="1:9" s="20" customFormat="1" ht="66" customHeight="1">
      <c r="A184" s="434"/>
      <c r="B184" s="422"/>
      <c r="C184" s="4" t="s">
        <v>360</v>
      </c>
      <c r="D184" s="21">
        <v>0</v>
      </c>
      <c r="E184" s="4"/>
      <c r="F184" s="9"/>
      <c r="G184" s="19">
        <f t="shared" si="9"/>
        <v>0</v>
      </c>
      <c r="I184" s="46"/>
    </row>
    <row r="185" spans="1:9" s="20" customFormat="1" ht="31.5" hidden="1">
      <c r="A185" s="22">
        <v>50</v>
      </c>
      <c r="B185" s="23" t="s">
        <v>201</v>
      </c>
      <c r="C185" s="4"/>
      <c r="D185" s="24">
        <v>0</v>
      </c>
      <c r="E185" s="5"/>
      <c r="F185" s="27">
        <v>0</v>
      </c>
      <c r="G185" s="27">
        <v>0</v>
      </c>
      <c r="I185" s="46"/>
    </row>
    <row r="186" spans="1:9" s="20" customFormat="1" ht="48.75" customHeight="1" hidden="1">
      <c r="A186" s="18" t="s">
        <v>180</v>
      </c>
      <c r="B186" s="4" t="s">
        <v>181</v>
      </c>
      <c r="C186" s="4" t="s">
        <v>193</v>
      </c>
      <c r="D186" s="21"/>
      <c r="E186" s="4"/>
      <c r="F186" s="9"/>
      <c r="G186" s="9">
        <v>0</v>
      </c>
      <c r="I186" s="46"/>
    </row>
    <row r="187" spans="1:9" s="20" customFormat="1" ht="47.25">
      <c r="A187" s="22" t="s">
        <v>169</v>
      </c>
      <c r="B187" s="23" t="s">
        <v>63</v>
      </c>
      <c r="C187" s="23"/>
      <c r="D187" s="24">
        <v>0</v>
      </c>
      <c r="E187" s="32"/>
      <c r="F187" s="24">
        <f>F188+F189</f>
        <v>0</v>
      </c>
      <c r="G187" s="24">
        <f aca="true" t="shared" si="10" ref="G187:G195">D187+F187</f>
        <v>0</v>
      </c>
      <c r="H187" s="47"/>
      <c r="I187" s="46"/>
    </row>
    <row r="188" spans="1:9" s="20" customFormat="1" ht="47.25">
      <c r="A188" s="18" t="s">
        <v>180</v>
      </c>
      <c r="B188" s="4" t="s">
        <v>181</v>
      </c>
      <c r="C188" s="4"/>
      <c r="D188" s="17"/>
      <c r="E188" s="4" t="s">
        <v>350</v>
      </c>
      <c r="F188" s="17">
        <v>0</v>
      </c>
      <c r="G188" s="17">
        <f t="shared" si="10"/>
        <v>0</v>
      </c>
      <c r="I188" s="46"/>
    </row>
    <row r="189" spans="1:9" s="20" customFormat="1" ht="47.25">
      <c r="A189" s="18" t="s">
        <v>45</v>
      </c>
      <c r="B189" s="4" t="s">
        <v>46</v>
      </c>
      <c r="C189" s="4"/>
      <c r="D189" s="17"/>
      <c r="E189" s="4" t="s">
        <v>351</v>
      </c>
      <c r="F189" s="19">
        <v>0</v>
      </c>
      <c r="G189" s="17">
        <f t="shared" si="10"/>
        <v>0</v>
      </c>
      <c r="I189" s="46"/>
    </row>
    <row r="190" spans="1:9" s="20" customFormat="1" ht="50.25" customHeight="1">
      <c r="A190" s="22" t="s">
        <v>166</v>
      </c>
      <c r="B190" s="23" t="s">
        <v>60</v>
      </c>
      <c r="C190" s="4"/>
      <c r="D190" s="24">
        <f>D194</f>
        <v>0</v>
      </c>
      <c r="E190" s="5"/>
      <c r="F190" s="24">
        <f>F192+F193</f>
        <v>0</v>
      </c>
      <c r="G190" s="24">
        <f t="shared" si="10"/>
        <v>0</v>
      </c>
      <c r="H190" s="47"/>
      <c r="I190" s="46"/>
    </row>
    <row r="191" spans="1:9" s="20" customFormat="1" ht="33" customHeight="1" hidden="1">
      <c r="A191" s="18" t="s">
        <v>180</v>
      </c>
      <c r="B191" s="4" t="s">
        <v>181</v>
      </c>
      <c r="C191" s="4" t="s">
        <v>196</v>
      </c>
      <c r="D191" s="17"/>
      <c r="E191" s="4"/>
      <c r="F191" s="19"/>
      <c r="G191" s="24">
        <f t="shared" si="10"/>
        <v>0</v>
      </c>
      <c r="I191" s="46"/>
    </row>
    <row r="192" spans="1:9" s="20" customFormat="1" ht="47.25">
      <c r="A192" s="4">
        <v>240601</v>
      </c>
      <c r="B192" s="4" t="s">
        <v>110</v>
      </c>
      <c r="C192" s="4"/>
      <c r="D192" s="5"/>
      <c r="E192" s="4" t="s">
        <v>340</v>
      </c>
      <c r="F192" s="19">
        <v>0</v>
      </c>
      <c r="G192" s="17">
        <f t="shared" si="10"/>
        <v>0</v>
      </c>
      <c r="I192" s="46"/>
    </row>
    <row r="193" spans="1:9" s="20" customFormat="1" ht="72" customHeight="1">
      <c r="A193" s="4">
        <v>240900</v>
      </c>
      <c r="B193" s="4" t="s">
        <v>239</v>
      </c>
      <c r="C193" s="4"/>
      <c r="D193" s="5"/>
      <c r="E193" s="4" t="s">
        <v>330</v>
      </c>
      <c r="F193" s="19">
        <v>0</v>
      </c>
      <c r="G193" s="17">
        <f t="shared" si="10"/>
        <v>0</v>
      </c>
      <c r="I193" s="46"/>
    </row>
    <row r="194" spans="1:9" s="20" customFormat="1" ht="54" customHeight="1">
      <c r="A194" s="4">
        <v>250404</v>
      </c>
      <c r="B194" s="4" t="s">
        <v>228</v>
      </c>
      <c r="C194" s="4" t="s">
        <v>358</v>
      </c>
      <c r="D194" s="17">
        <v>0</v>
      </c>
      <c r="E194" s="4"/>
      <c r="F194" s="19"/>
      <c r="G194" s="17">
        <f t="shared" si="10"/>
        <v>0</v>
      </c>
      <c r="I194" s="46"/>
    </row>
    <row r="195" spans="1:9" s="20" customFormat="1" ht="47.25">
      <c r="A195" s="22" t="s">
        <v>164</v>
      </c>
      <c r="B195" s="23" t="s">
        <v>61</v>
      </c>
      <c r="C195" s="4"/>
      <c r="D195" s="24">
        <f>D197+D198+D204+D206</f>
        <v>0</v>
      </c>
      <c r="E195" s="5"/>
      <c r="F195" s="24">
        <f>F200+F201+F202+F204+F206</f>
        <v>0</v>
      </c>
      <c r="G195" s="24">
        <f t="shared" si="10"/>
        <v>0</v>
      </c>
      <c r="H195" s="47"/>
      <c r="I195" s="46"/>
    </row>
    <row r="196" spans="1:9" s="20" customFormat="1" ht="69" customHeight="1" hidden="1">
      <c r="A196" s="18" t="s">
        <v>180</v>
      </c>
      <c r="B196" s="4" t="s">
        <v>181</v>
      </c>
      <c r="C196" s="4" t="s">
        <v>199</v>
      </c>
      <c r="D196" s="17"/>
      <c r="E196" s="5"/>
      <c r="F196" s="9"/>
      <c r="G196" s="24">
        <f aca="true" t="shared" si="11" ref="G196:G206">D196+F196</f>
        <v>0</v>
      </c>
      <c r="I196" s="46"/>
    </row>
    <row r="197" spans="1:9" s="20" customFormat="1" ht="84.75" customHeight="1">
      <c r="A197" s="18" t="s">
        <v>35</v>
      </c>
      <c r="B197" s="4" t="s">
        <v>36</v>
      </c>
      <c r="C197" s="4" t="s">
        <v>346</v>
      </c>
      <c r="D197" s="17">
        <v>0</v>
      </c>
      <c r="E197" s="4"/>
      <c r="F197" s="19"/>
      <c r="G197" s="17">
        <f t="shared" si="11"/>
        <v>0</v>
      </c>
      <c r="I197" s="46"/>
    </row>
    <row r="198" spans="1:9" s="20" customFormat="1" ht="72.75" customHeight="1">
      <c r="A198" s="18" t="s">
        <v>86</v>
      </c>
      <c r="B198" s="4" t="s">
        <v>87</v>
      </c>
      <c r="C198" s="4" t="s">
        <v>270</v>
      </c>
      <c r="D198" s="17">
        <v>0</v>
      </c>
      <c r="E198" s="4"/>
      <c r="F198" s="9"/>
      <c r="G198" s="17">
        <f t="shared" si="11"/>
        <v>0</v>
      </c>
      <c r="I198" s="46"/>
    </row>
    <row r="199" spans="1:9" s="20" customFormat="1" ht="78.75" hidden="1">
      <c r="A199" s="428" t="s">
        <v>88</v>
      </c>
      <c r="B199" s="426" t="s">
        <v>89</v>
      </c>
      <c r="C199" s="4"/>
      <c r="D199" s="17"/>
      <c r="E199" s="4" t="s">
        <v>270</v>
      </c>
      <c r="F199" s="19">
        <v>0</v>
      </c>
      <c r="G199" s="24">
        <f t="shared" si="11"/>
        <v>0</v>
      </c>
      <c r="I199" s="46"/>
    </row>
    <row r="200" spans="1:9" s="20" customFormat="1" ht="63">
      <c r="A200" s="429"/>
      <c r="B200" s="427"/>
      <c r="C200" s="4"/>
      <c r="D200" s="17"/>
      <c r="E200" s="4" t="s">
        <v>318</v>
      </c>
      <c r="F200" s="19">
        <v>0</v>
      </c>
      <c r="G200" s="17">
        <f t="shared" si="11"/>
        <v>0</v>
      </c>
      <c r="I200" s="46"/>
    </row>
    <row r="201" spans="1:9" s="20" customFormat="1" ht="62.25" customHeight="1">
      <c r="A201" s="424" t="s">
        <v>102</v>
      </c>
      <c r="B201" s="423" t="s">
        <v>242</v>
      </c>
      <c r="C201" s="423"/>
      <c r="D201" s="17"/>
      <c r="E201" s="4" t="s">
        <v>270</v>
      </c>
      <c r="F201" s="19">
        <v>0</v>
      </c>
      <c r="G201" s="17">
        <f t="shared" si="11"/>
        <v>0</v>
      </c>
      <c r="I201" s="46"/>
    </row>
    <row r="202" spans="1:9" s="20" customFormat="1" ht="63">
      <c r="A202" s="424"/>
      <c r="B202" s="423"/>
      <c r="C202" s="423"/>
      <c r="D202" s="435"/>
      <c r="E202" s="4" t="s">
        <v>331</v>
      </c>
      <c r="F202" s="19">
        <v>0</v>
      </c>
      <c r="G202" s="17">
        <f t="shared" si="11"/>
        <v>0</v>
      </c>
      <c r="I202" s="46"/>
    </row>
    <row r="203" spans="1:9" s="20" customFormat="1" ht="47.25" hidden="1">
      <c r="A203" s="424"/>
      <c r="B203" s="423"/>
      <c r="C203" s="423"/>
      <c r="D203" s="435"/>
      <c r="E203" s="4" t="s">
        <v>354</v>
      </c>
      <c r="F203" s="9">
        <v>0</v>
      </c>
      <c r="G203" s="17">
        <f t="shared" si="11"/>
        <v>0</v>
      </c>
      <c r="I203" s="46"/>
    </row>
    <row r="204" spans="1:9" s="20" customFormat="1" ht="69" customHeight="1">
      <c r="A204" s="18" t="s">
        <v>232</v>
      </c>
      <c r="B204" s="4" t="s">
        <v>233</v>
      </c>
      <c r="C204" s="4" t="s">
        <v>270</v>
      </c>
      <c r="D204" s="17">
        <v>0</v>
      </c>
      <c r="E204" s="4" t="s">
        <v>331</v>
      </c>
      <c r="F204" s="19">
        <v>0</v>
      </c>
      <c r="G204" s="17">
        <f t="shared" si="11"/>
        <v>0</v>
      </c>
      <c r="I204" s="46"/>
    </row>
    <row r="205" spans="1:9" s="20" customFormat="1" ht="63">
      <c r="A205" s="424" t="s">
        <v>81</v>
      </c>
      <c r="B205" s="423" t="s">
        <v>96</v>
      </c>
      <c r="C205" s="4" t="s">
        <v>331</v>
      </c>
      <c r="D205" s="17">
        <v>0</v>
      </c>
      <c r="E205" s="4"/>
      <c r="F205" s="9"/>
      <c r="G205" s="17">
        <f t="shared" si="11"/>
        <v>0</v>
      </c>
      <c r="I205" s="46"/>
    </row>
    <row r="206" spans="1:9" s="20" customFormat="1" ht="63">
      <c r="A206" s="424"/>
      <c r="B206" s="423"/>
      <c r="C206" s="4" t="s">
        <v>356</v>
      </c>
      <c r="D206" s="17">
        <v>0</v>
      </c>
      <c r="E206" s="4" t="s">
        <v>356</v>
      </c>
      <c r="F206" s="19">
        <v>0</v>
      </c>
      <c r="G206" s="17">
        <f t="shared" si="11"/>
        <v>0</v>
      </c>
      <c r="I206" s="46"/>
    </row>
    <row r="207" spans="1:9" s="20" customFormat="1" ht="78.75" customHeight="1">
      <c r="A207" s="22" t="s">
        <v>159</v>
      </c>
      <c r="B207" s="23" t="s">
        <v>56</v>
      </c>
      <c r="C207" s="4"/>
      <c r="D207" s="24">
        <f>D209+D210+D211</f>
        <v>0</v>
      </c>
      <c r="E207" s="5"/>
      <c r="F207" s="28">
        <f>F209+F210</f>
        <v>0</v>
      </c>
      <c r="G207" s="28">
        <f aca="true" t="shared" si="12" ref="G207:G224">D207+F207</f>
        <v>0</v>
      </c>
      <c r="H207" s="47"/>
      <c r="I207" s="46"/>
    </row>
    <row r="208" spans="1:9" s="20" customFormat="1" ht="65.25" customHeight="1" hidden="1">
      <c r="A208" s="18" t="s">
        <v>180</v>
      </c>
      <c r="B208" s="4" t="s">
        <v>181</v>
      </c>
      <c r="C208" s="4" t="s">
        <v>190</v>
      </c>
      <c r="D208" s="17"/>
      <c r="E208" s="4"/>
      <c r="F208" s="12"/>
      <c r="G208" s="28">
        <f t="shared" si="12"/>
        <v>0</v>
      </c>
      <c r="I208" s="46"/>
    </row>
    <row r="209" spans="1:9" s="20" customFormat="1" ht="78.75" customHeight="1">
      <c r="A209" s="18" t="s">
        <v>92</v>
      </c>
      <c r="B209" s="4" t="s">
        <v>93</v>
      </c>
      <c r="C209" s="4" t="s">
        <v>321</v>
      </c>
      <c r="D209" s="17">
        <v>0</v>
      </c>
      <c r="E209" s="4" t="s">
        <v>321</v>
      </c>
      <c r="F209" s="12">
        <v>0</v>
      </c>
      <c r="G209" s="19">
        <f t="shared" si="12"/>
        <v>0</v>
      </c>
      <c r="H209" s="47"/>
      <c r="I209" s="46"/>
    </row>
    <row r="210" spans="1:9" s="20" customFormat="1" ht="78.75">
      <c r="A210" s="424" t="s">
        <v>94</v>
      </c>
      <c r="B210" s="423" t="s">
        <v>95</v>
      </c>
      <c r="C210" s="4" t="s">
        <v>321</v>
      </c>
      <c r="D210" s="17">
        <v>0</v>
      </c>
      <c r="E210" s="4" t="s">
        <v>321</v>
      </c>
      <c r="F210" s="12">
        <v>0</v>
      </c>
      <c r="G210" s="19">
        <f t="shared" si="12"/>
        <v>0</v>
      </c>
      <c r="H210" s="47"/>
      <c r="I210" s="46"/>
    </row>
    <row r="211" spans="1:9" s="20" customFormat="1" ht="68.25" customHeight="1">
      <c r="A211" s="424"/>
      <c r="B211" s="423"/>
      <c r="C211" s="4" t="s">
        <v>347</v>
      </c>
      <c r="D211" s="17">
        <v>0</v>
      </c>
      <c r="E211" s="4"/>
      <c r="F211" s="12"/>
      <c r="G211" s="19">
        <f t="shared" si="12"/>
        <v>0</v>
      </c>
      <c r="I211" s="46"/>
    </row>
    <row r="212" spans="1:9" s="20" customFormat="1" ht="47.25">
      <c r="A212" s="22" t="s">
        <v>168</v>
      </c>
      <c r="B212" s="23" t="s">
        <v>62</v>
      </c>
      <c r="C212" s="4"/>
      <c r="D212" s="24">
        <f>D217</f>
        <v>0</v>
      </c>
      <c r="E212" s="5"/>
      <c r="F212" s="24">
        <f>F213+F214+F215</f>
        <v>0</v>
      </c>
      <c r="G212" s="24">
        <f t="shared" si="12"/>
        <v>0</v>
      </c>
      <c r="H212" s="47"/>
      <c r="I212" s="46"/>
    </row>
    <row r="213" spans="1:9" s="20" customFormat="1" ht="47.25">
      <c r="A213" s="18" t="s">
        <v>180</v>
      </c>
      <c r="B213" s="4" t="s">
        <v>181</v>
      </c>
      <c r="C213" s="4"/>
      <c r="D213" s="17"/>
      <c r="E213" s="4" t="s">
        <v>269</v>
      </c>
      <c r="F213" s="17">
        <v>0</v>
      </c>
      <c r="G213" s="17">
        <f t="shared" si="12"/>
        <v>0</v>
      </c>
      <c r="I213" s="46"/>
    </row>
    <row r="214" spans="1:9" s="20" customFormat="1" ht="63">
      <c r="A214" s="18" t="s">
        <v>88</v>
      </c>
      <c r="B214" s="4" t="s">
        <v>89</v>
      </c>
      <c r="C214" s="4"/>
      <c r="D214" s="5"/>
      <c r="E214" s="4" t="s">
        <v>322</v>
      </c>
      <c r="F214" s="12">
        <v>0</v>
      </c>
      <c r="G214" s="17">
        <f t="shared" si="12"/>
        <v>0</v>
      </c>
      <c r="I214" s="46"/>
    </row>
    <row r="215" spans="1:9" s="20" customFormat="1" ht="79.5" customHeight="1">
      <c r="A215" s="18" t="s">
        <v>103</v>
      </c>
      <c r="B215" s="4" t="s">
        <v>104</v>
      </c>
      <c r="C215" s="4"/>
      <c r="D215" s="5"/>
      <c r="E215" s="4" t="s">
        <v>322</v>
      </c>
      <c r="F215" s="19">
        <v>0</v>
      </c>
      <c r="G215" s="17">
        <f t="shared" si="12"/>
        <v>0</v>
      </c>
      <c r="I215" s="46"/>
    </row>
    <row r="216" spans="1:9" s="20" customFormat="1" ht="78.75" hidden="1">
      <c r="A216" s="18" t="s">
        <v>92</v>
      </c>
      <c r="B216" s="4" t="s">
        <v>237</v>
      </c>
      <c r="C216" s="4"/>
      <c r="D216" s="17"/>
      <c r="E216" s="4" t="s">
        <v>321</v>
      </c>
      <c r="F216" s="19">
        <v>0</v>
      </c>
      <c r="G216" s="24">
        <f t="shared" si="12"/>
        <v>0</v>
      </c>
      <c r="I216" s="46"/>
    </row>
    <row r="217" spans="1:9" s="20" customFormat="1" ht="53.25" customHeight="1">
      <c r="A217" s="18" t="s">
        <v>81</v>
      </c>
      <c r="B217" s="4" t="s">
        <v>96</v>
      </c>
      <c r="C217" s="4" t="s">
        <v>274</v>
      </c>
      <c r="D217" s="17">
        <v>0</v>
      </c>
      <c r="E217" s="4"/>
      <c r="F217" s="19"/>
      <c r="G217" s="17">
        <f t="shared" si="12"/>
        <v>0</v>
      </c>
      <c r="I217" s="46"/>
    </row>
    <row r="218" spans="1:9" s="20" customFormat="1" ht="46.5" customHeight="1">
      <c r="A218" s="22" t="s">
        <v>167</v>
      </c>
      <c r="B218" s="23" t="s">
        <v>41</v>
      </c>
      <c r="C218" s="4"/>
      <c r="D218" s="24">
        <f>D220+D221+D223</f>
        <v>0</v>
      </c>
      <c r="E218" s="5"/>
      <c r="F218" s="27"/>
      <c r="G218" s="28">
        <f t="shared" si="12"/>
        <v>0</v>
      </c>
      <c r="I218" s="46"/>
    </row>
    <row r="219" spans="1:9" s="20" customFormat="1" ht="46.5" customHeight="1" hidden="1">
      <c r="A219" s="26" t="s">
        <v>180</v>
      </c>
      <c r="B219" s="4" t="s">
        <v>181</v>
      </c>
      <c r="C219" s="4" t="s">
        <v>200</v>
      </c>
      <c r="D219" s="21"/>
      <c r="E219" s="5"/>
      <c r="F219" s="19"/>
      <c r="G219" s="28">
        <f t="shared" si="12"/>
        <v>0</v>
      </c>
      <c r="I219" s="46"/>
    </row>
    <row r="220" spans="1:9" s="20" customFormat="1" ht="70.5" customHeight="1">
      <c r="A220" s="18" t="s">
        <v>180</v>
      </c>
      <c r="B220" s="4" t="s">
        <v>181</v>
      </c>
      <c r="C220" s="4" t="s">
        <v>332</v>
      </c>
      <c r="D220" s="21">
        <v>0</v>
      </c>
      <c r="E220" s="5"/>
      <c r="F220" s="19"/>
      <c r="G220" s="19">
        <f t="shared" si="12"/>
        <v>0</v>
      </c>
      <c r="I220" s="46"/>
    </row>
    <row r="221" spans="1:9" s="20" customFormat="1" ht="15.75">
      <c r="A221" s="26">
        <v>230000</v>
      </c>
      <c r="B221" s="4" t="s">
        <v>209</v>
      </c>
      <c r="C221" s="423" t="s">
        <v>361</v>
      </c>
      <c r="D221" s="21">
        <v>0</v>
      </c>
      <c r="E221" s="5"/>
      <c r="F221" s="27"/>
      <c r="G221" s="19">
        <f t="shared" si="12"/>
        <v>0</v>
      </c>
      <c r="I221" s="46"/>
    </row>
    <row r="222" spans="1:9" s="20" customFormat="1" ht="48" customHeight="1" hidden="1">
      <c r="A222" s="26">
        <v>210105</v>
      </c>
      <c r="B222" s="4"/>
      <c r="C222" s="423"/>
      <c r="D222" s="21">
        <v>0</v>
      </c>
      <c r="E222" s="5"/>
      <c r="F222" s="19">
        <v>0</v>
      </c>
      <c r="G222" s="19">
        <f t="shared" si="12"/>
        <v>0</v>
      </c>
      <c r="I222" s="46"/>
    </row>
    <row r="223" spans="1:9" s="20" customFormat="1" ht="33" customHeight="1">
      <c r="A223" s="18" t="s">
        <v>81</v>
      </c>
      <c r="B223" s="4" t="s">
        <v>96</v>
      </c>
      <c r="C223" s="423"/>
      <c r="D223" s="17">
        <v>0</v>
      </c>
      <c r="E223" s="4"/>
      <c r="F223" s="9"/>
      <c r="G223" s="19">
        <f t="shared" si="12"/>
        <v>0</v>
      </c>
      <c r="I223" s="46"/>
    </row>
    <row r="224" spans="1:9" s="20" customFormat="1" ht="47.25">
      <c r="A224" s="22" t="s">
        <v>208</v>
      </c>
      <c r="B224" s="23" t="s">
        <v>41</v>
      </c>
      <c r="C224" s="4"/>
      <c r="D224" s="32">
        <v>0</v>
      </c>
      <c r="E224" s="4"/>
      <c r="F224" s="24">
        <f>F226+F227</f>
        <v>0</v>
      </c>
      <c r="G224" s="24">
        <f t="shared" si="12"/>
        <v>0</v>
      </c>
      <c r="H224" s="47"/>
      <c r="I224" s="46"/>
    </row>
    <row r="225" spans="1:9" s="20" customFormat="1" ht="45" customHeight="1" hidden="1">
      <c r="A225" s="18" t="s">
        <v>105</v>
      </c>
      <c r="B225" s="4" t="s">
        <v>210</v>
      </c>
      <c r="C225" s="4"/>
      <c r="D225" s="5"/>
      <c r="E225" s="4" t="s">
        <v>218</v>
      </c>
      <c r="F225" s="12">
        <v>0</v>
      </c>
      <c r="G225" s="9">
        <v>0</v>
      </c>
      <c r="I225" s="46"/>
    </row>
    <row r="226" spans="1:9" s="20" customFormat="1" ht="51.75" customHeight="1">
      <c r="A226" s="432">
        <v>250380</v>
      </c>
      <c r="B226" s="426" t="s">
        <v>339</v>
      </c>
      <c r="C226" s="4"/>
      <c r="D226" s="5"/>
      <c r="E226" s="4" t="s">
        <v>320</v>
      </c>
      <c r="F226" s="19">
        <v>0</v>
      </c>
      <c r="G226" s="19">
        <f>F226</f>
        <v>0</v>
      </c>
      <c r="I226" s="46"/>
    </row>
    <row r="227" spans="1:9" s="20" customFormat="1" ht="51.75" customHeight="1">
      <c r="A227" s="433"/>
      <c r="B227" s="427"/>
      <c r="C227" s="4"/>
      <c r="D227" s="5"/>
      <c r="E227" s="4" t="s">
        <v>342</v>
      </c>
      <c r="F227" s="19">
        <v>0</v>
      </c>
      <c r="G227" s="19">
        <f>F227</f>
        <v>0</v>
      </c>
      <c r="I227" s="46"/>
    </row>
    <row r="228" spans="1:9" s="20" customFormat="1" ht="47.25">
      <c r="A228" s="22" t="s">
        <v>149</v>
      </c>
      <c r="B228" s="23" t="s">
        <v>44</v>
      </c>
      <c r="C228" s="4"/>
      <c r="D228" s="24">
        <f>D232+D235+D236+D237+D238+D241+D242</f>
        <v>0</v>
      </c>
      <c r="E228" s="4"/>
      <c r="F228" s="24">
        <f>F231+F234</f>
        <v>0</v>
      </c>
      <c r="G228" s="24">
        <f>D228+F228</f>
        <v>0</v>
      </c>
      <c r="H228" s="47"/>
      <c r="I228" s="46"/>
    </row>
    <row r="229" spans="1:9" s="20" customFormat="1" ht="49.5" customHeight="1" hidden="1">
      <c r="A229" s="18" t="s">
        <v>180</v>
      </c>
      <c r="B229" s="4" t="s">
        <v>181</v>
      </c>
      <c r="C229" s="4" t="s">
        <v>186</v>
      </c>
      <c r="D229" s="17"/>
      <c r="E229" s="4" t="s">
        <v>186</v>
      </c>
      <c r="F229" s="19"/>
      <c r="G229" s="9">
        <v>0</v>
      </c>
      <c r="I229" s="46"/>
    </row>
    <row r="230" spans="1:9" s="20" customFormat="1" ht="72" customHeight="1" hidden="1">
      <c r="A230" s="424" t="s">
        <v>180</v>
      </c>
      <c r="B230" s="423" t="s">
        <v>181</v>
      </c>
      <c r="C230" s="4" t="s">
        <v>332</v>
      </c>
      <c r="D230" s="17">
        <v>0</v>
      </c>
      <c r="E230" s="4"/>
      <c r="F230" s="19"/>
      <c r="G230" s="19">
        <v>0</v>
      </c>
      <c r="I230" s="46"/>
    </row>
    <row r="231" spans="1:9" s="20" customFormat="1" ht="63" customHeight="1">
      <c r="A231" s="424"/>
      <c r="B231" s="423"/>
      <c r="C231" s="4"/>
      <c r="D231" s="17"/>
      <c r="E231" s="4" t="s">
        <v>317</v>
      </c>
      <c r="F231" s="19">
        <v>0</v>
      </c>
      <c r="G231" s="19">
        <f>F231</f>
        <v>0</v>
      </c>
      <c r="I231" s="46"/>
    </row>
    <row r="232" spans="1:9" s="20" customFormat="1" ht="47.25" customHeight="1">
      <c r="A232" s="18" t="s">
        <v>98</v>
      </c>
      <c r="B232" s="4" t="s">
        <v>99</v>
      </c>
      <c r="C232" s="4" t="s">
        <v>320</v>
      </c>
      <c r="D232" s="17">
        <v>0</v>
      </c>
      <c r="E232" s="4"/>
      <c r="F232" s="19"/>
      <c r="G232" s="19">
        <f>D232</f>
        <v>0</v>
      </c>
      <c r="I232" s="46"/>
    </row>
    <row r="233" spans="1:9" s="20" customFormat="1" ht="42.75" customHeight="1" hidden="1">
      <c r="A233" s="18" t="s">
        <v>88</v>
      </c>
      <c r="B233" s="4" t="s">
        <v>89</v>
      </c>
      <c r="C233" s="4"/>
      <c r="D233" s="17"/>
      <c r="E233" s="4" t="s">
        <v>214</v>
      </c>
      <c r="F233" s="19">
        <v>0</v>
      </c>
      <c r="G233" s="9">
        <v>0</v>
      </c>
      <c r="I233" s="46"/>
    </row>
    <row r="234" spans="1:9" s="20" customFormat="1" ht="95.25" customHeight="1">
      <c r="A234" s="18" t="s">
        <v>75</v>
      </c>
      <c r="B234" s="4" t="s">
        <v>239</v>
      </c>
      <c r="C234" s="4"/>
      <c r="D234" s="17"/>
      <c r="E234" s="4" t="s">
        <v>330</v>
      </c>
      <c r="F234" s="19">
        <v>0</v>
      </c>
      <c r="G234" s="19">
        <f>F234</f>
        <v>0</v>
      </c>
      <c r="I234" s="46"/>
    </row>
    <row r="235" spans="1:9" s="20" customFormat="1" ht="47.25">
      <c r="A235" s="424" t="s">
        <v>81</v>
      </c>
      <c r="B235" s="423" t="s">
        <v>96</v>
      </c>
      <c r="C235" s="4" t="s">
        <v>271</v>
      </c>
      <c r="D235" s="17">
        <v>0</v>
      </c>
      <c r="E235" s="4"/>
      <c r="F235" s="9"/>
      <c r="G235" s="19">
        <f>D235</f>
        <v>0</v>
      </c>
      <c r="I235" s="46"/>
    </row>
    <row r="236" spans="1:9" s="20" customFormat="1" ht="47.25">
      <c r="A236" s="424"/>
      <c r="B236" s="423"/>
      <c r="C236" s="4" t="s">
        <v>320</v>
      </c>
      <c r="D236" s="17">
        <v>0</v>
      </c>
      <c r="E236" s="4"/>
      <c r="F236" s="9"/>
      <c r="G236" s="19">
        <f aca="true" t="shared" si="13" ref="G236:G242">D236</f>
        <v>0</v>
      </c>
      <c r="I236" s="46"/>
    </row>
    <row r="237" spans="1:9" s="20" customFormat="1" ht="63">
      <c r="A237" s="424"/>
      <c r="B237" s="423"/>
      <c r="C237" s="4" t="s">
        <v>275</v>
      </c>
      <c r="D237" s="17">
        <v>0</v>
      </c>
      <c r="E237" s="4"/>
      <c r="F237" s="9"/>
      <c r="G237" s="19">
        <f t="shared" si="13"/>
        <v>0</v>
      </c>
      <c r="I237" s="46"/>
    </row>
    <row r="238" spans="1:9" s="20" customFormat="1" ht="47.25">
      <c r="A238" s="424"/>
      <c r="B238" s="423"/>
      <c r="C238" s="4" t="s">
        <v>280</v>
      </c>
      <c r="D238" s="17">
        <v>0</v>
      </c>
      <c r="E238" s="4"/>
      <c r="F238" s="9"/>
      <c r="G238" s="19">
        <f t="shared" si="13"/>
        <v>0</v>
      </c>
      <c r="I238" s="46"/>
    </row>
    <row r="239" spans="1:9" s="20" customFormat="1" ht="45.75" customHeight="1" hidden="1">
      <c r="A239" s="424"/>
      <c r="B239" s="423"/>
      <c r="C239" s="4"/>
      <c r="D239" s="5"/>
      <c r="E239" s="4"/>
      <c r="F239" s="9"/>
      <c r="G239" s="19">
        <f t="shared" si="13"/>
        <v>0</v>
      </c>
      <c r="I239" s="46"/>
    </row>
    <row r="240" spans="1:9" s="20" customFormat="1" ht="56.25" customHeight="1" hidden="1">
      <c r="A240" s="424"/>
      <c r="B240" s="423"/>
      <c r="C240" s="4"/>
      <c r="D240" s="5"/>
      <c r="E240" s="4"/>
      <c r="F240" s="9"/>
      <c r="G240" s="19">
        <f t="shared" si="13"/>
        <v>0</v>
      </c>
      <c r="I240" s="46"/>
    </row>
    <row r="241" spans="1:9" s="20" customFormat="1" ht="63">
      <c r="A241" s="424"/>
      <c r="B241" s="423"/>
      <c r="C241" s="4" t="s">
        <v>323</v>
      </c>
      <c r="D241" s="17">
        <v>0</v>
      </c>
      <c r="E241" s="4"/>
      <c r="F241" s="9"/>
      <c r="G241" s="19">
        <f t="shared" si="13"/>
        <v>0</v>
      </c>
      <c r="I241" s="46"/>
    </row>
    <row r="242" spans="1:9" s="20" customFormat="1" ht="63.75" customHeight="1">
      <c r="A242" s="424"/>
      <c r="B242" s="423"/>
      <c r="C242" s="4" t="s">
        <v>332</v>
      </c>
      <c r="D242" s="17">
        <v>0</v>
      </c>
      <c r="E242" s="4"/>
      <c r="F242" s="9"/>
      <c r="G242" s="19">
        <f t="shared" si="13"/>
        <v>0</v>
      </c>
      <c r="I242" s="46"/>
    </row>
    <row r="243" spans="1:9" s="20" customFormat="1" ht="47.25">
      <c r="A243" s="22" t="s">
        <v>150</v>
      </c>
      <c r="B243" s="23" t="s">
        <v>47</v>
      </c>
      <c r="C243" s="4"/>
      <c r="D243" s="24">
        <f>D245+D249+D251+D252+D253+D254</f>
        <v>0</v>
      </c>
      <c r="E243" s="23"/>
      <c r="F243" s="24">
        <f>F244+F245+F246+F248</f>
        <v>0</v>
      </c>
      <c r="G243" s="24">
        <f>D243+F243</f>
        <v>0</v>
      </c>
      <c r="H243" s="47"/>
      <c r="I243" s="46"/>
    </row>
    <row r="244" spans="1:9" s="20" customFormat="1" ht="43.5" customHeight="1">
      <c r="A244" s="18" t="s">
        <v>180</v>
      </c>
      <c r="B244" s="4" t="s">
        <v>181</v>
      </c>
      <c r="C244" s="4"/>
      <c r="D244" s="17"/>
      <c r="E244" s="4" t="s">
        <v>317</v>
      </c>
      <c r="F244" s="19">
        <v>0</v>
      </c>
      <c r="G244" s="19">
        <f>F244</f>
        <v>0</v>
      </c>
      <c r="I244" s="46"/>
    </row>
    <row r="245" spans="1:9" s="20" customFormat="1" ht="50.25" customHeight="1">
      <c r="A245" s="424" t="s">
        <v>98</v>
      </c>
      <c r="B245" s="423" t="s">
        <v>99</v>
      </c>
      <c r="C245" s="4" t="s">
        <v>320</v>
      </c>
      <c r="D245" s="17">
        <v>0</v>
      </c>
      <c r="E245" s="4" t="s">
        <v>320</v>
      </c>
      <c r="F245" s="19">
        <v>0</v>
      </c>
      <c r="G245" s="19">
        <f>D245+F245</f>
        <v>0</v>
      </c>
      <c r="I245" s="46"/>
    </row>
    <row r="246" spans="1:9" s="20" customFormat="1" ht="47.25">
      <c r="A246" s="424"/>
      <c r="B246" s="423"/>
      <c r="C246" s="4"/>
      <c r="D246" s="17"/>
      <c r="E246" s="35" t="s">
        <v>282</v>
      </c>
      <c r="F246" s="39">
        <v>0</v>
      </c>
      <c r="G246" s="39">
        <f>F246</f>
        <v>0</v>
      </c>
      <c r="I246" s="46"/>
    </row>
    <row r="247" spans="1:9" s="20" customFormat="1" ht="21.75" customHeight="1" hidden="1">
      <c r="A247" s="18" t="s">
        <v>88</v>
      </c>
      <c r="B247" s="4" t="s">
        <v>89</v>
      </c>
      <c r="C247" s="4"/>
      <c r="D247" s="17"/>
      <c r="E247" s="4"/>
      <c r="F247" s="19"/>
      <c r="G247" s="19">
        <v>0</v>
      </c>
      <c r="I247" s="46"/>
    </row>
    <row r="248" spans="1:9" s="20" customFormat="1" ht="99.75" customHeight="1">
      <c r="A248" s="18" t="s">
        <v>75</v>
      </c>
      <c r="B248" s="4" t="s">
        <v>239</v>
      </c>
      <c r="C248" s="4"/>
      <c r="D248" s="17"/>
      <c r="E248" s="4" t="s">
        <v>330</v>
      </c>
      <c r="F248" s="19">
        <v>0</v>
      </c>
      <c r="G248" s="19">
        <f>F248</f>
        <v>0</v>
      </c>
      <c r="I248" s="46"/>
    </row>
    <row r="249" spans="1:9" s="20" customFormat="1" ht="47.25">
      <c r="A249" s="424" t="s">
        <v>81</v>
      </c>
      <c r="B249" s="423" t="s">
        <v>96</v>
      </c>
      <c r="C249" s="4" t="s">
        <v>271</v>
      </c>
      <c r="D249" s="17">
        <v>0</v>
      </c>
      <c r="E249" s="4"/>
      <c r="F249" s="9"/>
      <c r="G249" s="19">
        <f aca="true" t="shared" si="14" ref="G249:G254">D249</f>
        <v>0</v>
      </c>
      <c r="I249" s="46"/>
    </row>
    <row r="250" spans="1:9" s="20" customFormat="1" ht="34.5" customHeight="1" hidden="1">
      <c r="A250" s="424"/>
      <c r="B250" s="423"/>
      <c r="C250" s="4"/>
      <c r="D250" s="17"/>
      <c r="E250" s="4"/>
      <c r="F250" s="9"/>
      <c r="G250" s="19">
        <f t="shared" si="14"/>
        <v>0</v>
      </c>
      <c r="I250" s="46"/>
    </row>
    <row r="251" spans="1:9" s="20" customFormat="1" ht="63">
      <c r="A251" s="424"/>
      <c r="B251" s="423"/>
      <c r="C251" s="4" t="s">
        <v>275</v>
      </c>
      <c r="D251" s="17">
        <v>0</v>
      </c>
      <c r="E251" s="4"/>
      <c r="F251" s="9"/>
      <c r="G251" s="19">
        <f t="shared" si="14"/>
        <v>0</v>
      </c>
      <c r="I251" s="46"/>
    </row>
    <row r="252" spans="1:9" s="20" customFormat="1" ht="47.25">
      <c r="A252" s="424"/>
      <c r="B252" s="423"/>
      <c r="C252" s="4" t="s">
        <v>280</v>
      </c>
      <c r="D252" s="17">
        <v>0</v>
      </c>
      <c r="E252" s="4"/>
      <c r="F252" s="9"/>
      <c r="G252" s="19">
        <f t="shared" si="14"/>
        <v>0</v>
      </c>
      <c r="I252" s="46"/>
    </row>
    <row r="253" spans="1:9" s="20" customFormat="1" ht="47.25">
      <c r="A253" s="424"/>
      <c r="B253" s="423"/>
      <c r="C253" s="4" t="s">
        <v>320</v>
      </c>
      <c r="D253" s="17">
        <v>0</v>
      </c>
      <c r="E253" s="4"/>
      <c r="F253" s="9"/>
      <c r="G253" s="19">
        <f t="shared" si="14"/>
        <v>0</v>
      </c>
      <c r="I253" s="46"/>
    </row>
    <row r="254" spans="1:9" s="20" customFormat="1" ht="63">
      <c r="A254" s="424"/>
      <c r="B254" s="423"/>
      <c r="C254" s="4" t="s">
        <v>323</v>
      </c>
      <c r="D254" s="17">
        <v>0</v>
      </c>
      <c r="E254" s="4"/>
      <c r="F254" s="9"/>
      <c r="G254" s="19">
        <f t="shared" si="14"/>
        <v>0</v>
      </c>
      <c r="I254" s="46"/>
    </row>
    <row r="255" spans="1:9" s="20" customFormat="1" ht="47.25">
      <c r="A255" s="22" t="s">
        <v>151</v>
      </c>
      <c r="B255" s="23" t="s">
        <v>48</v>
      </c>
      <c r="C255" s="4"/>
      <c r="D255" s="24">
        <f>D257+D260+D261+D262+D263+D265+D266</f>
        <v>0</v>
      </c>
      <c r="E255" s="23"/>
      <c r="F255" s="24">
        <f>F256+F257+F258+F259</f>
        <v>0</v>
      </c>
      <c r="G255" s="24">
        <f>D255+F255</f>
        <v>0</v>
      </c>
      <c r="H255" s="47"/>
      <c r="I255" s="46"/>
    </row>
    <row r="256" spans="1:9" s="20" customFormat="1" ht="52.5" customHeight="1">
      <c r="A256" s="18" t="s">
        <v>180</v>
      </c>
      <c r="B256" s="4" t="s">
        <v>181</v>
      </c>
      <c r="C256" s="4"/>
      <c r="D256" s="17"/>
      <c r="E256" s="4" t="s">
        <v>317</v>
      </c>
      <c r="F256" s="19">
        <v>0</v>
      </c>
      <c r="G256" s="19">
        <f>F256</f>
        <v>0</v>
      </c>
      <c r="I256" s="46"/>
    </row>
    <row r="257" spans="1:9" s="20" customFormat="1" ht="56.25" customHeight="1">
      <c r="A257" s="18" t="s">
        <v>98</v>
      </c>
      <c r="B257" s="4" t="s">
        <v>99</v>
      </c>
      <c r="C257" s="4" t="s">
        <v>320</v>
      </c>
      <c r="D257" s="17">
        <v>0</v>
      </c>
      <c r="E257" s="4" t="s">
        <v>320</v>
      </c>
      <c r="F257" s="19">
        <v>0</v>
      </c>
      <c r="G257" s="19">
        <f>D257+F257</f>
        <v>0</v>
      </c>
      <c r="I257" s="46"/>
    </row>
    <row r="258" spans="1:9" s="20" customFormat="1" ht="47.25">
      <c r="A258" s="18" t="s">
        <v>88</v>
      </c>
      <c r="B258" s="4" t="s">
        <v>89</v>
      </c>
      <c r="C258" s="4"/>
      <c r="D258" s="17"/>
      <c r="E258" s="4" t="s">
        <v>320</v>
      </c>
      <c r="F258" s="19">
        <v>0</v>
      </c>
      <c r="G258" s="19">
        <f>F258</f>
        <v>0</v>
      </c>
      <c r="I258" s="46"/>
    </row>
    <row r="259" spans="1:9" s="20" customFormat="1" ht="99.75" customHeight="1">
      <c r="A259" s="18" t="s">
        <v>75</v>
      </c>
      <c r="B259" s="4" t="s">
        <v>239</v>
      </c>
      <c r="C259" s="4"/>
      <c r="D259" s="17"/>
      <c r="E259" s="4" t="s">
        <v>330</v>
      </c>
      <c r="F259" s="19">
        <v>0</v>
      </c>
      <c r="G259" s="19">
        <f>F259</f>
        <v>0</v>
      </c>
      <c r="I259" s="46"/>
    </row>
    <row r="260" spans="1:9" s="20" customFormat="1" ht="47.25">
      <c r="A260" s="424" t="s">
        <v>81</v>
      </c>
      <c r="B260" s="423" t="s">
        <v>96</v>
      </c>
      <c r="C260" s="4" t="s">
        <v>271</v>
      </c>
      <c r="D260" s="17">
        <v>0</v>
      </c>
      <c r="E260" s="4"/>
      <c r="F260" s="9"/>
      <c r="G260" s="19">
        <f>D260</f>
        <v>0</v>
      </c>
      <c r="I260" s="46"/>
    </row>
    <row r="261" spans="1:9" s="20" customFormat="1" ht="47.25">
      <c r="A261" s="424"/>
      <c r="B261" s="423"/>
      <c r="C261" s="4" t="s">
        <v>320</v>
      </c>
      <c r="D261" s="17">
        <v>0</v>
      </c>
      <c r="E261" s="4"/>
      <c r="F261" s="9"/>
      <c r="G261" s="19">
        <f aca="true" t="shared" si="15" ref="G261:G266">D261</f>
        <v>0</v>
      </c>
      <c r="I261" s="46"/>
    </row>
    <row r="262" spans="1:9" s="20" customFormat="1" ht="63">
      <c r="A262" s="424"/>
      <c r="B262" s="423"/>
      <c r="C262" s="4" t="s">
        <v>275</v>
      </c>
      <c r="D262" s="17">
        <v>0</v>
      </c>
      <c r="E262" s="4"/>
      <c r="F262" s="9"/>
      <c r="G262" s="19">
        <f t="shared" si="15"/>
        <v>0</v>
      </c>
      <c r="I262" s="46"/>
    </row>
    <row r="263" spans="1:9" s="20" customFormat="1" ht="47.25">
      <c r="A263" s="424"/>
      <c r="B263" s="423"/>
      <c r="C263" s="4" t="s">
        <v>280</v>
      </c>
      <c r="D263" s="17">
        <v>0</v>
      </c>
      <c r="E263" s="4"/>
      <c r="F263" s="9"/>
      <c r="G263" s="19">
        <f t="shared" si="15"/>
        <v>0</v>
      </c>
      <c r="I263" s="46"/>
    </row>
    <row r="264" spans="1:9" s="20" customFormat="1" ht="21.75" customHeight="1" hidden="1">
      <c r="A264" s="424"/>
      <c r="B264" s="423"/>
      <c r="C264" s="4"/>
      <c r="D264" s="5"/>
      <c r="E264" s="4"/>
      <c r="F264" s="9"/>
      <c r="G264" s="19">
        <f t="shared" si="15"/>
        <v>0</v>
      </c>
      <c r="I264" s="46"/>
    </row>
    <row r="265" spans="1:9" s="20" customFormat="1" ht="63">
      <c r="A265" s="424"/>
      <c r="B265" s="423"/>
      <c r="C265" s="4" t="s">
        <v>323</v>
      </c>
      <c r="D265" s="17">
        <v>0</v>
      </c>
      <c r="E265" s="4"/>
      <c r="F265" s="9"/>
      <c r="G265" s="19">
        <f t="shared" si="15"/>
        <v>0</v>
      </c>
      <c r="I265" s="46"/>
    </row>
    <row r="266" spans="1:9" s="20" customFormat="1" ht="66.75" customHeight="1">
      <c r="A266" s="424"/>
      <c r="B266" s="423"/>
      <c r="C266" s="4" t="s">
        <v>332</v>
      </c>
      <c r="D266" s="17">
        <v>0</v>
      </c>
      <c r="E266" s="4"/>
      <c r="F266" s="9"/>
      <c r="G266" s="19">
        <f t="shared" si="15"/>
        <v>0</v>
      </c>
      <c r="I266" s="46"/>
    </row>
    <row r="267" spans="1:9" s="20" customFormat="1" ht="47.25">
      <c r="A267" s="22" t="s">
        <v>152</v>
      </c>
      <c r="B267" s="23" t="s">
        <v>49</v>
      </c>
      <c r="C267" s="4"/>
      <c r="D267" s="24">
        <f>D269+D271+D272+D273+D274+D275+D276</f>
        <v>0</v>
      </c>
      <c r="E267" s="23"/>
      <c r="F267" s="24">
        <f>F268+F269+F270</f>
        <v>0</v>
      </c>
      <c r="G267" s="28">
        <f>D267+F267</f>
        <v>0</v>
      </c>
      <c r="H267" s="48"/>
      <c r="I267" s="46"/>
    </row>
    <row r="268" spans="1:9" s="20" customFormat="1" ht="47.25">
      <c r="A268" s="18" t="s">
        <v>180</v>
      </c>
      <c r="B268" s="4" t="s">
        <v>181</v>
      </c>
      <c r="C268" s="4"/>
      <c r="D268" s="17"/>
      <c r="E268" s="4" t="s">
        <v>317</v>
      </c>
      <c r="F268" s="19">
        <v>0</v>
      </c>
      <c r="G268" s="19">
        <f>F268</f>
        <v>0</v>
      </c>
      <c r="H268" s="33"/>
      <c r="I268" s="46"/>
    </row>
    <row r="269" spans="1:9" s="20" customFormat="1" ht="66" customHeight="1">
      <c r="A269" s="18" t="s">
        <v>98</v>
      </c>
      <c r="B269" s="4" t="s">
        <v>99</v>
      </c>
      <c r="C269" s="4" t="s">
        <v>320</v>
      </c>
      <c r="D269" s="17">
        <v>0</v>
      </c>
      <c r="E269" s="4" t="s">
        <v>320</v>
      </c>
      <c r="F269" s="19">
        <v>0</v>
      </c>
      <c r="G269" s="19">
        <f>D269+F269</f>
        <v>0</v>
      </c>
      <c r="I269" s="46"/>
    </row>
    <row r="270" spans="1:9" s="20" customFormat="1" ht="55.5" customHeight="1">
      <c r="A270" s="18" t="s">
        <v>88</v>
      </c>
      <c r="B270" s="4" t="s">
        <v>89</v>
      </c>
      <c r="C270" s="4"/>
      <c r="D270" s="17"/>
      <c r="E270" s="4" t="s">
        <v>320</v>
      </c>
      <c r="F270" s="19">
        <v>0</v>
      </c>
      <c r="G270" s="19">
        <f>F270</f>
        <v>0</v>
      </c>
      <c r="I270" s="46"/>
    </row>
    <row r="271" spans="1:9" s="20" customFormat="1" ht="47.25">
      <c r="A271" s="424" t="s">
        <v>81</v>
      </c>
      <c r="B271" s="423" t="s">
        <v>96</v>
      </c>
      <c r="C271" s="4" t="s">
        <v>271</v>
      </c>
      <c r="D271" s="17">
        <v>0</v>
      </c>
      <c r="E271" s="4"/>
      <c r="F271" s="9"/>
      <c r="G271" s="19">
        <f aca="true" t="shared" si="16" ref="G271:G276">D271</f>
        <v>0</v>
      </c>
      <c r="I271" s="46"/>
    </row>
    <row r="272" spans="1:9" s="20" customFormat="1" ht="47.25">
      <c r="A272" s="424"/>
      <c r="B272" s="423"/>
      <c r="C272" s="4" t="s">
        <v>320</v>
      </c>
      <c r="D272" s="17">
        <v>0</v>
      </c>
      <c r="E272" s="4"/>
      <c r="F272" s="9"/>
      <c r="G272" s="19">
        <f t="shared" si="16"/>
        <v>0</v>
      </c>
      <c r="I272" s="46"/>
    </row>
    <row r="273" spans="1:9" s="20" customFormat="1" ht="63">
      <c r="A273" s="424"/>
      <c r="B273" s="423"/>
      <c r="C273" s="4" t="s">
        <v>275</v>
      </c>
      <c r="D273" s="17">
        <v>0</v>
      </c>
      <c r="E273" s="4"/>
      <c r="F273" s="9"/>
      <c r="G273" s="19">
        <f t="shared" si="16"/>
        <v>0</v>
      </c>
      <c r="I273" s="46"/>
    </row>
    <row r="274" spans="1:9" s="20" customFormat="1" ht="47.25">
      <c r="A274" s="424"/>
      <c r="B274" s="423"/>
      <c r="C274" s="4" t="s">
        <v>280</v>
      </c>
      <c r="D274" s="17">
        <v>0</v>
      </c>
      <c r="E274" s="4"/>
      <c r="F274" s="9"/>
      <c r="G274" s="19">
        <f t="shared" si="16"/>
        <v>0</v>
      </c>
      <c r="I274" s="46"/>
    </row>
    <row r="275" spans="1:9" s="20" customFormat="1" ht="63">
      <c r="A275" s="424"/>
      <c r="B275" s="423"/>
      <c r="C275" s="4" t="s">
        <v>323</v>
      </c>
      <c r="D275" s="17">
        <v>0</v>
      </c>
      <c r="E275" s="4"/>
      <c r="F275" s="9"/>
      <c r="G275" s="19">
        <f t="shared" si="16"/>
        <v>0</v>
      </c>
      <c r="I275" s="46"/>
    </row>
    <row r="276" spans="1:9" s="20" customFormat="1" ht="63.75" customHeight="1">
      <c r="A276" s="424"/>
      <c r="B276" s="423"/>
      <c r="C276" s="4" t="s">
        <v>332</v>
      </c>
      <c r="D276" s="17">
        <v>0</v>
      </c>
      <c r="E276" s="4"/>
      <c r="F276" s="9"/>
      <c r="G276" s="19">
        <f t="shared" si="16"/>
        <v>0</v>
      </c>
      <c r="I276" s="46"/>
    </row>
    <row r="277" spans="1:9" s="33" customFormat="1" ht="47.25">
      <c r="A277" s="22" t="s">
        <v>153</v>
      </c>
      <c r="B277" s="23" t="s">
        <v>50</v>
      </c>
      <c r="C277" s="23"/>
      <c r="D277" s="24">
        <f>D279+D281+D283+D285+D287+D288+D289+D290+D291+D292</f>
        <v>0</v>
      </c>
      <c r="E277" s="23"/>
      <c r="F277" s="24">
        <f>F280+F284</f>
        <v>0</v>
      </c>
      <c r="G277" s="24">
        <f>D277+F277</f>
        <v>0</v>
      </c>
      <c r="H277" s="48"/>
      <c r="I277" s="46"/>
    </row>
    <row r="278" spans="1:9" s="33" customFormat="1" ht="55.5" customHeight="1" hidden="1">
      <c r="A278" s="18" t="s">
        <v>180</v>
      </c>
      <c r="B278" s="4" t="s">
        <v>181</v>
      </c>
      <c r="C278" s="4" t="s">
        <v>187</v>
      </c>
      <c r="D278" s="17"/>
      <c r="E278" s="4" t="s">
        <v>187</v>
      </c>
      <c r="F278" s="19"/>
      <c r="G278" s="19">
        <v>0</v>
      </c>
      <c r="I278" s="46"/>
    </row>
    <row r="279" spans="1:9" s="33" customFormat="1" ht="69" customHeight="1">
      <c r="A279" s="428" t="s">
        <v>180</v>
      </c>
      <c r="B279" s="426" t="s">
        <v>181</v>
      </c>
      <c r="C279" s="4" t="s">
        <v>332</v>
      </c>
      <c r="D279" s="17">
        <v>0</v>
      </c>
      <c r="E279" s="4"/>
      <c r="F279" s="19"/>
      <c r="G279" s="19">
        <f>D279</f>
        <v>0</v>
      </c>
      <c r="I279" s="46"/>
    </row>
    <row r="280" spans="1:9" s="33" customFormat="1" ht="54.75" customHeight="1">
      <c r="A280" s="429"/>
      <c r="B280" s="427"/>
      <c r="C280" s="4"/>
      <c r="D280" s="17"/>
      <c r="E280" s="4" t="s">
        <v>317</v>
      </c>
      <c r="F280" s="19">
        <v>0</v>
      </c>
      <c r="G280" s="19">
        <f>F280</f>
        <v>0</v>
      </c>
      <c r="I280" s="46"/>
    </row>
    <row r="281" spans="1:9" s="20" customFormat="1" ht="49.5" customHeight="1">
      <c r="A281" s="424" t="s">
        <v>98</v>
      </c>
      <c r="B281" s="423" t="s">
        <v>99</v>
      </c>
      <c r="C281" s="4" t="s">
        <v>320</v>
      </c>
      <c r="D281" s="17">
        <v>0</v>
      </c>
      <c r="E281" s="4"/>
      <c r="F281" s="19"/>
      <c r="G281" s="19">
        <f>D281</f>
        <v>0</v>
      </c>
      <c r="I281" s="46"/>
    </row>
    <row r="282" spans="1:9" s="20" customFormat="1" ht="47.25" hidden="1">
      <c r="A282" s="424"/>
      <c r="B282" s="423"/>
      <c r="C282" s="4"/>
      <c r="D282" s="17"/>
      <c r="E282" s="35" t="s">
        <v>282</v>
      </c>
      <c r="F282" s="39">
        <v>0</v>
      </c>
      <c r="G282" s="39">
        <v>0</v>
      </c>
      <c r="I282" s="46"/>
    </row>
    <row r="283" spans="1:9" s="20" customFormat="1" ht="47.25">
      <c r="A283" s="18" t="s">
        <v>255</v>
      </c>
      <c r="B283" s="4" t="s">
        <v>96</v>
      </c>
      <c r="C283" s="4" t="s">
        <v>277</v>
      </c>
      <c r="D283" s="17">
        <v>0</v>
      </c>
      <c r="E283" s="4"/>
      <c r="F283" s="19"/>
      <c r="G283" s="19">
        <f>D283</f>
        <v>0</v>
      </c>
      <c r="I283" s="46"/>
    </row>
    <row r="284" spans="1:9" s="20" customFormat="1" ht="93.75" customHeight="1">
      <c r="A284" s="18" t="s">
        <v>75</v>
      </c>
      <c r="B284" s="4" t="s">
        <v>239</v>
      </c>
      <c r="C284" s="4"/>
      <c r="D284" s="17"/>
      <c r="E284" s="4" t="s">
        <v>330</v>
      </c>
      <c r="F284" s="19">
        <v>0</v>
      </c>
      <c r="G284" s="19">
        <f>F284</f>
        <v>0</v>
      </c>
      <c r="I284" s="46"/>
    </row>
    <row r="285" spans="1:9" s="20" customFormat="1" ht="47.25">
      <c r="A285" s="424" t="s">
        <v>81</v>
      </c>
      <c r="B285" s="423" t="s">
        <v>96</v>
      </c>
      <c r="C285" s="4" t="s">
        <v>271</v>
      </c>
      <c r="D285" s="17">
        <v>0</v>
      </c>
      <c r="E285" s="4"/>
      <c r="F285" s="9"/>
      <c r="G285" s="19">
        <f>D285</f>
        <v>0</v>
      </c>
      <c r="I285" s="46"/>
    </row>
    <row r="286" spans="1:9" s="20" customFormat="1" ht="21" customHeight="1" hidden="1">
      <c r="A286" s="424"/>
      <c r="B286" s="423"/>
      <c r="C286" s="4"/>
      <c r="D286" s="17"/>
      <c r="E286" s="4"/>
      <c r="F286" s="9"/>
      <c r="G286" s="19">
        <f aca="true" t="shared" si="17" ref="G286:G292">D286</f>
        <v>0</v>
      </c>
      <c r="I286" s="46"/>
    </row>
    <row r="287" spans="1:9" s="20" customFormat="1" ht="63">
      <c r="A287" s="424"/>
      <c r="B287" s="423"/>
      <c r="C287" s="4" t="s">
        <v>276</v>
      </c>
      <c r="D287" s="17">
        <v>0</v>
      </c>
      <c r="E287" s="4"/>
      <c r="F287" s="9"/>
      <c r="G287" s="19">
        <f t="shared" si="17"/>
        <v>0</v>
      </c>
      <c r="I287" s="46"/>
    </row>
    <row r="288" spans="1:9" s="20" customFormat="1" ht="63">
      <c r="A288" s="424"/>
      <c r="B288" s="423"/>
      <c r="C288" s="4" t="s">
        <v>275</v>
      </c>
      <c r="D288" s="17">
        <v>0</v>
      </c>
      <c r="E288" s="4"/>
      <c r="F288" s="9"/>
      <c r="G288" s="19">
        <f t="shared" si="17"/>
        <v>0</v>
      </c>
      <c r="I288" s="46"/>
    </row>
    <row r="289" spans="1:9" s="20" customFormat="1" ht="47.25">
      <c r="A289" s="424"/>
      <c r="B289" s="423"/>
      <c r="C289" s="4" t="s">
        <v>280</v>
      </c>
      <c r="D289" s="17">
        <v>0</v>
      </c>
      <c r="E289" s="4"/>
      <c r="F289" s="9"/>
      <c r="G289" s="19">
        <f t="shared" si="17"/>
        <v>0</v>
      </c>
      <c r="I289" s="46"/>
    </row>
    <row r="290" spans="1:9" s="20" customFormat="1" ht="63">
      <c r="A290" s="424"/>
      <c r="B290" s="423"/>
      <c r="C290" s="4" t="s">
        <v>323</v>
      </c>
      <c r="D290" s="17">
        <v>0</v>
      </c>
      <c r="E290" s="4"/>
      <c r="F290" s="9"/>
      <c r="G290" s="19">
        <f t="shared" si="17"/>
        <v>0</v>
      </c>
      <c r="I290" s="46"/>
    </row>
    <row r="291" spans="1:9" s="20" customFormat="1" ht="47.25">
      <c r="A291" s="424"/>
      <c r="B291" s="423"/>
      <c r="C291" s="4" t="s">
        <v>320</v>
      </c>
      <c r="D291" s="17">
        <v>0</v>
      </c>
      <c r="E291" s="4"/>
      <c r="F291" s="9"/>
      <c r="G291" s="19">
        <f t="shared" si="17"/>
        <v>0</v>
      </c>
      <c r="I291" s="46"/>
    </row>
    <row r="292" spans="1:9" s="20" customFormat="1" ht="65.25" customHeight="1">
      <c r="A292" s="424"/>
      <c r="B292" s="423"/>
      <c r="C292" s="4" t="s">
        <v>332</v>
      </c>
      <c r="D292" s="17">
        <v>0</v>
      </c>
      <c r="E292" s="4"/>
      <c r="F292" s="9"/>
      <c r="G292" s="19">
        <f t="shared" si="17"/>
        <v>0</v>
      </c>
      <c r="I292" s="46"/>
    </row>
    <row r="293" spans="1:9" s="33" customFormat="1" ht="47.25">
      <c r="A293" s="22" t="s">
        <v>154</v>
      </c>
      <c r="B293" s="23" t="s">
        <v>51</v>
      </c>
      <c r="C293" s="23"/>
      <c r="D293" s="24">
        <f>D296+D298+D300+D301+D302+D303+D304</f>
        <v>0</v>
      </c>
      <c r="E293" s="23"/>
      <c r="F293" s="24">
        <f>F294+F295+F296+F297</f>
        <v>0</v>
      </c>
      <c r="G293" s="28">
        <f>D293+F293</f>
        <v>0</v>
      </c>
      <c r="H293" s="48"/>
      <c r="I293" s="46"/>
    </row>
    <row r="294" spans="1:9" s="33" customFormat="1" ht="49.5" customHeight="1">
      <c r="A294" s="18" t="s">
        <v>180</v>
      </c>
      <c r="B294" s="4" t="s">
        <v>181</v>
      </c>
      <c r="C294" s="4"/>
      <c r="D294" s="17"/>
      <c r="E294" s="4" t="s">
        <v>317</v>
      </c>
      <c r="F294" s="19">
        <v>0</v>
      </c>
      <c r="G294" s="19">
        <f>F294</f>
        <v>0</v>
      </c>
      <c r="I294" s="46"/>
    </row>
    <row r="295" spans="1:9" s="33" customFormat="1" ht="49.5" customHeight="1">
      <c r="A295" s="18" t="s">
        <v>88</v>
      </c>
      <c r="B295" s="4" t="s">
        <v>89</v>
      </c>
      <c r="C295" s="4"/>
      <c r="D295" s="17"/>
      <c r="E295" s="4" t="s">
        <v>320</v>
      </c>
      <c r="F295" s="19">
        <v>0</v>
      </c>
      <c r="G295" s="19">
        <f>F295</f>
        <v>0</v>
      </c>
      <c r="I295" s="46"/>
    </row>
    <row r="296" spans="1:9" s="20" customFormat="1" ht="48" customHeight="1">
      <c r="A296" s="18" t="s">
        <v>98</v>
      </c>
      <c r="B296" s="4" t="s">
        <v>99</v>
      </c>
      <c r="C296" s="4" t="s">
        <v>320</v>
      </c>
      <c r="D296" s="17">
        <v>0</v>
      </c>
      <c r="E296" s="4" t="s">
        <v>320</v>
      </c>
      <c r="F296" s="19">
        <v>0</v>
      </c>
      <c r="G296" s="19">
        <f>D296+F296</f>
        <v>0</v>
      </c>
      <c r="I296" s="46"/>
    </row>
    <row r="297" spans="1:9" s="20" customFormat="1" ht="100.5" customHeight="1">
      <c r="A297" s="18" t="s">
        <v>75</v>
      </c>
      <c r="B297" s="4" t="s">
        <v>239</v>
      </c>
      <c r="C297" s="4"/>
      <c r="D297" s="17"/>
      <c r="E297" s="4" t="s">
        <v>330</v>
      </c>
      <c r="F297" s="19">
        <v>0</v>
      </c>
      <c r="G297" s="19">
        <f>F297</f>
        <v>0</v>
      </c>
      <c r="I297" s="46"/>
    </row>
    <row r="298" spans="1:9" s="20" customFormat="1" ht="47.25">
      <c r="A298" s="424" t="s">
        <v>81</v>
      </c>
      <c r="B298" s="423" t="s">
        <v>96</v>
      </c>
      <c r="C298" s="4" t="s">
        <v>271</v>
      </c>
      <c r="D298" s="17">
        <v>0</v>
      </c>
      <c r="E298" s="4"/>
      <c r="F298" s="9"/>
      <c r="G298" s="19">
        <f aca="true" t="shared" si="18" ref="G298:G304">D298</f>
        <v>0</v>
      </c>
      <c r="I298" s="46"/>
    </row>
    <row r="299" spans="1:9" s="20" customFormat="1" ht="30.75" customHeight="1" hidden="1">
      <c r="A299" s="424"/>
      <c r="B299" s="423"/>
      <c r="C299" s="4"/>
      <c r="D299" s="17"/>
      <c r="E299" s="4"/>
      <c r="F299" s="9"/>
      <c r="G299" s="19">
        <f t="shared" si="18"/>
        <v>0</v>
      </c>
      <c r="I299" s="46"/>
    </row>
    <row r="300" spans="1:9" s="20" customFormat="1" ht="63">
      <c r="A300" s="424"/>
      <c r="B300" s="423"/>
      <c r="C300" s="4" t="s">
        <v>275</v>
      </c>
      <c r="D300" s="17">
        <v>0</v>
      </c>
      <c r="E300" s="4"/>
      <c r="F300" s="9"/>
      <c r="G300" s="19">
        <f t="shared" si="18"/>
        <v>0</v>
      </c>
      <c r="I300" s="46"/>
    </row>
    <row r="301" spans="1:9" s="20" customFormat="1" ht="47.25">
      <c r="A301" s="424"/>
      <c r="B301" s="423"/>
      <c r="C301" s="4" t="s">
        <v>280</v>
      </c>
      <c r="D301" s="17">
        <v>0</v>
      </c>
      <c r="E301" s="4"/>
      <c r="F301" s="9"/>
      <c r="G301" s="19">
        <f t="shared" si="18"/>
        <v>0</v>
      </c>
      <c r="I301" s="46"/>
    </row>
    <row r="302" spans="1:9" s="20" customFormat="1" ht="63">
      <c r="A302" s="424"/>
      <c r="B302" s="423"/>
      <c r="C302" s="4" t="s">
        <v>323</v>
      </c>
      <c r="D302" s="17">
        <v>0</v>
      </c>
      <c r="E302" s="4"/>
      <c r="F302" s="9"/>
      <c r="G302" s="19">
        <f t="shared" si="18"/>
        <v>0</v>
      </c>
      <c r="I302" s="46"/>
    </row>
    <row r="303" spans="1:9" s="20" customFormat="1" ht="47.25">
      <c r="A303" s="424"/>
      <c r="B303" s="423"/>
      <c r="C303" s="4" t="s">
        <v>320</v>
      </c>
      <c r="D303" s="17">
        <v>0</v>
      </c>
      <c r="E303" s="4"/>
      <c r="F303" s="9"/>
      <c r="G303" s="19">
        <f t="shared" si="18"/>
        <v>0</v>
      </c>
      <c r="I303" s="46"/>
    </row>
    <row r="304" spans="1:9" s="20" customFormat="1" ht="69" customHeight="1">
      <c r="A304" s="424"/>
      <c r="B304" s="423"/>
      <c r="C304" s="4" t="s">
        <v>332</v>
      </c>
      <c r="D304" s="17">
        <v>0</v>
      </c>
      <c r="E304" s="4"/>
      <c r="F304" s="9"/>
      <c r="G304" s="19">
        <f t="shared" si="18"/>
        <v>0</v>
      </c>
      <c r="I304" s="46"/>
    </row>
    <row r="305" spans="1:9" s="20" customFormat="1" ht="46.5" customHeight="1">
      <c r="A305" s="22" t="s">
        <v>155</v>
      </c>
      <c r="B305" s="23" t="s">
        <v>52</v>
      </c>
      <c r="C305" s="4"/>
      <c r="D305" s="24">
        <f>D306+D308+D309+D311+D312+D314+D315+D316</f>
        <v>0</v>
      </c>
      <c r="E305" s="4"/>
      <c r="F305" s="24">
        <f>F307</f>
        <v>0</v>
      </c>
      <c r="G305" s="24">
        <f>D305+F305</f>
        <v>0</v>
      </c>
      <c r="H305" s="47"/>
      <c r="I305" s="46"/>
    </row>
    <row r="306" spans="1:9" s="20" customFormat="1" ht="67.5" customHeight="1">
      <c r="A306" s="424" t="s">
        <v>180</v>
      </c>
      <c r="B306" s="423" t="s">
        <v>181</v>
      </c>
      <c r="C306" s="4" t="s">
        <v>332</v>
      </c>
      <c r="D306" s="17">
        <v>0</v>
      </c>
      <c r="E306" s="4"/>
      <c r="F306" s="24"/>
      <c r="G306" s="19">
        <f>D306</f>
        <v>0</v>
      </c>
      <c r="H306" s="47"/>
      <c r="I306" s="46"/>
    </row>
    <row r="307" spans="1:9" s="20" customFormat="1" ht="64.5" customHeight="1">
      <c r="A307" s="424"/>
      <c r="B307" s="423"/>
      <c r="C307" s="4"/>
      <c r="D307" s="17"/>
      <c r="E307" s="4" t="s">
        <v>317</v>
      </c>
      <c r="F307" s="19">
        <v>0</v>
      </c>
      <c r="G307" s="19">
        <f>F307</f>
        <v>0</v>
      </c>
      <c r="I307" s="46"/>
    </row>
    <row r="308" spans="1:9" s="20" customFormat="1" ht="45.75" customHeight="1">
      <c r="A308" s="18" t="s">
        <v>98</v>
      </c>
      <c r="B308" s="4" t="s">
        <v>99</v>
      </c>
      <c r="C308" s="4" t="s">
        <v>320</v>
      </c>
      <c r="D308" s="17">
        <v>0</v>
      </c>
      <c r="E308" s="4"/>
      <c r="F308" s="19"/>
      <c r="G308" s="19">
        <f>D308</f>
        <v>0</v>
      </c>
      <c r="I308" s="46"/>
    </row>
    <row r="309" spans="1:9" s="20" customFormat="1" ht="47.25">
      <c r="A309" s="424" t="s">
        <v>81</v>
      </c>
      <c r="B309" s="423" t="s">
        <v>96</v>
      </c>
      <c r="C309" s="4" t="s">
        <v>271</v>
      </c>
      <c r="D309" s="17">
        <v>0</v>
      </c>
      <c r="E309" s="4"/>
      <c r="F309" s="9"/>
      <c r="G309" s="19">
        <f aca="true" t="shared" si="19" ref="G309:G316">D309</f>
        <v>0</v>
      </c>
      <c r="I309" s="46"/>
    </row>
    <row r="310" spans="1:9" s="20" customFormat="1" ht="15.75" customHeight="1" hidden="1">
      <c r="A310" s="424"/>
      <c r="B310" s="423"/>
      <c r="C310" s="4"/>
      <c r="D310" s="17"/>
      <c r="E310" s="4"/>
      <c r="F310" s="19">
        <v>0</v>
      </c>
      <c r="G310" s="19">
        <f t="shared" si="19"/>
        <v>0</v>
      </c>
      <c r="I310" s="46"/>
    </row>
    <row r="311" spans="1:9" s="20" customFormat="1" ht="63">
      <c r="A311" s="424"/>
      <c r="B311" s="423"/>
      <c r="C311" s="4" t="s">
        <v>275</v>
      </c>
      <c r="D311" s="17">
        <v>0</v>
      </c>
      <c r="E311" s="4"/>
      <c r="F311" s="9"/>
      <c r="G311" s="19">
        <f t="shared" si="19"/>
        <v>0</v>
      </c>
      <c r="I311" s="46"/>
    </row>
    <row r="312" spans="1:9" s="20" customFormat="1" ht="47.25">
      <c r="A312" s="424"/>
      <c r="B312" s="423"/>
      <c r="C312" s="4" t="s">
        <v>280</v>
      </c>
      <c r="D312" s="17">
        <v>0</v>
      </c>
      <c r="E312" s="4"/>
      <c r="F312" s="9"/>
      <c r="G312" s="19">
        <f t="shared" si="19"/>
        <v>0</v>
      </c>
      <c r="I312" s="46"/>
    </row>
    <row r="313" spans="1:9" s="20" customFormat="1" ht="24.75" customHeight="1" hidden="1">
      <c r="A313" s="424"/>
      <c r="B313" s="423"/>
      <c r="C313" s="4"/>
      <c r="D313" s="5"/>
      <c r="E313" s="4"/>
      <c r="F313" s="9"/>
      <c r="G313" s="19">
        <f t="shared" si="19"/>
        <v>0</v>
      </c>
      <c r="I313" s="46"/>
    </row>
    <row r="314" spans="1:9" s="20" customFormat="1" ht="63">
      <c r="A314" s="424"/>
      <c r="B314" s="423"/>
      <c r="C314" s="4" t="s">
        <v>323</v>
      </c>
      <c r="D314" s="17">
        <v>0</v>
      </c>
      <c r="E314" s="4"/>
      <c r="F314" s="9"/>
      <c r="G314" s="19">
        <f t="shared" si="19"/>
        <v>0</v>
      </c>
      <c r="I314" s="46"/>
    </row>
    <row r="315" spans="1:9" s="20" customFormat="1" ht="47.25">
      <c r="A315" s="424"/>
      <c r="B315" s="423"/>
      <c r="C315" s="4" t="s">
        <v>320</v>
      </c>
      <c r="D315" s="17">
        <v>0</v>
      </c>
      <c r="E315" s="4"/>
      <c r="F315" s="9"/>
      <c r="G315" s="19">
        <f t="shared" si="19"/>
        <v>0</v>
      </c>
      <c r="I315" s="46"/>
    </row>
    <row r="316" spans="1:9" s="20" customFormat="1" ht="68.25" customHeight="1">
      <c r="A316" s="424"/>
      <c r="B316" s="423"/>
      <c r="C316" s="4" t="s">
        <v>332</v>
      </c>
      <c r="D316" s="17">
        <v>0</v>
      </c>
      <c r="E316" s="4"/>
      <c r="F316" s="9"/>
      <c r="G316" s="19">
        <f t="shared" si="19"/>
        <v>0</v>
      </c>
      <c r="I316" s="46"/>
    </row>
    <row r="317" spans="1:11" s="34" customFormat="1" ht="15.75">
      <c r="A317" s="23"/>
      <c r="B317" s="23" t="s">
        <v>70</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36" t="s">
        <v>215</v>
      </c>
      <c r="B319" s="436"/>
      <c r="C319" s="66"/>
      <c r="D319" s="67"/>
      <c r="E319" s="54"/>
      <c r="F319" s="57" t="s">
        <v>216</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2016-09-30T06:28:38Z</cp:lastPrinted>
  <dcterms:created xsi:type="dcterms:W3CDTF">1996-10-08T23:32:33Z</dcterms:created>
  <dcterms:modified xsi:type="dcterms:W3CDTF">2016-10-07T08:39:17Z</dcterms:modified>
  <cp:category/>
  <cp:version/>
  <cp:contentType/>
  <cp:contentStatus/>
</cp:coreProperties>
</file>