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1'!$A$1:$H$396</definedName>
    <definedName name="_xlnm.Print_Area" localSheetId="1">'додаток 2'!$A$1:$E$24</definedName>
    <definedName name="_xlnm.Print_Area" localSheetId="2">'Додаток 3'!$A$1:$G$407</definedName>
  </definedNames>
  <calcPr fullCalcOnLoad="1"/>
</workbook>
</file>

<file path=xl/sharedStrings.xml><?xml version="1.0" encoding="utf-8"?>
<sst xmlns="http://schemas.openxmlformats.org/spreadsheetml/2006/main" count="1279" uniqueCount="392">
  <si>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</si>
  <si>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</si>
  <si>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</si>
  <si>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</si>
  <si>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</si>
  <si>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</si>
  <si>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</si>
  <si>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</si>
  <si>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</si>
  <si>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</si>
  <si>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</si>
  <si>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</si>
  <si>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</si>
  <si>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</si>
  <si>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</si>
  <si>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</si>
  <si>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</si>
  <si>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</si>
  <si>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</si>
  <si>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</si>
  <si>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</si>
  <si>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</si>
  <si>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</si>
  <si>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</si>
  <si>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</si>
  <si>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</si>
  <si>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</si>
  <si>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</si>
  <si>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</si>
  <si>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</si>
  <si>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</si>
  <si>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</si>
  <si>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</si>
  <si>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</si>
  <si>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</si>
  <si>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</si>
  <si>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</si>
  <si>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</si>
  <si>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</si>
  <si>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</si>
  <si>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</si>
  <si>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</si>
  <si>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</si>
  <si>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</si>
  <si>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</si>
  <si>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</si>
  <si>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</si>
  <si>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</si>
  <si>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</si>
  <si>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</si>
  <si>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</si>
  <si>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</si>
  <si>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</si>
  <si>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</si>
  <si>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</si>
  <si>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</si>
  <si>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</si>
  <si>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</si>
  <si>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</si>
  <si>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</si>
  <si>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</si>
  <si>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</si>
  <si>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</si>
  <si>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</si>
  <si>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</si>
  <si>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</si>
  <si>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</si>
  <si>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</si>
  <si>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</si>
  <si>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</si>
  <si>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</si>
  <si>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</si>
  <si>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</si>
  <si>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</si>
  <si>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</si>
  <si>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</si>
  <si>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</si>
  <si>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</si>
  <si>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</si>
  <si>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</si>
  <si>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</si>
  <si>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</si>
  <si>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</si>
  <si>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</si>
  <si>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</si>
  <si>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</si>
  <si>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</si>
  <si>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</si>
  <si>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</si>
  <si>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</si>
  <si>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</si>
  <si>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</si>
  <si>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</si>
  <si>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</si>
  <si>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</si>
  <si>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</si>
  <si>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</si>
  <si>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</si>
  <si>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</si>
  <si>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</si>
  <si>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</si>
  <si>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перевезення безпечних відходів</t>
  </si>
  <si>
    <t>збирання безпечних відходів (очищення території від сміття)</t>
  </si>
  <si>
    <t>забезпечення  проектування, будівництва та реконструкції об'єктів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</si>
  <si>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</si>
  <si>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</si>
  <si>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</si>
  <si>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</si>
  <si>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</si>
  <si>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</si>
  <si>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</si>
  <si>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</si>
  <si>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</si>
  <si>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</si>
  <si>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</si>
  <si>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</si>
  <si>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технічне обслуговування засобів регулювання дорожнього руху</t>
  </si>
  <si>
    <t>установка дорожніх знаків</t>
  </si>
  <si>
    <t>поховання померлих почесних громадян міста</t>
  </si>
  <si>
    <t>обрізка та ліквідація сухих, аварійно-небезпечних дерев</t>
  </si>
  <si>
    <t>встановлення малих архітектурних форм</t>
  </si>
  <si>
    <t>інвентаризація та паспортизація вулиць</t>
  </si>
  <si>
    <t>км.</t>
  </si>
  <si>
    <t>догляд за зеленими насадженнями, в тому числі покіс трав</t>
  </si>
  <si>
    <t>відновлення дорожньої розмітки</t>
  </si>
  <si>
    <t>косіння трави</t>
  </si>
  <si>
    <t>паспортизація доріг</t>
  </si>
  <si>
    <t>м.п.</t>
  </si>
  <si>
    <t>влаштування газонів</t>
  </si>
  <si>
    <t>посадка дерев</t>
  </si>
  <si>
    <t>нанесення дорожньої розмітки</t>
  </si>
  <si>
    <t>поточний ремонт об'єктів транспортної інфраструктури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</si>
  <si>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</si>
  <si>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</si>
  <si>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</si>
  <si>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</si>
  <si>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утримання та поточний ремонт пам'ятників</t>
  </si>
  <si>
    <t>Знесення споруд, встановлених з порушенням правил благоустрою, в тому числі:</t>
  </si>
  <si>
    <t>знесення тимчасових споруд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</si>
  <si>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</si>
  <si>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</si>
  <si>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</si>
  <si>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</si>
  <si>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</si>
  <si>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</si>
  <si>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</si>
  <si>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</si>
  <si>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</si>
  <si>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</si>
  <si>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</si>
  <si>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забезпечення  проектування, будівництва та реконструкції об'єктів транспортної інфраструктури</t>
  </si>
  <si>
    <t>встановлення малих архітектурних форм в парках та скверах</t>
  </si>
  <si>
    <t>паспортизація та експертна оцінка мостових переходів</t>
  </si>
  <si>
    <t>ЗАТВЕРДЖЕНО</t>
  </si>
  <si>
    <t>Рішення міської ради</t>
  </si>
  <si>
    <t>відсипка території</t>
  </si>
  <si>
    <t>в тому числі за рахунок власних надходжень</t>
  </si>
  <si>
    <t xml:space="preserve">в тому числі за рахунок власних надходжень </t>
  </si>
  <si>
    <t>видалення та обрізування  дерев</t>
  </si>
  <si>
    <t>утримання об"єкту понижених вод</t>
  </si>
  <si>
    <t>поточний ремонт доріг приватного сектору</t>
  </si>
  <si>
    <t>експлуатація та утримання мостів</t>
  </si>
  <si>
    <t>виготовлення та встановлення  малих архітектурних форм</t>
  </si>
  <si>
    <t>Елуад-1670, Символ-4203,895</t>
  </si>
  <si>
    <t>поточний ремонт та технічне обслуговування малих архітектурних форм парків та пляжів</t>
  </si>
  <si>
    <t>поточний ремонт колесо-відбійного брусу</t>
  </si>
  <si>
    <t>паспортизація мостових переходів</t>
  </si>
  <si>
    <t>экспертна оцінка скверів</t>
  </si>
  <si>
    <t>Р.О. Пидорич</t>
  </si>
  <si>
    <t>поточний ремонт шляхів та тротуарів</t>
  </si>
  <si>
    <t>виготовлення та встановлення малих  архітектурних форм- лав</t>
  </si>
  <si>
    <t>утримання та поточний ремонт об'єктів розташованих в парках та скверах</t>
  </si>
  <si>
    <t>утримання та поточний ремонт засобів регулювання дорожнього руху</t>
  </si>
  <si>
    <t>встановлення та заміна дорожніх знаків</t>
  </si>
  <si>
    <t>виготовлення та встановлення табличок</t>
  </si>
  <si>
    <t>збираня безпечних відходів</t>
  </si>
  <si>
    <t>Забезпечення утримання в належному стані об'єктів транспортного господарства, в тому числі:</t>
  </si>
  <si>
    <t>міс.</t>
  </si>
  <si>
    <t>га.</t>
  </si>
  <si>
    <t>поточний ремонт малих архітектурних форм</t>
  </si>
  <si>
    <t>поточний ремонт флагштоків</t>
  </si>
  <si>
    <t>встановлення флагштоків</t>
  </si>
  <si>
    <t>в т.ч. за рахунок власних надходжень</t>
  </si>
  <si>
    <t>монтаж збірних конструкцій з електроустаткуванням</t>
  </si>
  <si>
    <t>технічне обслуговування та встановлення дорожніх знаків</t>
  </si>
  <si>
    <t>Розробка схеми організації дорожнього руху на дорогах району</t>
  </si>
  <si>
    <t>розробка схеми організації дорожнього руху на дорогах району</t>
  </si>
  <si>
    <t>об'єктів</t>
  </si>
  <si>
    <t xml:space="preserve">обслуговування мобільних туалетних кабін </t>
  </si>
  <si>
    <t xml:space="preserve">обстеження та очищення акваторії пляжу </t>
  </si>
  <si>
    <t xml:space="preserve"> кв.м.</t>
  </si>
  <si>
    <t>експлуатація та утримання шляхів та тротуарів, у т.ч.:</t>
  </si>
  <si>
    <t>утримання тротуарів</t>
  </si>
  <si>
    <t>очищення доріг та тротуарів від снігу</t>
  </si>
  <si>
    <t>внески у статутні капітали комунальних  підприємств міста (придбання спеціальної техніки), в тому числі:</t>
  </si>
  <si>
    <t>внески у статутні капітали комунальних  підприємств міста (придбання спеціальної техніки)</t>
  </si>
  <si>
    <t>ЗМІНИ</t>
  </si>
  <si>
    <t>зМІНИ</t>
  </si>
  <si>
    <t xml:space="preserve">Демонтаж пам’ятника </t>
  </si>
  <si>
    <t>Демонтаж пам’ятника Серго Орджонікідзе в м.Запоріжжя</t>
  </si>
  <si>
    <t>Збереження та утримання на належному рівні незакріпленої зеленої зони населеного пункту, в тому числі:</t>
  </si>
  <si>
    <t>Збереження та утримання на належному рівні недоглянутої зеленої зони населеного пункту, в тому числі:</t>
  </si>
  <si>
    <t>догляд за газонами</t>
  </si>
  <si>
    <t>Збереження та утримання на належному рівні незакріпленої зеленої зони населеного пункту, в тому числі</t>
  </si>
  <si>
    <t>Збереження та утримання на належному рівні недоглянутої зеленої зони населеного пункту, в тому числі</t>
  </si>
  <si>
    <t>Забезпечення утримання в належному стані недоглянутих об"єктів дорожнього господарства, в тому числі</t>
  </si>
  <si>
    <t xml:space="preserve">експлуатація та утримання доріг та тротуарів </t>
  </si>
  <si>
    <t>Забезпечення утримання в належному стані недоглянутих об"єктів дорожнього господарства, в тому числі:</t>
  </si>
  <si>
    <t xml:space="preserve">демонтаж пам’ятника </t>
  </si>
  <si>
    <t>обрізка та видалення аварійних дерев</t>
  </si>
  <si>
    <t>Забезпечення утримання в належному стані недоглянутих  об'єктів дорожнього господарства,утримання доріг і тротуарів  в тому числі:</t>
  </si>
  <si>
    <t>утримання доріг (асфальтові,грунтові)</t>
  </si>
  <si>
    <t>прибирання зупинок</t>
  </si>
  <si>
    <t>Забезпечення утримання в належному стані недоглянутих  об'єктів дорожнього господарства,утримання доріг і тротуарів  в тому числі:числі:</t>
  </si>
  <si>
    <t>Збереження та утримання на належному рівні незакріпленої зеленої зони району та поліпшення її екологічних умов(зелені зони, пустирі, балки, стихійні звалища сміття), в тому числі:</t>
  </si>
  <si>
    <t>експлуатація та утримання доріг та тротуарів (весняно-літній та осінньо-зимовий період)</t>
  </si>
  <si>
    <t>Збереження та утримання на належному рівні не закріпленої зеленої зони району та поліпшення її екологічних умов (зелені зони, пустирі, балки, стихійні звалища сміття), в тому числі:</t>
  </si>
  <si>
    <t>Збереження та утримання на належному рівні недоглянутої зеленої зони району та поліпшення її екологічних умов (зелені зони, пустирі, балки, стихійні звалища сміття), в тому числі:</t>
  </si>
  <si>
    <t xml:space="preserve">збирання безпечних відходів </t>
  </si>
  <si>
    <t>вивіз та захоронення твердих побутових відходів</t>
  </si>
  <si>
    <t>збирання безпечних відходів на закріплених територіях Хортицького району</t>
  </si>
  <si>
    <t>збирання безпечних відходів на теріторії парку, скверу Хортицького району</t>
  </si>
  <si>
    <t>послуги підприємств щодо перевезення безпечних відходів, вивіз та захоронення твердих побутових відходів</t>
  </si>
  <si>
    <t>експлуатація та утримання доріг та тротуарів (осінньо-зимове утримання доріг)</t>
  </si>
  <si>
    <t xml:space="preserve">Збереження та утримання на належному рівні не доглянутої зеленої зони району та поліпшення ії екологічних умов ( зелені зони, пустирі,балкі,  стіхійні звалища сміття)  у т.ч.                                                                                                              </t>
  </si>
  <si>
    <t>видалення  дерев</t>
  </si>
  <si>
    <t>утримання доріг та тротуарів</t>
  </si>
  <si>
    <t>утримання посадкових майданчиків зупинок громадського транспорту</t>
  </si>
  <si>
    <t xml:space="preserve">Забезпечення утримання в належному стані недоглянутих об"єктів  дороржнього господарства (доріг, тротуарів, зупинок) </t>
  </si>
  <si>
    <t xml:space="preserve">утримання тротуарів </t>
  </si>
  <si>
    <t>ліквідація  стихійних звалищ сміття</t>
  </si>
  <si>
    <t xml:space="preserve">Проведення заходів з демонтажу об'єктів монументального мистецтва  </t>
  </si>
  <si>
    <t xml:space="preserve"> демонтаж пам'ятника В.І.Леніну та відповідних елементів архітектурного комплексу                                                                </t>
  </si>
  <si>
    <t>благоустрій кварталу поховань загиблих невпізнаних воїнів АТО на Кушугумском кладовищі. Виготовлення та встановлення намогильних споруд</t>
  </si>
  <si>
    <t>Утримання тротуарів у зимовий період</t>
  </si>
  <si>
    <t>Утримання тротуарів у зимовий період:</t>
  </si>
  <si>
    <t>Благоустрій кварталу поховання невпізнаних воїнів АТО на Кушугумському кладовищі (відсипка дороги асфальтобетонною крихтою та улаштування  покриття кварталу із висівок гранітних )</t>
  </si>
  <si>
    <t>Збереження  та утримання на належному рівні незакріплених зелених зон населеного пункту та поліпшення екологічних умов (зелені зони, пустирі, балки…) в тому числі:</t>
  </si>
  <si>
    <t>Збереження  та утримання на належному рівні недоглянутих зелених зон населеного пункту та поліпшення екологічних умов (зелені зони, пустирі, балки…) в тому числі:</t>
  </si>
  <si>
    <t>Збереження та утримання на належному рівні недоглянутої зеленої зони району та поліпшення її екологічних умов(зелені зони, пустирі, балки, стихійні звалища сміття), в тому числі:</t>
  </si>
  <si>
    <t>Збереження  та утримання на належному рівні незакріпленої зеленої зони населеного пункту та поліпшення екологічних умов (зелені зони, пустирі, балки…) в тому числі:</t>
  </si>
  <si>
    <t>Збереження  та утримання на належному рівні недоглянутої зеленої зони населеного пункту та поліпшення екологічних умов (зелені зони, пустирі, балки…) в тому числі:</t>
  </si>
  <si>
    <t>Головний розпорядник бюджетних коштів - районна адміністрація Запорізької міської ради по  Шевченківському району</t>
  </si>
  <si>
    <t>зміни, додаток 3</t>
  </si>
  <si>
    <t xml:space="preserve">Збереження та утримання на належному рівні не закріпленої зеленої зони району та поліпшення ії екологічних умов  ( зелені зони, пустирі,балкі,  стіхійні звалища сміття)  у т.ч.                                                     </t>
  </si>
  <si>
    <t>Головний розпорядник бюджетних коштів -  районна адміністрація Запорізької міської ради по Комунарському району</t>
  </si>
  <si>
    <t>Головний розпорядник бюджетних коштів -  районна адміністрація Запорізької міської ради по Хортицькому району</t>
  </si>
  <si>
    <t xml:space="preserve">утримання доріг </t>
  </si>
  <si>
    <t>Забезпечення утримання в належному технічному стані не доглянутих об'єктів  дорожнього господарства                                      ( утримання доріг, тротуарів, зупинок) у т.ч.</t>
  </si>
  <si>
    <t>зафарбування графіті» на послуги з видалення несанкціонованих надписів типу «графіті на об'єктах благоустрою</t>
  </si>
  <si>
    <t>Комунальне підриємство "Титан"</t>
  </si>
  <si>
    <t xml:space="preserve">Комунальне ремонтно-будівельне підприємство "Зеленбуд" </t>
  </si>
  <si>
    <t xml:space="preserve">демонтаж пам'ятника В.І.Леніну та відповідних елементів архітектурного комплексу                                                                </t>
  </si>
  <si>
    <t>встановлення малих архітектурних форм, в тому числі:</t>
  </si>
  <si>
    <t>встановлення урн</t>
  </si>
  <si>
    <t>встановлення лавок</t>
  </si>
  <si>
    <t>обрізка та ліквідація, аварійно-небезпечних дерев</t>
  </si>
  <si>
    <t xml:space="preserve">збирання безпечних відходів непридатних для вторинного використовування </t>
  </si>
  <si>
    <t xml:space="preserve">послуги підприємств щодо перевезення безпечних відходів </t>
  </si>
  <si>
    <t>Проведення технічної інвентаризації, паспортизації, незалежної грошової оцінки об'єктів благоустрою, в тому числі:</t>
  </si>
  <si>
    <t>проведення незалежної грошової оцінки автомобільних доріг та мостових переходів</t>
  </si>
  <si>
    <t>Забезпечення утримання в належному стані недоглянутих об"єктів дорожнього господарства</t>
  </si>
  <si>
    <t>догляд за зеленими насадженнями в тому числі покіс трав</t>
  </si>
  <si>
    <t>Забезпечення утримання в належному стані недоглянутих об'єктів  дорожнього господарства, в тому числі</t>
  </si>
  <si>
    <t>Забезпечення утримання в належному стані недоглянутих об'єктів дорожнього господарства, в тому числі</t>
  </si>
  <si>
    <t xml:space="preserve">Збереження та утримання на належному рівні не доглянутої зеленої зони району та поліпшення ії екологічних умов  ( зелені зони, пустирі,балкі,  стіхійні звалища сміття)  у т.ч.                                                                                                              </t>
  </si>
  <si>
    <t>Забезпечення утримання в належному технічному стані не закріплених об'єктів  дорожнього господарства  ( утримання доріг, тротуарів, зупинок) у т.ч.</t>
  </si>
  <si>
    <t>утримання об'єкту понижених вод</t>
  </si>
  <si>
    <t>послуги з видалення несанкціонованих надписів типу "графіті" на об'єктах благоустрою</t>
  </si>
  <si>
    <t>власні</t>
  </si>
  <si>
    <t>збирання  безпечних відходів</t>
  </si>
  <si>
    <t>догляд за зеленими насадженнями в т.ч. покіс трав</t>
  </si>
  <si>
    <t>догляд за зеленими насадженнями в т.ч покіс покіс трав</t>
  </si>
  <si>
    <t>в тому числі за рахунок надходжень до спеціального фонду бюджету міста</t>
  </si>
  <si>
    <t xml:space="preserve">районна адміністрація Запорізької міської ради по Вознесенівському району </t>
  </si>
  <si>
    <t>районна адміністрація Запорізької міської ради по Вознесенівському району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</si>
  <si>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</si>
  <si>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</si>
  <si>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</si>
  <si>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 xml:space="preserve">Головний розпорядник бюджетних коштів - районна адміністрація Запорізької міської ради по Олександрівському району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</si>
  <si>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</si>
  <si>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</si>
  <si>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 xml:space="preserve">поточний ремонт тротуарів </t>
  </si>
  <si>
    <t xml:space="preserve">водопостачання та каналізування семи модульних туалетних кабін </t>
  </si>
  <si>
    <t>встановлення (підключення) семи модульних туалетних кабінок</t>
  </si>
  <si>
    <t>благоустрій майданчика під пам'ятні знаки "Запорізьким захисникам  України" в парку Металургів м.Запоріжжя</t>
  </si>
  <si>
    <t>департамент інфраструктури та благоустрою міста Запорізької міської ради</t>
  </si>
  <si>
    <t>Головний розпорядник бюджетних коштів - департамент інфраструктури та благоустрою міста Запорізької міської ради</t>
  </si>
  <si>
    <t>виконання робіт з виготовлення та встановлення на фасадах будівель міста меморіальних дошок загиблим запоріжцям- участникам АТО</t>
  </si>
  <si>
    <t>Реконструкція та капітальний ремонт об’єктів благоустрою, в тому числі:</t>
  </si>
  <si>
    <t>департамент фінансової та бюджетної політики Запорізької міської ради</t>
  </si>
  <si>
    <t>субвенція обласному бюджету на завершення робіт з реконструкції та капітального ремонту вулиць та доріг комунальної власності м. Запоріжжя, які у минулих роках фінансувались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</si>
  <si>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Головний розпорядник бюджетних коштів - департамент фінансової та бюджетної політики Запорізької міської ради</t>
  </si>
  <si>
    <t>тис.грн.</t>
  </si>
  <si>
    <t>підбір та захоронення мертвих тварин</t>
  </si>
  <si>
    <t>з виконання Програми розвитку інфраструктури та комплексного благоустрою міста Запоріжжя на 2016-2018 роки</t>
  </si>
  <si>
    <t>Програми розвитку  інфраструктури  та комплексного благоустрою міста Запоріжжя на 2016-2018 роки</t>
  </si>
  <si>
    <t>виконання Програми розвитку інфраструктури  та комплексного благоустрою міста Запоріжжя на 2016-2018 роки</t>
  </si>
  <si>
    <t>встановлення обладнання (елементів) дитячих, спортивних майданчиків</t>
  </si>
  <si>
    <t>утримання та поточний ремонт засобів регулювання дорожнього руху (світлофорних об'єктів)</t>
  </si>
  <si>
    <t>придбання персонального комп'ютеру</t>
  </si>
  <si>
    <t>придбання багатофункціонального пристрою А-3</t>
  </si>
  <si>
    <t xml:space="preserve">придбання багатофункціонального пристрою </t>
  </si>
  <si>
    <t>капітальний ремонт приміщень за адресою пр. Соборний, 214</t>
  </si>
  <si>
    <t>Керівництво і управління у сфері комунального господарства</t>
  </si>
  <si>
    <t>Придбання обладнання та предметів довгострокового користування</t>
  </si>
  <si>
    <t xml:space="preserve">Капітальний ремонт житлових будівель та приміщень </t>
  </si>
  <si>
    <t>Комунальне підприємство електромереж зовнішнього освітлення "Запоріжміськсвітло"</t>
  </si>
  <si>
    <t>капітальний ремонт інформаційного стенду "Декоративний  в’їздний знак в  м. Запоріжжя" на ділянці  автомобільної дороги, яка  роз’єднує автодорогу Н-08 Бориспіль- Дніпропетровськ- Запоріжжя  (через Кременчук) та автодорогу по вул. Тиражній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</si>
  <si>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</si>
  <si>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</si>
  <si>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 xml:space="preserve">поповнення обігових коштів комунального підприємства для придбання контейнерів </t>
  </si>
  <si>
    <t>ліквідація засміченості зливового колектора</t>
  </si>
  <si>
    <t>Утримання в належному стані об'єктів, задіяних в прийомі поверхневого стоку в дощову каналізацію (очисних споруд, насосних станцій, відкритих колекторів), в тому числі:</t>
  </si>
  <si>
    <t>промивка вуличної зливової каналізації</t>
  </si>
  <si>
    <t>технічне обслуговування, поточний ремонт та встановлення засобів регулювання дорожнього руху</t>
  </si>
  <si>
    <t>м/п</t>
  </si>
  <si>
    <t>технічне обслуговування поточний ремонт та встановлення засобів регулювання дорожнього руху</t>
  </si>
  <si>
    <t xml:space="preserve">Головний розпорядник бюджетних коштів - районна адміністрація Запорізької міської ради по Заводському району </t>
  </si>
  <si>
    <t xml:space="preserve">Благоустрій міста та розвиток інфраструктури </t>
  </si>
  <si>
    <t>ДІБ 150101</t>
  </si>
  <si>
    <t>ДІБ 100203</t>
  </si>
  <si>
    <t xml:space="preserve"> Утримання в належному стані об'єктів, задіяних в прийомі поверхневого стоку в дощову каналізацію </t>
  </si>
  <si>
    <t>промивка зливової системи</t>
  </si>
  <si>
    <t>бюджет розвитку</t>
  </si>
  <si>
    <t>Утримання в належному стані об'єктів, задіяних в прийомі поверхневого стоку в дощову каналізацію</t>
  </si>
  <si>
    <t xml:space="preserve">поточний ремонт засобів регулювання дорожнього руху </t>
  </si>
  <si>
    <t>Забезпечення утримання в належному технічному стані об'єктів дорожнього господарства</t>
  </si>
  <si>
    <t>очищення і промивка мережі зливової каналізації</t>
  </si>
  <si>
    <t>районня адміністрація Запорізької міської рди по Дніпровському району</t>
  </si>
  <si>
    <t>поточний ремонт шляхопроводу</t>
  </si>
  <si>
    <t xml:space="preserve">очищення і промивка мережі зливової каналізації </t>
  </si>
  <si>
    <t>промивка зливових каналізацій</t>
  </si>
  <si>
    <t>очищення зливових каналізацій</t>
  </si>
  <si>
    <t>встановлення обладнання (елементів) спортивних майданчиків</t>
  </si>
  <si>
    <t>встановлення обладнання (елементів) дитячих майданчиків</t>
  </si>
  <si>
    <t xml:space="preserve">поточний ремонт павільйонів очікування  </t>
  </si>
  <si>
    <t>поточний ремонт павільонів очікування</t>
  </si>
  <si>
    <t>од</t>
  </si>
  <si>
    <t xml:space="preserve">Забезпечення утримання в належному стані об'єктів, задіяних в прийомі поверхневого стоку в дощову каналізацію (очисних споруд, насосних станцій, відкритих колекторів) </t>
  </si>
  <si>
    <t>капітальний ремонт тротуару, майдану</t>
  </si>
  <si>
    <t xml:space="preserve">забезпечення  проектування, будівництва та реконструкції об'єктів </t>
  </si>
  <si>
    <t>придбання комп'ютерної техніки та інших предметів довгострокового користування</t>
  </si>
  <si>
    <t xml:space="preserve">очистка днища акваторії пляжів </t>
  </si>
  <si>
    <t>встановлення урн, лав</t>
  </si>
  <si>
    <t>встановлення павільйонів очікування</t>
  </si>
  <si>
    <t>утримання тротуарів у зимовий період</t>
  </si>
  <si>
    <t>промивка ливневої каналізацї</t>
  </si>
  <si>
    <t>встановлення звукових пристроїв супроводу на регулюваних пішохідних переходах</t>
  </si>
  <si>
    <t>в т.ч.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</si>
  <si>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в т.ч. за рахунок коштів субвенції 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</si>
  <si>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громадського туалету</t>
  </si>
  <si>
    <t xml:space="preserve">Комунальне підприємство "Запорізька ритуальна служба"
</t>
  </si>
  <si>
    <t>заходи з ліквідації карантинних рослин</t>
  </si>
  <si>
    <t>проведення робіт з інженерно-геодезичних вишукувань по об'єктам благоустрою</t>
  </si>
  <si>
    <t>капітальний ремонт об'єкту благуострою</t>
  </si>
  <si>
    <t>капітальний ремонт об’єктів благоустрою</t>
  </si>
  <si>
    <t>КП "Комбінат комунальних підприємств Жовтневого району"</t>
  </si>
  <si>
    <t>капітальний ремонт (тротуарів, майдану)</t>
  </si>
  <si>
    <t xml:space="preserve">догляд за зеленими насадженнями в т.ч. </t>
  </si>
  <si>
    <t>покіс трав</t>
  </si>
  <si>
    <t>ліквідація карантинних рослин</t>
  </si>
  <si>
    <t>п.м</t>
  </si>
  <si>
    <t xml:space="preserve">в т.ч. за рахунок іншої субвенції </t>
  </si>
  <si>
    <t>нанесення та відновлення  дорожньої розмітки</t>
  </si>
  <si>
    <t>До Програми розвитку інфраструктури та комплексного благоустрою міста Запоріжжя на 2016-2018 роки</t>
  </si>
  <si>
    <t>Додаток 1</t>
  </si>
  <si>
    <t>Додаток 2</t>
  </si>
  <si>
    <t>Забезпечення утримання в належному технічному стані не доглянутих об'єктів  дорожнього господарства(утримання доріг, тротуарів, зупинок) у т.ч.</t>
  </si>
  <si>
    <t>Забезпечення утримання в належному технічному стані незакріплених об'єктів  дорожнього господарства(утримання доріг, тротуарів, зупинок) у т.ч.</t>
  </si>
  <si>
    <t>встановлення (підключення)  модульних туалетних кабінок</t>
  </si>
  <si>
    <t xml:space="preserve"> </t>
  </si>
  <si>
    <t>відновлення та нанесення дорожньої розмітки</t>
  </si>
  <si>
    <t>встановлення урн, лав, павільонів очікування</t>
  </si>
  <si>
    <t>поповнення обігових коштів комунального підприємства для придбання інвентарю</t>
  </si>
  <si>
    <t xml:space="preserve">                              Р.О. Пидорич</t>
  </si>
  <si>
    <t>поповнення обігових коштів комунального підприємства для придбання програмного забезпечення</t>
  </si>
  <si>
    <t>Інші кошти</t>
  </si>
  <si>
    <t>Поповнення обігових коштів для забезпечення стабільної роботи підприємства</t>
  </si>
  <si>
    <t>Комунальне підприємство "Експлуатаційне лінійне управління автомобільних шляхів" на придбання спецтехніки - 77 190,028 тис.грн.,з якої: 72 011,414 тис.грн. - видатки на поповнення статутного капіталу; 5 178,614 тис.грн. - видатки, на які статутний капітал було збільшено у 2015 році відповідно до розпорядження міського голови від 25.05.2015 №34р "Про затвердження змін до четвертої редакції статуту КП "ЕЛУАШ"</t>
  </si>
  <si>
    <t>обрізування та звалювання дерев</t>
  </si>
  <si>
    <t>поточний ремонт навісів на зупинках громадського транспорту</t>
  </si>
  <si>
    <t>експлуатація та утримання доріг</t>
  </si>
  <si>
    <t xml:space="preserve">поточний ремонт навісів на зупинках громадського транспорту </t>
  </si>
  <si>
    <t>улаштування посадкових майданчиків на зупинках громадського транспорту з установленням навісу</t>
  </si>
  <si>
    <t xml:space="preserve">Забезпечення утримання в належному стані недоглянутих об'єктів  дороржнього господарства (доріг, тротуарів, зупинок) </t>
  </si>
  <si>
    <t>Збереження та утримання на належному рівні недоглянутих та незакріплених територій району та поліпшення їх екологічних умов, в тому числі:</t>
  </si>
  <si>
    <t>збір випадкового сміття</t>
  </si>
  <si>
    <t>перевезення, навантаження та захоронення сміття</t>
  </si>
  <si>
    <t>улаштування посадкових майданчиків на зупинках громадського транспорту з улаштуванням навісу</t>
  </si>
  <si>
    <t>Визнання поворотної фінансової допомоги, наданої комунальному підприємству «Титан» комунальним підприємством «Запорізьке міське інвестиційне агентство» на виконання рішення виконавчого комітету міської ради від 08.12.2015 №517 «Про заходи щодо підготовки до новорічних та різдвяних свят» у розмірі 248,622 (двісті сорок вісім тисяч шістсот двадцять дві грн.), безповоротною.</t>
  </si>
  <si>
    <t>26.10.2016 №29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</si>
</sst>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0.000"/>
    <numFmt numFmtId="178" formatCode="0.0"/>
    <numFmt numFmtId="179" formatCode="#,##0.0"/>
    <numFmt numFmtId="180" formatCode="0.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  <numFmt numFmtId="187" formatCode="#,##0.0_ ;\-#,##0.0\ "/>
    <numFmt numFmtId="188" formatCode="#,##0.000_ ;\-#,##0.000\ "/>
    <numFmt numFmtId="189" formatCode="#,##0.0000_ ;\-#,##0.0000\ 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6" fontId="2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76" fontId="2" fillId="0" borderId="17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77" fontId="1" fillId="0" borderId="0" xfId="0" applyNumberFormat="1" applyFont="1" applyFill="1" applyAlignment="1">
      <alignment horizontal="center" vertical="top" wrapText="1"/>
    </xf>
    <xf numFmtId="177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77" fontId="3" fillId="0" borderId="0" xfId="0" applyNumberFormat="1" applyFont="1" applyFill="1" applyAlignment="1">
      <alignment horizontal="center" vertical="top" wrapText="1"/>
    </xf>
    <xf numFmtId="177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76" fontId="1" fillId="0" borderId="0" xfId="0" applyNumberFormat="1" applyFont="1" applyFill="1" applyAlignment="1">
      <alignment vertical="top" wrapText="1"/>
    </xf>
    <xf numFmtId="176" fontId="1" fillId="0" borderId="0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Fill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76" fontId="2" fillId="0" borderId="0" xfId="0" applyNumberFormat="1" applyFont="1" applyFill="1" applyAlignment="1">
      <alignment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1" xfId="53" applyFont="1" applyFill="1" applyBorder="1" applyAlignment="1">
      <alignment vertical="top" wrapText="1"/>
      <protection/>
    </xf>
    <xf numFmtId="0" fontId="1" fillId="0" borderId="11" xfId="55" applyNumberFormat="1" applyFont="1" applyFill="1" applyBorder="1" applyAlignment="1">
      <alignment horizontal="left" vertical="top" wrapText="1"/>
      <protection/>
    </xf>
    <xf numFmtId="0" fontId="1" fillId="0" borderId="11" xfId="54" applyNumberFormat="1" applyFont="1" applyFill="1" applyBorder="1" applyAlignment="1">
      <alignment horizontal="left" vertical="top" wrapText="1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176" fontId="2" fillId="0" borderId="13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179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53" applyFont="1" applyFill="1" applyBorder="1" applyAlignment="1">
      <alignment vertical="justify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" fillId="0" borderId="11" xfId="53" applyNumberFormat="1" applyFont="1" applyFill="1" applyBorder="1" applyAlignment="1">
      <alignment horizontal="left" vertical="top" wrapText="1"/>
      <protection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9" fillId="0" borderId="11" xfId="53" applyFont="1" applyFill="1" applyBorder="1" applyAlignment="1">
      <alignment vertical="top" wrapText="1"/>
      <protection/>
    </xf>
    <xf numFmtId="0" fontId="1" fillId="0" borderId="20" xfId="0" applyFont="1" applyFill="1" applyBorder="1" applyAlignment="1">
      <alignment vertical="top" wrapText="1"/>
    </xf>
    <xf numFmtId="0" fontId="9" fillId="0" borderId="11" xfId="53" applyFont="1" applyFill="1" applyBorder="1" applyAlignment="1">
      <alignment horizontal="left" vertical="top" wrapText="1"/>
      <protection/>
    </xf>
    <xf numFmtId="178" fontId="3" fillId="0" borderId="11" xfId="0" applyNumberFormat="1" applyFont="1" applyFill="1" applyBorder="1" applyAlignment="1">
      <alignment horizontal="center" vertical="top" wrapText="1"/>
    </xf>
    <xf numFmtId="179" fontId="3" fillId="0" borderId="11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top" wrapText="1"/>
    </xf>
    <xf numFmtId="176" fontId="2" fillId="0" borderId="23" xfId="0" applyNumberFormat="1" applyFont="1" applyFill="1" applyBorder="1" applyAlignment="1">
      <alignment horizontal="center" vertical="top" wrapText="1"/>
    </xf>
    <xf numFmtId="176" fontId="1" fillId="0" borderId="2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176" fontId="18" fillId="0" borderId="0" xfId="0" applyNumberFormat="1" applyFont="1" applyFill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justify" wrapText="1"/>
    </xf>
    <xf numFmtId="176" fontId="8" fillId="0" borderId="16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6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vertical="center" wrapText="1"/>
    </xf>
    <xf numFmtId="176" fontId="1" fillId="0" borderId="11" xfId="53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top" wrapText="1"/>
    </xf>
    <xf numFmtId="1" fontId="16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distributed"/>
    </xf>
    <xf numFmtId="0" fontId="9" fillId="0" borderId="0" xfId="0" applyFont="1" applyFill="1" applyAlignment="1">
      <alignment horizontal="left" vertical="distributed"/>
    </xf>
    <xf numFmtId="0" fontId="1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5" fillId="0" borderId="16" xfId="53" applyFont="1" applyFill="1" applyBorder="1" applyAlignment="1">
      <alignment vertical="top" wrapText="1"/>
      <protection/>
    </xf>
    <xf numFmtId="0" fontId="15" fillId="0" borderId="26" xfId="53" applyFont="1" applyFill="1" applyBorder="1" applyAlignment="1">
      <alignment vertical="top" wrapText="1"/>
      <protection/>
    </xf>
    <xf numFmtId="0" fontId="0" fillId="0" borderId="17" xfId="53" applyFill="1" applyBorder="1" applyAlignment="1">
      <alignment vertical="top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79" fontId="1" fillId="0" borderId="16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justify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0" fillId="0" borderId="17" xfId="53" applyFont="1" applyFill="1" applyBorder="1" applyAlignment="1">
      <alignment vertical="top" wrapText="1"/>
      <protection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2"/>
  <sheetViews>
    <sheetView tabSelected="1" view="pageBreakPreview" zoomScaleNormal="75" zoomScaleSheetLayoutView="100" workbookViewId="0" topLeftCell="A1">
      <selection activeCell="F4" sqref="F4"/>
    </sheetView>
  </sheetViews>
  <sheetFormatPr defaultColWidth="9.140625" defaultRowHeight="12.75"/>
  <cols>
    <col min="1" max="1" width="25.57421875" style="56" customWidth="1"/>
    <col min="2" max="2" width="32.8515625" style="56" customWidth="1"/>
    <col min="3" max="3" width="22.7109375" style="53" customWidth="1"/>
    <col min="4" max="4" width="22.28125" style="53" customWidth="1"/>
    <col min="5" max="5" width="14.8515625" style="53" customWidth="1"/>
    <col min="6" max="6" width="16.8515625" style="53" customWidth="1"/>
    <col min="7" max="7" width="16.140625" style="53" customWidth="1"/>
    <col min="8" max="8" width="14.57421875" style="53" customWidth="1"/>
    <col min="9" max="9" width="13.8515625" style="53" customWidth="1"/>
    <col min="10" max="10" width="11.421875" style="56" bestFit="1" customWidth="1"/>
    <col min="11" max="11" width="10.28125" style="56" bestFit="1" customWidth="1"/>
    <col min="12" max="12" width="9.57421875" style="56" bestFit="1" customWidth="1"/>
    <col min="13" max="13" width="11.421875" style="56" bestFit="1" customWidth="1"/>
    <col min="14" max="16384" width="9.140625" style="56" customWidth="1"/>
  </cols>
  <sheetData>
    <row r="1" spans="3:8" ht="23.25">
      <c r="C1" s="25"/>
      <c r="D1" s="25"/>
      <c r="E1" s="25"/>
      <c r="F1" s="240" t="s">
        <v>153</v>
      </c>
      <c r="G1" s="240"/>
      <c r="H1" s="240"/>
    </row>
    <row r="2" spans="3:8" ht="23.25">
      <c r="C2" s="25"/>
      <c r="D2" s="25"/>
      <c r="E2" s="25"/>
      <c r="F2" s="240" t="s">
        <v>154</v>
      </c>
      <c r="G2" s="240"/>
      <c r="H2" s="240"/>
    </row>
    <row r="3" spans="3:8" ht="22.5">
      <c r="C3" s="25"/>
      <c r="D3" s="25"/>
      <c r="E3" s="25"/>
      <c r="F3" s="308" t="s">
        <v>391</v>
      </c>
      <c r="G3" s="308"/>
      <c r="H3" s="308"/>
    </row>
    <row r="4" spans="3:8" ht="23.25">
      <c r="C4" s="25"/>
      <c r="D4" s="25"/>
      <c r="E4" s="25"/>
      <c r="F4" s="168"/>
      <c r="G4" s="168"/>
      <c r="H4" s="168"/>
    </row>
    <row r="5" spans="3:9" s="4" customFormat="1" ht="25.5" customHeight="1">
      <c r="C5" s="25"/>
      <c r="D5" s="25"/>
      <c r="E5" s="25"/>
      <c r="F5" s="240" t="s">
        <v>366</v>
      </c>
      <c r="G5" s="240"/>
      <c r="H5" s="240"/>
      <c r="I5" s="25"/>
    </row>
    <row r="6" spans="3:9" s="4" customFormat="1" ht="141" customHeight="1">
      <c r="C6" s="8"/>
      <c r="D6" s="8"/>
      <c r="E6" s="8"/>
      <c r="F6" s="268" t="s">
        <v>365</v>
      </c>
      <c r="G6" s="268"/>
      <c r="H6" s="268"/>
      <c r="I6" s="25"/>
    </row>
    <row r="7" ht="12.75">
      <c r="M7" s="61"/>
    </row>
    <row r="8" spans="1:9" s="4" customFormat="1" ht="22.5">
      <c r="A8" s="241" t="s">
        <v>6</v>
      </c>
      <c r="B8" s="241"/>
      <c r="C8" s="241"/>
      <c r="D8" s="241"/>
      <c r="E8" s="241"/>
      <c r="F8" s="241"/>
      <c r="G8" s="241"/>
      <c r="H8" s="241"/>
      <c r="I8" s="25"/>
    </row>
    <row r="9" spans="1:8" s="4" customFormat="1" ht="20.25">
      <c r="A9" s="245" t="s">
        <v>295</v>
      </c>
      <c r="B9" s="245"/>
      <c r="C9" s="245"/>
      <c r="D9" s="245"/>
      <c r="E9" s="245"/>
      <c r="F9" s="245"/>
      <c r="G9" s="245"/>
      <c r="H9" s="245"/>
    </row>
    <row r="10" spans="1:8" s="4" customFormat="1" ht="9.75" customHeight="1">
      <c r="A10" s="26"/>
      <c r="B10" s="26"/>
      <c r="C10" s="26"/>
      <c r="D10" s="26"/>
      <c r="E10" s="26"/>
      <c r="F10" s="26"/>
      <c r="G10" s="26"/>
      <c r="H10" s="26"/>
    </row>
    <row r="12" spans="1:8" s="41" customFormat="1" ht="23.25" customHeight="1">
      <c r="A12" s="236" t="s">
        <v>0</v>
      </c>
      <c r="B12" s="236" t="s">
        <v>1</v>
      </c>
      <c r="C12" s="236" t="s">
        <v>2</v>
      </c>
      <c r="D12" s="236" t="s">
        <v>3</v>
      </c>
      <c r="E12" s="236" t="s">
        <v>87</v>
      </c>
      <c r="F12" s="236"/>
      <c r="G12" s="236"/>
      <c r="H12" s="236"/>
    </row>
    <row r="13" spans="1:8" s="41" customFormat="1" ht="23.25" customHeight="1">
      <c r="A13" s="236"/>
      <c r="B13" s="236"/>
      <c r="C13" s="236"/>
      <c r="D13" s="236"/>
      <c r="E13" s="236" t="s">
        <v>4</v>
      </c>
      <c r="F13" s="236" t="s">
        <v>5</v>
      </c>
      <c r="G13" s="236"/>
      <c r="H13" s="236"/>
    </row>
    <row r="14" spans="1:8" s="41" customFormat="1" ht="12.75">
      <c r="A14" s="236"/>
      <c r="B14" s="236"/>
      <c r="C14" s="236"/>
      <c r="D14" s="236"/>
      <c r="E14" s="236"/>
      <c r="F14" s="149">
        <v>2016</v>
      </c>
      <c r="G14" s="149">
        <v>2017</v>
      </c>
      <c r="H14" s="149">
        <v>2018</v>
      </c>
    </row>
    <row r="15" spans="1:8" s="41" customFormat="1" ht="12.75">
      <c r="A15" s="149">
        <v>1</v>
      </c>
      <c r="B15" s="149">
        <v>2</v>
      </c>
      <c r="C15" s="149">
        <v>3</v>
      </c>
      <c r="D15" s="149">
        <v>4</v>
      </c>
      <c r="E15" s="149">
        <v>5</v>
      </c>
      <c r="F15" s="149">
        <v>6</v>
      </c>
      <c r="G15" s="149">
        <v>7</v>
      </c>
      <c r="H15" s="149">
        <v>8</v>
      </c>
    </row>
    <row r="16" spans="1:8" s="41" customFormat="1" ht="12.75">
      <c r="A16" s="242" t="s">
        <v>304</v>
      </c>
      <c r="B16" s="243"/>
      <c r="C16" s="243"/>
      <c r="D16" s="243"/>
      <c r="E16" s="243"/>
      <c r="F16" s="243"/>
      <c r="G16" s="243"/>
      <c r="H16" s="244"/>
    </row>
    <row r="17" spans="1:8" s="41" customFormat="1" ht="12.75">
      <c r="A17" s="34"/>
      <c r="B17" s="155"/>
      <c r="C17" s="35"/>
      <c r="D17" s="35"/>
      <c r="E17" s="155"/>
      <c r="F17" s="155"/>
      <c r="G17" s="155"/>
      <c r="H17" s="156"/>
    </row>
    <row r="18" spans="1:8" s="41" customFormat="1" ht="12.75">
      <c r="A18" s="222" t="s">
        <v>305</v>
      </c>
      <c r="B18" s="159"/>
      <c r="C18" s="236" t="s">
        <v>286</v>
      </c>
      <c r="D18" s="236" t="s">
        <v>17</v>
      </c>
      <c r="E18" s="39">
        <f>E19+E20</f>
        <v>2354.523</v>
      </c>
      <c r="F18" s="40">
        <f>F19+F20</f>
        <v>2354.523</v>
      </c>
      <c r="G18" s="40">
        <f>G19+G20</f>
        <v>0</v>
      </c>
      <c r="H18" s="40">
        <f>H19+H20</f>
        <v>0</v>
      </c>
    </row>
    <row r="19" spans="1:8" s="41" customFormat="1" ht="42.75" customHeight="1">
      <c r="A19" s="222"/>
      <c r="B19" s="133" t="s">
        <v>342</v>
      </c>
      <c r="C19" s="236"/>
      <c r="D19" s="236"/>
      <c r="E19" s="42">
        <f>F19</f>
        <v>477.896</v>
      </c>
      <c r="F19" s="43">
        <v>477.896</v>
      </c>
      <c r="G19" s="43">
        <v>0</v>
      </c>
      <c r="H19" s="43">
        <v>0</v>
      </c>
    </row>
    <row r="20" spans="1:8" s="41" customFormat="1" ht="31.5" customHeight="1">
      <c r="A20" s="132"/>
      <c r="B20" s="44" t="s">
        <v>303</v>
      </c>
      <c r="C20" s="236"/>
      <c r="D20" s="236"/>
      <c r="E20" s="42">
        <f>F20+G20+H20</f>
        <v>1876.6270000000002</v>
      </c>
      <c r="F20" s="43">
        <f>1866.449+10.178</f>
        <v>1876.6270000000002</v>
      </c>
      <c r="G20" s="43">
        <v>0</v>
      </c>
      <c r="H20" s="43">
        <v>0</v>
      </c>
    </row>
    <row r="21" spans="1:8" s="41" customFormat="1" ht="12.75">
      <c r="A21" s="215" t="s">
        <v>88</v>
      </c>
      <c r="B21" s="216"/>
      <c r="C21" s="216"/>
      <c r="D21" s="216"/>
      <c r="E21" s="216"/>
      <c r="F21" s="216"/>
      <c r="G21" s="216"/>
      <c r="H21" s="217"/>
    </row>
    <row r="22" spans="1:8" s="41" customFormat="1" ht="12.75" customHeight="1">
      <c r="A22" s="204" t="s">
        <v>89</v>
      </c>
      <c r="B22" s="148"/>
      <c r="C22" s="197" t="s">
        <v>286</v>
      </c>
      <c r="D22" s="197" t="s">
        <v>17</v>
      </c>
      <c r="E22" s="39">
        <f aca="true" t="shared" si="0" ref="E22:E31">F22+G22+H22</f>
        <v>183154.877</v>
      </c>
      <c r="F22" s="39">
        <f>SUM(F23:F23)+F26</f>
        <v>183154.877</v>
      </c>
      <c r="G22" s="39">
        <f>SUM(G23:G23)+G26</f>
        <v>0</v>
      </c>
      <c r="H22" s="39">
        <f>SUM(H23:H23)+H26</f>
        <v>0</v>
      </c>
    </row>
    <row r="23" spans="1:12" s="41" customFormat="1" ht="25.5">
      <c r="A23" s="209"/>
      <c r="B23" s="133" t="s">
        <v>103</v>
      </c>
      <c r="C23" s="202"/>
      <c r="D23" s="202"/>
      <c r="E23" s="38">
        <f t="shared" si="0"/>
        <v>85961.767</v>
      </c>
      <c r="F23" s="38">
        <f>72010.454+188+7.931+15000+529.051-272.603+252.572-3447.667+4655.935+111.897+260.001-1000-592.559-1800+247.857+322.105-524.105+690.582-672-5.684</f>
        <v>85961.767</v>
      </c>
      <c r="G23" s="38"/>
      <c r="H23" s="38"/>
      <c r="I23" s="41">
        <v>120649.941</v>
      </c>
      <c r="J23" s="45">
        <f>F23-I23</f>
        <v>-34688.174</v>
      </c>
      <c r="L23" s="41">
        <v>66450.351</v>
      </c>
    </row>
    <row r="24" spans="1:10" s="41" customFormat="1" ht="63.75">
      <c r="A24" s="209"/>
      <c r="B24" s="46" t="s">
        <v>349</v>
      </c>
      <c r="C24" s="202"/>
      <c r="D24" s="202"/>
      <c r="E24" s="47">
        <f t="shared" si="0"/>
        <v>7029.051</v>
      </c>
      <c r="F24" s="47">
        <f>6500+529.051</f>
        <v>7029.051</v>
      </c>
      <c r="G24" s="38"/>
      <c r="H24" s="38"/>
      <c r="J24" s="45"/>
    </row>
    <row r="25" spans="1:10" s="41" customFormat="1" ht="12.75">
      <c r="A25" s="209"/>
      <c r="B25" s="46" t="s">
        <v>363</v>
      </c>
      <c r="C25" s="202"/>
      <c r="D25" s="202"/>
      <c r="E25" s="47">
        <f t="shared" si="0"/>
        <v>5000</v>
      </c>
      <c r="F25" s="47">
        <v>5000</v>
      </c>
      <c r="G25" s="38"/>
      <c r="H25" s="38"/>
      <c r="J25" s="45"/>
    </row>
    <row r="26" spans="1:8" s="41" customFormat="1" ht="51">
      <c r="A26" s="209"/>
      <c r="B26" s="133" t="s">
        <v>194</v>
      </c>
      <c r="C26" s="202"/>
      <c r="D26" s="202"/>
      <c r="E26" s="38">
        <f t="shared" si="0"/>
        <v>97193.11</v>
      </c>
      <c r="F26" s="38">
        <f>F27+F28+F29+F30+F31</f>
        <v>97193.11</v>
      </c>
      <c r="G26" s="38"/>
      <c r="H26" s="38"/>
    </row>
    <row r="27" spans="1:9" s="41" customFormat="1" ht="222" customHeight="1">
      <c r="A27" s="209"/>
      <c r="B27" s="46" t="s">
        <v>379</v>
      </c>
      <c r="C27" s="202"/>
      <c r="D27" s="202"/>
      <c r="E27" s="47">
        <f t="shared" si="0"/>
        <v>77190.028</v>
      </c>
      <c r="F27" s="47">
        <f>60843+17729.414-1382.386</f>
        <v>77190.028</v>
      </c>
      <c r="G27" s="38"/>
      <c r="H27" s="38"/>
      <c r="I27" s="41" t="s">
        <v>196</v>
      </c>
    </row>
    <row r="28" spans="1:8" s="41" customFormat="1" ht="54" customHeight="1">
      <c r="A28" s="209"/>
      <c r="B28" s="46" t="s">
        <v>307</v>
      </c>
      <c r="C28" s="202"/>
      <c r="D28" s="202"/>
      <c r="E28" s="47">
        <f t="shared" si="0"/>
        <v>5599.9</v>
      </c>
      <c r="F28" s="47">
        <f>5350+250-0.1</f>
        <v>5599.9</v>
      </c>
      <c r="G28" s="38"/>
      <c r="H28" s="38"/>
    </row>
    <row r="29" spans="1:8" s="41" customFormat="1" ht="25.5">
      <c r="A29" s="209"/>
      <c r="B29" s="46" t="s">
        <v>251</v>
      </c>
      <c r="C29" s="202"/>
      <c r="D29" s="202"/>
      <c r="E29" s="47">
        <f t="shared" si="0"/>
        <v>8321.741</v>
      </c>
      <c r="F29" s="47">
        <v>8321.741</v>
      </c>
      <c r="G29" s="38"/>
      <c r="H29" s="38"/>
    </row>
    <row r="30" spans="1:8" s="41" customFormat="1" ht="30.75" customHeight="1">
      <c r="A30" s="209"/>
      <c r="B30" s="46" t="s">
        <v>250</v>
      </c>
      <c r="C30" s="198"/>
      <c r="D30" s="198"/>
      <c r="E30" s="47">
        <f t="shared" si="0"/>
        <v>3231.4410000000003</v>
      </c>
      <c r="F30" s="47">
        <f>2798.606+198+186.388+48.447</f>
        <v>3231.4410000000003</v>
      </c>
      <c r="G30" s="38"/>
      <c r="H30" s="38"/>
    </row>
    <row r="31" spans="1:8" s="41" customFormat="1" ht="30.75" customHeight="1">
      <c r="A31" s="205"/>
      <c r="B31" s="46" t="s">
        <v>352</v>
      </c>
      <c r="C31" s="142"/>
      <c r="D31" s="142"/>
      <c r="E31" s="47">
        <f t="shared" si="0"/>
        <v>2850</v>
      </c>
      <c r="F31" s="47">
        <f>2287.53+562.47</f>
        <v>2850</v>
      </c>
      <c r="G31" s="38"/>
      <c r="H31" s="38"/>
    </row>
    <row r="32" spans="1:8" s="41" customFormat="1" ht="12.75" customHeight="1">
      <c r="A32" s="208" t="s">
        <v>89</v>
      </c>
      <c r="B32" s="149"/>
      <c r="C32" s="201" t="s">
        <v>33</v>
      </c>
      <c r="D32" s="201" t="s">
        <v>17</v>
      </c>
      <c r="E32" s="39">
        <f>E33</f>
        <v>5288.530000000001</v>
      </c>
      <c r="F32" s="39">
        <f>F33</f>
        <v>5288.530000000001</v>
      </c>
      <c r="G32" s="39">
        <f>G33</f>
        <v>0</v>
      </c>
      <c r="H32" s="39">
        <f>H33</f>
        <v>0</v>
      </c>
    </row>
    <row r="33" spans="1:10" s="41" customFormat="1" ht="38.25" customHeight="1">
      <c r="A33" s="208"/>
      <c r="B33" s="133" t="s">
        <v>341</v>
      </c>
      <c r="C33" s="201"/>
      <c r="D33" s="201"/>
      <c r="E33" s="38">
        <f>F33+G33+H33</f>
        <v>5288.530000000001</v>
      </c>
      <c r="F33" s="128">
        <f>4577.657+217.1+2812.742-2273.108-45.861</f>
        <v>5288.530000000001</v>
      </c>
      <c r="G33" s="128"/>
      <c r="H33" s="128"/>
      <c r="J33" s="41">
        <v>-100203</v>
      </c>
    </row>
    <row r="34" spans="1:8" s="41" customFormat="1" ht="12.75">
      <c r="A34" s="208" t="s">
        <v>89</v>
      </c>
      <c r="B34" s="133"/>
      <c r="C34" s="201" t="s">
        <v>34</v>
      </c>
      <c r="D34" s="201" t="s">
        <v>17</v>
      </c>
      <c r="E34" s="39">
        <f>E35</f>
        <v>8355.965</v>
      </c>
      <c r="F34" s="39">
        <f>F35</f>
        <v>8355.965</v>
      </c>
      <c r="G34" s="39">
        <f>G35</f>
        <v>0</v>
      </c>
      <c r="H34" s="39">
        <f>H35</f>
        <v>0</v>
      </c>
    </row>
    <row r="35" spans="1:9" s="41" customFormat="1" ht="38.25" customHeight="1">
      <c r="A35" s="208"/>
      <c r="B35" s="48" t="s">
        <v>341</v>
      </c>
      <c r="C35" s="201"/>
      <c r="D35" s="201"/>
      <c r="E35" s="38">
        <f>F35+G35+H35</f>
        <v>8355.965</v>
      </c>
      <c r="F35" s="128">
        <f>8175.965+180</f>
        <v>8355.965</v>
      </c>
      <c r="G35" s="128"/>
      <c r="H35" s="128"/>
      <c r="I35" s="41" t="s">
        <v>197</v>
      </c>
    </row>
    <row r="36" spans="1:8" s="41" customFormat="1" ht="12.75">
      <c r="A36" s="204" t="s">
        <v>89</v>
      </c>
      <c r="B36" s="134"/>
      <c r="C36" s="197" t="s">
        <v>36</v>
      </c>
      <c r="D36" s="197" t="s">
        <v>17</v>
      </c>
      <c r="E36" s="39">
        <f>E37</f>
        <v>6802.001000000002</v>
      </c>
      <c r="F36" s="39">
        <f>F37</f>
        <v>6802.001000000002</v>
      </c>
      <c r="G36" s="39">
        <f>G37</f>
        <v>0</v>
      </c>
      <c r="H36" s="39">
        <f>H37</f>
        <v>0</v>
      </c>
    </row>
    <row r="37" spans="1:9" s="41" customFormat="1" ht="38.25" customHeight="1">
      <c r="A37" s="205"/>
      <c r="B37" s="151" t="s">
        <v>103</v>
      </c>
      <c r="C37" s="198"/>
      <c r="D37" s="198"/>
      <c r="E37" s="128">
        <f>F37+G37+H37</f>
        <v>6802.001000000002</v>
      </c>
      <c r="F37" s="128">
        <f>15150.522-2358.114+9.593-6000</f>
        <v>6802.001000000002</v>
      </c>
      <c r="G37" s="128"/>
      <c r="H37" s="128"/>
      <c r="I37" s="41">
        <v>35862</v>
      </c>
    </row>
    <row r="38" spans="1:8" s="41" customFormat="1" ht="79.5" customHeight="1">
      <c r="A38" s="138"/>
      <c r="B38" s="46" t="s">
        <v>350</v>
      </c>
      <c r="C38" s="141"/>
      <c r="D38" s="141"/>
      <c r="E38" s="128">
        <f>F38+G38+H38</f>
        <v>5500</v>
      </c>
      <c r="F38" s="49">
        <v>5500</v>
      </c>
      <c r="G38" s="128"/>
      <c r="H38" s="128"/>
    </row>
    <row r="39" spans="1:8" s="41" customFormat="1" ht="13.5" customHeight="1">
      <c r="A39" s="191" t="s">
        <v>89</v>
      </c>
      <c r="B39" s="151"/>
      <c r="C39" s="197" t="s">
        <v>280</v>
      </c>
      <c r="D39" s="197" t="s">
        <v>17</v>
      </c>
      <c r="E39" s="39">
        <f>F39+G39+H39</f>
        <v>317.672</v>
      </c>
      <c r="F39" s="39">
        <f>F40</f>
        <v>317.672</v>
      </c>
      <c r="G39" s="39">
        <f>G40</f>
        <v>0</v>
      </c>
      <c r="H39" s="39">
        <f>H40</f>
        <v>0</v>
      </c>
    </row>
    <row r="40" spans="1:8" s="41" customFormat="1" ht="43.5" customHeight="1">
      <c r="A40" s="193"/>
      <c r="B40" s="151" t="s">
        <v>103</v>
      </c>
      <c r="C40" s="198"/>
      <c r="D40" s="198"/>
      <c r="E40" s="38">
        <f>SUM(F40:H40)</f>
        <v>317.672</v>
      </c>
      <c r="F40" s="38">
        <v>317.672</v>
      </c>
      <c r="G40" s="38">
        <v>0</v>
      </c>
      <c r="H40" s="38">
        <v>0</v>
      </c>
    </row>
    <row r="41" spans="1:8" s="41" customFormat="1" ht="12.75">
      <c r="A41" s="204" t="s">
        <v>89</v>
      </c>
      <c r="B41" s="134"/>
      <c r="C41" s="197" t="s">
        <v>274</v>
      </c>
      <c r="D41" s="197" t="s">
        <v>17</v>
      </c>
      <c r="E41" s="39">
        <f>E42</f>
        <v>12527.818</v>
      </c>
      <c r="F41" s="39">
        <f>F42</f>
        <v>8971.091</v>
      </c>
      <c r="G41" s="39">
        <f>G42</f>
        <v>3556.727</v>
      </c>
      <c r="H41" s="39">
        <f>H42</f>
        <v>0</v>
      </c>
    </row>
    <row r="42" spans="1:8" s="41" customFormat="1" ht="55.5" customHeight="1">
      <c r="A42" s="205"/>
      <c r="B42" s="151" t="s">
        <v>103</v>
      </c>
      <c r="C42" s="198"/>
      <c r="D42" s="198"/>
      <c r="E42" s="128">
        <f>F42+G42+H42</f>
        <v>12527.818</v>
      </c>
      <c r="F42" s="128">
        <f>6544.063+900+4765.937-136.488-3102.421</f>
        <v>8971.091</v>
      </c>
      <c r="G42" s="175">
        <f>226.488+3330.239</f>
        <v>3556.727</v>
      </c>
      <c r="H42" s="128"/>
    </row>
    <row r="43" spans="1:8" s="41" customFormat="1" ht="12.75" customHeight="1">
      <c r="A43" s="224" t="s">
        <v>89</v>
      </c>
      <c r="B43" s="134"/>
      <c r="C43" s="197" t="s">
        <v>277</v>
      </c>
      <c r="D43" s="197" t="s">
        <v>17</v>
      </c>
      <c r="E43" s="39">
        <f>E44+E48</f>
        <v>7366.216</v>
      </c>
      <c r="F43" s="39">
        <f>F44+F48</f>
        <v>7366.216</v>
      </c>
      <c r="G43" s="39">
        <f>G44</f>
        <v>0</v>
      </c>
      <c r="H43" s="39">
        <f>H44</f>
        <v>0</v>
      </c>
    </row>
    <row r="44" spans="1:8" s="41" customFormat="1" ht="38.25" customHeight="1">
      <c r="A44" s="235"/>
      <c r="B44" s="151" t="s">
        <v>103</v>
      </c>
      <c r="C44" s="202"/>
      <c r="D44" s="202"/>
      <c r="E44" s="38">
        <f>F44+G44+H44</f>
        <v>7354.317</v>
      </c>
      <c r="F44" s="38">
        <f>3361.599+549.96-3361.599+6804.357</f>
        <v>7354.317</v>
      </c>
      <c r="G44" s="38"/>
      <c r="H44" s="38"/>
    </row>
    <row r="45" spans="1:8" s="41" customFormat="1" ht="12.75" customHeight="1" hidden="1">
      <c r="A45" s="235"/>
      <c r="B45" s="134"/>
      <c r="C45" s="202"/>
      <c r="D45" s="202"/>
      <c r="E45" s="39">
        <f>E46</f>
        <v>0</v>
      </c>
      <c r="F45" s="39">
        <f>F46</f>
        <v>0</v>
      </c>
      <c r="G45" s="39">
        <f>G46</f>
        <v>0</v>
      </c>
      <c r="H45" s="39">
        <f>H46</f>
        <v>0</v>
      </c>
    </row>
    <row r="46" spans="1:8" s="41" customFormat="1" ht="38.25" customHeight="1" hidden="1">
      <c r="A46" s="235"/>
      <c r="B46" s="267" t="s">
        <v>103</v>
      </c>
      <c r="C46" s="202"/>
      <c r="D46" s="202"/>
      <c r="E46" s="223">
        <f>F46+G46+H46</f>
        <v>0</v>
      </c>
      <c r="F46" s="223">
        <f>2823.834-2823.834</f>
        <v>0</v>
      </c>
      <c r="G46" s="223"/>
      <c r="H46" s="223"/>
    </row>
    <row r="47" spans="1:8" s="41" customFormat="1" ht="12.75" customHeight="1" hidden="1">
      <c r="A47" s="235"/>
      <c r="B47" s="262"/>
      <c r="C47" s="202"/>
      <c r="D47" s="202"/>
      <c r="E47" s="223"/>
      <c r="F47" s="223"/>
      <c r="G47" s="223"/>
      <c r="H47" s="223"/>
    </row>
    <row r="48" spans="1:8" s="41" customFormat="1" ht="51">
      <c r="A48" s="235"/>
      <c r="B48" s="133" t="s">
        <v>194</v>
      </c>
      <c r="C48" s="202"/>
      <c r="D48" s="202"/>
      <c r="E48" s="38">
        <f>F48+G48+H48</f>
        <v>11.899</v>
      </c>
      <c r="F48" s="38">
        <f>F49</f>
        <v>11.899</v>
      </c>
      <c r="G48" s="38"/>
      <c r="H48" s="38"/>
    </row>
    <row r="49" spans="1:8" s="41" customFormat="1" ht="25.5">
      <c r="A49" s="225"/>
      <c r="B49" s="50" t="s">
        <v>357</v>
      </c>
      <c r="C49" s="198"/>
      <c r="D49" s="198"/>
      <c r="E49" s="129">
        <f>F49+G49+H49</f>
        <v>11.899</v>
      </c>
      <c r="F49" s="129">
        <v>11.899</v>
      </c>
      <c r="G49" s="129"/>
      <c r="H49" s="129"/>
    </row>
    <row r="50" spans="1:8" s="41" customFormat="1" ht="12.75" customHeight="1">
      <c r="A50" s="204" t="s">
        <v>89</v>
      </c>
      <c r="B50" s="145"/>
      <c r="C50" s="197" t="s">
        <v>38</v>
      </c>
      <c r="D50" s="197" t="s">
        <v>17</v>
      </c>
      <c r="E50" s="39">
        <f>F50+G50+H50</f>
        <v>965.669</v>
      </c>
      <c r="F50" s="51">
        <f>F51</f>
        <v>965.669</v>
      </c>
      <c r="G50" s="51">
        <f>G51</f>
        <v>0</v>
      </c>
      <c r="H50" s="51">
        <f>H51</f>
        <v>0</v>
      </c>
    </row>
    <row r="51" spans="1:11" s="41" customFormat="1" ht="71.25" customHeight="1">
      <c r="A51" s="209"/>
      <c r="B51" s="151" t="s">
        <v>103</v>
      </c>
      <c r="C51" s="247"/>
      <c r="D51" s="247"/>
      <c r="E51" s="128">
        <f>SUM(F51:H51)</f>
        <v>965.669</v>
      </c>
      <c r="F51" s="128">
        <v>965.669</v>
      </c>
      <c r="G51" s="128"/>
      <c r="H51" s="52"/>
      <c r="J51" s="41" t="s">
        <v>320</v>
      </c>
      <c r="K51" s="45">
        <f>F22</f>
        <v>183154.877</v>
      </c>
    </row>
    <row r="52" spans="1:8" s="53" customFormat="1" ht="12.75">
      <c r="A52" s="222" t="s">
        <v>319</v>
      </c>
      <c r="B52" s="222"/>
      <c r="C52" s="222"/>
      <c r="D52" s="222"/>
      <c r="E52" s="222"/>
      <c r="F52" s="222"/>
      <c r="G52" s="222"/>
      <c r="H52" s="222"/>
    </row>
    <row r="53" spans="1:8" s="53" customFormat="1" ht="12.75" customHeight="1">
      <c r="A53" s="204" t="s">
        <v>60</v>
      </c>
      <c r="B53" s="148"/>
      <c r="C53" s="197" t="s">
        <v>286</v>
      </c>
      <c r="D53" s="197" t="s">
        <v>17</v>
      </c>
      <c r="E53" s="39">
        <f>F53+G53+H53</f>
        <v>282374.02665307</v>
      </c>
      <c r="F53" s="39">
        <f>SUM(F54:F69)-F55</f>
        <v>87668.041</v>
      </c>
      <c r="G53" s="39">
        <f>SUM(G54:G69)-G55</f>
        <v>94747.438274</v>
      </c>
      <c r="H53" s="39">
        <f>SUM(H54:H69)-H55</f>
        <v>99958.54737907</v>
      </c>
    </row>
    <row r="54" spans="1:10" ht="12.75" customHeight="1">
      <c r="A54" s="209"/>
      <c r="B54" s="133" t="s">
        <v>382</v>
      </c>
      <c r="C54" s="202"/>
      <c r="D54" s="202"/>
      <c r="E54" s="38">
        <f aca="true" t="shared" si="1" ref="E54:E80">F54+G54+H54</f>
        <v>177367.136770765</v>
      </c>
      <c r="F54" s="38">
        <f>49429.219+5628.864</f>
        <v>55058.083</v>
      </c>
      <c r="G54" s="38">
        <f>F54*1.081</f>
        <v>59517.787722999994</v>
      </c>
      <c r="H54" s="38">
        <f>G54*1.055</f>
        <v>62791.26604776499</v>
      </c>
      <c r="I54" s="54"/>
      <c r="J54" s="55"/>
    </row>
    <row r="55" spans="1:10" s="59" customFormat="1" ht="42.75" customHeight="1">
      <c r="A55" s="209"/>
      <c r="B55" s="46" t="s">
        <v>273</v>
      </c>
      <c r="C55" s="202"/>
      <c r="D55" s="202"/>
      <c r="E55" s="47">
        <f t="shared" si="1"/>
        <v>389.888</v>
      </c>
      <c r="F55" s="47">
        <v>389.888</v>
      </c>
      <c r="G55" s="47"/>
      <c r="H55" s="47"/>
      <c r="I55" s="57"/>
      <c r="J55" s="58"/>
    </row>
    <row r="56" spans="1:9" s="59" customFormat="1" ht="12.75">
      <c r="A56" s="209"/>
      <c r="B56" s="133" t="s">
        <v>161</v>
      </c>
      <c r="C56" s="202"/>
      <c r="D56" s="202"/>
      <c r="E56" s="38">
        <f t="shared" si="1"/>
        <v>6442.848792354999</v>
      </c>
      <c r="F56" s="38">
        <v>1999.981</v>
      </c>
      <c r="G56" s="38">
        <f>F56*1.081</f>
        <v>2161.979461</v>
      </c>
      <c r="H56" s="38">
        <f>G56*1.055</f>
        <v>2280.8883313549995</v>
      </c>
      <c r="I56" s="60"/>
    </row>
    <row r="57" spans="1:10" ht="25.5">
      <c r="A57" s="209"/>
      <c r="B57" s="36" t="s">
        <v>116</v>
      </c>
      <c r="C57" s="202"/>
      <c r="D57" s="202"/>
      <c r="E57" s="38">
        <f t="shared" si="1"/>
        <v>25666.620566999994</v>
      </c>
      <c r="F57" s="38">
        <v>7967.4</v>
      </c>
      <c r="G57" s="38">
        <f>F57*1.081</f>
        <v>8612.759399999999</v>
      </c>
      <c r="H57" s="38">
        <f>G57*1.055</f>
        <v>9086.461166999998</v>
      </c>
      <c r="I57" s="54"/>
      <c r="J57" s="55"/>
    </row>
    <row r="58" spans="1:11" ht="25.5">
      <c r="A58" s="209"/>
      <c r="B58" s="36" t="s">
        <v>56</v>
      </c>
      <c r="C58" s="202"/>
      <c r="D58" s="202"/>
      <c r="E58" s="38">
        <f t="shared" si="1"/>
        <v>48804.031713129996</v>
      </c>
      <c r="F58" s="38">
        <v>15149.686</v>
      </c>
      <c r="G58" s="38">
        <f aca="true" t="shared" si="2" ref="G58:G68">F58*1.081</f>
        <v>16376.810565999998</v>
      </c>
      <c r="H58" s="38">
        <f aca="true" t="shared" si="3" ref="H58:H68">G58*1.055</f>
        <v>17277.53514713</v>
      </c>
      <c r="I58" s="54"/>
      <c r="J58" s="55" t="s">
        <v>321</v>
      </c>
      <c r="K58" s="61">
        <f>F53+F70+F76+F82+F96</f>
        <v>340152.87799999997</v>
      </c>
    </row>
    <row r="59" spans="1:10" ht="12.75">
      <c r="A59" s="209"/>
      <c r="B59" s="36" t="s">
        <v>57</v>
      </c>
      <c r="C59" s="202"/>
      <c r="D59" s="202"/>
      <c r="E59" s="38">
        <f t="shared" si="1"/>
        <v>7512.0078279399995</v>
      </c>
      <c r="F59" s="38">
        <v>2331.868</v>
      </c>
      <c r="G59" s="38">
        <f t="shared" si="2"/>
        <v>2520.749308</v>
      </c>
      <c r="H59" s="38">
        <f t="shared" si="3"/>
        <v>2659.3905199399996</v>
      </c>
      <c r="I59" s="54"/>
      <c r="J59" s="55"/>
    </row>
    <row r="60" spans="1:10" ht="12.75">
      <c r="A60" s="209"/>
      <c r="B60" s="36" t="s">
        <v>58</v>
      </c>
      <c r="C60" s="202"/>
      <c r="D60" s="202"/>
      <c r="E60" s="38">
        <f t="shared" si="1"/>
        <v>1819.75482913</v>
      </c>
      <c r="F60" s="38">
        <f>564.886</f>
        <v>564.886</v>
      </c>
      <c r="G60" s="38">
        <f t="shared" si="2"/>
        <v>610.641766</v>
      </c>
      <c r="H60" s="38">
        <f t="shared" si="3"/>
        <v>644.2270631299999</v>
      </c>
      <c r="I60" s="54"/>
      <c r="J60" s="55"/>
    </row>
    <row r="61" spans="1:10" ht="25.5">
      <c r="A61" s="209"/>
      <c r="B61" s="36" t="s">
        <v>189</v>
      </c>
      <c r="C61" s="202"/>
      <c r="D61" s="202"/>
      <c r="E61" s="38">
        <f t="shared" si="1"/>
        <v>248.40639505000001</v>
      </c>
      <c r="F61" s="38">
        <v>77.11</v>
      </c>
      <c r="G61" s="38">
        <f t="shared" si="2"/>
        <v>83.35591</v>
      </c>
      <c r="H61" s="38">
        <f t="shared" si="3"/>
        <v>87.94048504999999</v>
      </c>
      <c r="I61" s="54"/>
      <c r="J61" s="55"/>
    </row>
    <row r="62" spans="1:10" ht="12.75">
      <c r="A62" s="209"/>
      <c r="B62" s="36" t="s">
        <v>25</v>
      </c>
      <c r="C62" s="202"/>
      <c r="D62" s="202"/>
      <c r="E62" s="38">
        <f t="shared" si="1"/>
        <v>1356.85751727</v>
      </c>
      <c r="F62" s="38">
        <v>421.194</v>
      </c>
      <c r="G62" s="38">
        <f t="shared" si="2"/>
        <v>455.310714</v>
      </c>
      <c r="H62" s="38">
        <f t="shared" si="3"/>
        <v>480.35280327</v>
      </c>
      <c r="I62" s="54"/>
      <c r="J62" s="55"/>
    </row>
    <row r="63" spans="1:10" ht="38.25">
      <c r="A63" s="209"/>
      <c r="B63" s="36" t="s">
        <v>108</v>
      </c>
      <c r="C63" s="202"/>
      <c r="D63" s="202"/>
      <c r="E63" s="38">
        <f t="shared" si="1"/>
        <v>509.19606311999996</v>
      </c>
      <c r="F63" s="38">
        <v>158.064</v>
      </c>
      <c r="G63" s="38">
        <f t="shared" si="2"/>
        <v>170.86718399999998</v>
      </c>
      <c r="H63" s="38">
        <f t="shared" si="3"/>
        <v>180.26487911999996</v>
      </c>
      <c r="I63" s="54"/>
      <c r="J63" s="55"/>
    </row>
    <row r="64" spans="1:10" ht="25.5">
      <c r="A64" s="209"/>
      <c r="B64" s="36" t="s">
        <v>188</v>
      </c>
      <c r="C64" s="202"/>
      <c r="D64" s="202"/>
      <c r="E64" s="38">
        <f t="shared" si="1"/>
        <v>1085.80429357</v>
      </c>
      <c r="F64" s="38">
        <v>337.054</v>
      </c>
      <c r="G64" s="38">
        <f t="shared" si="2"/>
        <v>364.355374</v>
      </c>
      <c r="H64" s="38">
        <f t="shared" si="3"/>
        <v>384.39491956999996</v>
      </c>
      <c r="I64" s="54"/>
      <c r="J64" s="55"/>
    </row>
    <row r="65" spans="1:10" ht="12.75">
      <c r="A65" s="209"/>
      <c r="B65" s="36" t="s">
        <v>74</v>
      </c>
      <c r="C65" s="202"/>
      <c r="D65" s="202"/>
      <c r="E65" s="38">
        <f>F65+G65+H65</f>
        <v>9463.42996583</v>
      </c>
      <c r="F65" s="38">
        <f>2737.326+200.3</f>
        <v>2937.626</v>
      </c>
      <c r="G65" s="38">
        <f t="shared" si="2"/>
        <v>3175.573706</v>
      </c>
      <c r="H65" s="38">
        <f t="shared" si="3"/>
        <v>3350.23025983</v>
      </c>
      <c r="I65" s="54"/>
      <c r="J65" s="55"/>
    </row>
    <row r="66" spans="1:10" ht="38.25">
      <c r="A66" s="209"/>
      <c r="B66" s="36" t="s">
        <v>268</v>
      </c>
      <c r="C66" s="202"/>
      <c r="D66" s="202"/>
      <c r="E66" s="38">
        <f>F66+G66+H66</f>
        <v>305.83849479</v>
      </c>
      <c r="F66" s="38">
        <v>94.938</v>
      </c>
      <c r="G66" s="38">
        <f t="shared" si="2"/>
        <v>102.627978</v>
      </c>
      <c r="H66" s="38">
        <f t="shared" si="3"/>
        <v>108.27251679</v>
      </c>
      <c r="I66" s="54"/>
      <c r="J66" s="55"/>
    </row>
    <row r="67" spans="1:10" ht="51">
      <c r="A67" s="209"/>
      <c r="B67" s="36" t="s">
        <v>285</v>
      </c>
      <c r="C67" s="202"/>
      <c r="D67" s="202"/>
      <c r="E67" s="38">
        <f>F67+G67+H67</f>
        <v>12.405823204999999</v>
      </c>
      <c r="F67" s="38">
        <v>3.851</v>
      </c>
      <c r="G67" s="38">
        <f t="shared" si="2"/>
        <v>4.1629309999999995</v>
      </c>
      <c r="H67" s="38">
        <f t="shared" si="3"/>
        <v>4.3918922049999995</v>
      </c>
      <c r="I67" s="54"/>
      <c r="J67" s="55"/>
    </row>
    <row r="68" spans="1:10" ht="25.5">
      <c r="A68" s="209"/>
      <c r="B68" s="36" t="s">
        <v>370</v>
      </c>
      <c r="C68" s="202"/>
      <c r="D68" s="202"/>
      <c r="E68" s="38">
        <f>F68+G68+H68</f>
        <v>1759.600599915</v>
      </c>
      <c r="F68" s="38">
        <f>192.104+354.109</f>
        <v>546.213</v>
      </c>
      <c r="G68" s="38">
        <f t="shared" si="2"/>
        <v>590.456253</v>
      </c>
      <c r="H68" s="38">
        <f t="shared" si="3"/>
        <v>622.931346915</v>
      </c>
      <c r="I68" s="54"/>
      <c r="J68" s="55"/>
    </row>
    <row r="69" spans="1:10" ht="12.75">
      <c r="A69" s="209"/>
      <c r="B69" s="36" t="s">
        <v>343</v>
      </c>
      <c r="C69" s="202"/>
      <c r="D69" s="202"/>
      <c r="E69" s="38">
        <f>F69+G69+H69</f>
        <v>20.087</v>
      </c>
      <c r="F69" s="38">
        <v>20.087</v>
      </c>
      <c r="G69" s="38"/>
      <c r="H69" s="38"/>
      <c r="I69" s="54"/>
      <c r="J69" s="55"/>
    </row>
    <row r="70" spans="1:8" ht="12.75" customHeight="1">
      <c r="A70" s="204" t="s">
        <v>61</v>
      </c>
      <c r="B70" s="36"/>
      <c r="C70" s="197" t="s">
        <v>286</v>
      </c>
      <c r="D70" s="197" t="s">
        <v>17</v>
      </c>
      <c r="E70" s="39">
        <f t="shared" si="1"/>
        <v>66468.30034372998</v>
      </c>
      <c r="F70" s="39">
        <f>SUM(F71:F75)</f>
        <v>20633.005999999994</v>
      </c>
      <c r="G70" s="39">
        <f>SUM(G71:G75)</f>
        <v>22304.279485999992</v>
      </c>
      <c r="H70" s="39">
        <f>SUM(H71:H75)</f>
        <v>23531.014857729988</v>
      </c>
    </row>
    <row r="71" spans="1:8" ht="12.75">
      <c r="A71" s="209"/>
      <c r="B71" s="36" t="s">
        <v>109</v>
      </c>
      <c r="C71" s="202"/>
      <c r="D71" s="202"/>
      <c r="E71" s="38">
        <f t="shared" si="1"/>
        <v>56836.10479335999</v>
      </c>
      <c r="F71" s="38">
        <f>9979.578+7663.414</f>
        <v>17642.992</v>
      </c>
      <c r="G71" s="38">
        <f>F71*1.081</f>
        <v>19072.074351999996</v>
      </c>
      <c r="H71" s="38">
        <f>G71*1.055</f>
        <v>20121.038441359993</v>
      </c>
    </row>
    <row r="72" spans="1:8" ht="25.5">
      <c r="A72" s="209"/>
      <c r="B72" s="133" t="s">
        <v>24</v>
      </c>
      <c r="C72" s="202"/>
      <c r="D72" s="202"/>
      <c r="E72" s="38">
        <f t="shared" si="1"/>
        <v>4501.33262859</v>
      </c>
      <c r="F72" s="38">
        <v>1397.298</v>
      </c>
      <c r="G72" s="38">
        <f>F72*1.081</f>
        <v>1510.479138</v>
      </c>
      <c r="H72" s="38">
        <f>G72*1.055</f>
        <v>1593.5554905899999</v>
      </c>
    </row>
    <row r="73" spans="1:8" ht="12.75">
      <c r="A73" s="209"/>
      <c r="B73" s="36" t="s">
        <v>62</v>
      </c>
      <c r="C73" s="202"/>
      <c r="D73" s="202"/>
      <c r="E73" s="38">
        <f t="shared" si="1"/>
        <v>683.7860383</v>
      </c>
      <c r="F73" s="38">
        <v>212.26</v>
      </c>
      <c r="G73" s="38">
        <f>F73*1.081</f>
        <v>229.45306</v>
      </c>
      <c r="H73" s="38">
        <f>G73*1.055</f>
        <v>242.0729783</v>
      </c>
    </row>
    <row r="74" spans="1:8" ht="12.75">
      <c r="A74" s="209"/>
      <c r="B74" s="36" t="s">
        <v>63</v>
      </c>
      <c r="C74" s="202"/>
      <c r="D74" s="202"/>
      <c r="E74" s="38">
        <f t="shared" si="1"/>
        <v>352.62690721</v>
      </c>
      <c r="F74" s="38">
        <v>109.462</v>
      </c>
      <c r="G74" s="38">
        <f>F74*1.081</f>
        <v>118.328422</v>
      </c>
      <c r="H74" s="38">
        <f>G74*1.055</f>
        <v>124.83648520999999</v>
      </c>
    </row>
    <row r="75" spans="1:8" ht="12.75">
      <c r="A75" s="209"/>
      <c r="B75" s="36" t="s">
        <v>64</v>
      </c>
      <c r="C75" s="202"/>
      <c r="D75" s="202"/>
      <c r="E75" s="38">
        <f t="shared" si="1"/>
        <v>4094.4499762699993</v>
      </c>
      <c r="F75" s="38">
        <f>1072.365+198.629</f>
        <v>1270.994</v>
      </c>
      <c r="G75" s="38">
        <f>F75*1.081</f>
        <v>1373.9445139999998</v>
      </c>
      <c r="H75" s="38">
        <f>G75*1.055</f>
        <v>1449.5114622699998</v>
      </c>
    </row>
    <row r="76" spans="1:8" ht="12.75" customHeight="1">
      <c r="A76" s="204" t="s">
        <v>65</v>
      </c>
      <c r="B76" s="36"/>
      <c r="C76" s="197" t="s">
        <v>286</v>
      </c>
      <c r="D76" s="197" t="s">
        <v>17</v>
      </c>
      <c r="E76" s="39">
        <f t="shared" si="1"/>
        <v>725.642403115</v>
      </c>
      <c r="F76" s="39">
        <f>SUM(F77:F81)</f>
        <v>225.253</v>
      </c>
      <c r="G76" s="39">
        <f>SUM(G77:G81)</f>
        <v>243.49849300000002</v>
      </c>
      <c r="H76" s="39">
        <f>SUM(H77:H81)</f>
        <v>256.89091011499994</v>
      </c>
    </row>
    <row r="77" spans="1:8" ht="25.5">
      <c r="A77" s="209"/>
      <c r="B77" s="36" t="s">
        <v>66</v>
      </c>
      <c r="C77" s="202"/>
      <c r="D77" s="202"/>
      <c r="E77" s="38">
        <f t="shared" si="1"/>
        <v>62.228846235000006</v>
      </c>
      <c r="F77" s="38">
        <v>19.317</v>
      </c>
      <c r="G77" s="38">
        <f>F77*1.081</f>
        <v>20.881677</v>
      </c>
      <c r="H77" s="38">
        <f aca="true" t="shared" si="4" ref="H77:H93">G77*1.055</f>
        <v>22.030169235</v>
      </c>
    </row>
    <row r="78" spans="1:8" ht="25.5">
      <c r="A78" s="209"/>
      <c r="B78" s="36" t="s">
        <v>67</v>
      </c>
      <c r="C78" s="202"/>
      <c r="D78" s="202"/>
      <c r="E78" s="38">
        <f t="shared" si="1"/>
        <v>85.288021125</v>
      </c>
      <c r="F78" s="38">
        <v>26.475</v>
      </c>
      <c r="G78" s="38">
        <f>F78*1.081</f>
        <v>28.619475</v>
      </c>
      <c r="H78" s="38">
        <f t="shared" si="4"/>
        <v>30.193546125</v>
      </c>
    </row>
    <row r="79" spans="1:8" ht="25.5">
      <c r="A79" s="209"/>
      <c r="B79" s="36" t="s">
        <v>68</v>
      </c>
      <c r="C79" s="202"/>
      <c r="D79" s="202"/>
      <c r="E79" s="38">
        <f t="shared" si="1"/>
        <v>434.84488172</v>
      </c>
      <c r="F79" s="38">
        <f>88.797+46.187</f>
        <v>134.98399999999998</v>
      </c>
      <c r="G79" s="38">
        <f>F79*1.081</f>
        <v>145.917704</v>
      </c>
      <c r="H79" s="38">
        <f t="shared" si="4"/>
        <v>153.94317771999997</v>
      </c>
    </row>
    <row r="80" spans="1:8" ht="25.5">
      <c r="A80" s="209"/>
      <c r="B80" s="36" t="s">
        <v>69</v>
      </c>
      <c r="C80" s="202"/>
      <c r="D80" s="202"/>
      <c r="E80" s="38">
        <f t="shared" si="1"/>
        <v>39.111685154999996</v>
      </c>
      <c r="F80" s="38">
        <v>12.141</v>
      </c>
      <c r="G80" s="38">
        <f>F80*1.081</f>
        <v>13.124421</v>
      </c>
      <c r="H80" s="38">
        <f t="shared" si="4"/>
        <v>13.846264154999998</v>
      </c>
    </row>
    <row r="81" spans="1:10" ht="25.5">
      <c r="A81" s="205"/>
      <c r="B81" s="36" t="s">
        <v>283</v>
      </c>
      <c r="C81" s="198"/>
      <c r="D81" s="198"/>
      <c r="E81" s="38">
        <f>F81+G81+H81</f>
        <v>104.16896888</v>
      </c>
      <c r="F81" s="38">
        <v>32.336</v>
      </c>
      <c r="G81" s="38">
        <f>F81*1.081</f>
        <v>34.955216</v>
      </c>
      <c r="H81" s="38">
        <f t="shared" si="4"/>
        <v>36.877752879999996</v>
      </c>
      <c r="I81" s="54"/>
      <c r="J81" s="55"/>
    </row>
    <row r="82" spans="1:8" ht="12.75" customHeight="1">
      <c r="A82" s="204" t="s">
        <v>70</v>
      </c>
      <c r="B82" s="36"/>
      <c r="C82" s="197" t="s">
        <v>286</v>
      </c>
      <c r="D82" s="197" t="s">
        <v>17</v>
      </c>
      <c r="E82" s="39">
        <f aca="true" t="shared" si="5" ref="E82:E93">F82+G82+H82</f>
        <v>446330.31033693</v>
      </c>
      <c r="F82" s="39">
        <f>SUM(F83:F95)</f>
        <v>138592.04699999996</v>
      </c>
      <c r="G82" s="39">
        <f>SUM(G83:G95)</f>
        <v>149750.97972600002</v>
      </c>
      <c r="H82" s="39">
        <f>SUM(H83:H95)</f>
        <v>157987.28361093</v>
      </c>
    </row>
    <row r="83" spans="1:8" ht="12.75">
      <c r="A83" s="209"/>
      <c r="B83" s="36" t="s">
        <v>111</v>
      </c>
      <c r="C83" s="202"/>
      <c r="D83" s="202"/>
      <c r="E83" s="38">
        <f t="shared" si="5"/>
        <v>273716.07196008996</v>
      </c>
      <c r="F83" s="38">
        <f>56256.541-5488.737+35000-801.206</f>
        <v>84966.598</v>
      </c>
      <c r="G83" s="38">
        <f>F83*1.081</f>
        <v>91848.892438</v>
      </c>
      <c r="H83" s="38">
        <f t="shared" si="4"/>
        <v>96900.58152208998</v>
      </c>
    </row>
    <row r="84" spans="1:8" ht="12.75">
      <c r="A84" s="209"/>
      <c r="B84" s="36" t="s">
        <v>282</v>
      </c>
      <c r="C84" s="202"/>
      <c r="D84" s="202"/>
      <c r="E84" s="38">
        <f t="shared" si="5"/>
        <v>20559.361246005</v>
      </c>
      <c r="F84" s="38">
        <f>7082.011-700</f>
        <v>6382.011</v>
      </c>
      <c r="G84" s="38">
        <f>F84*1.081</f>
        <v>6898.953891</v>
      </c>
      <c r="H84" s="38">
        <f t="shared" si="4"/>
        <v>7278.396355004999</v>
      </c>
    </row>
    <row r="85" spans="1:8" ht="25.5">
      <c r="A85" s="209"/>
      <c r="B85" s="36" t="s">
        <v>160</v>
      </c>
      <c r="C85" s="202"/>
      <c r="D85" s="202"/>
      <c r="E85" s="38">
        <f t="shared" si="5"/>
        <v>9686.03250633</v>
      </c>
      <c r="F85" s="38">
        <f>8000-1593.274-3400</f>
        <v>3006.7260000000006</v>
      </c>
      <c r="G85" s="38">
        <f aca="true" t="shared" si="6" ref="G85:G93">F85*1.081</f>
        <v>3250.2708060000004</v>
      </c>
      <c r="H85" s="38">
        <f t="shared" si="4"/>
        <v>3429.03570033</v>
      </c>
    </row>
    <row r="86" spans="1:8" ht="25.5">
      <c r="A86" s="209"/>
      <c r="B86" s="36" t="s">
        <v>114</v>
      </c>
      <c r="C86" s="202"/>
      <c r="D86" s="202"/>
      <c r="E86" s="38">
        <f t="shared" si="5"/>
        <v>2040.4148322650003</v>
      </c>
      <c r="F86" s="38">
        <v>633.383</v>
      </c>
      <c r="G86" s="38">
        <f t="shared" si="6"/>
        <v>684.6870230000001</v>
      </c>
      <c r="H86" s="38">
        <f t="shared" si="4"/>
        <v>722.344809265</v>
      </c>
    </row>
    <row r="87" spans="1:9" ht="26.25" customHeight="1">
      <c r="A87" s="209"/>
      <c r="B87" s="36" t="s">
        <v>20</v>
      </c>
      <c r="C87" s="202"/>
      <c r="D87" s="202"/>
      <c r="E87" s="38">
        <f t="shared" si="5"/>
        <v>18922.488417225002</v>
      </c>
      <c r="F87" s="38">
        <f>1670+4203.895</f>
        <v>5873.895</v>
      </c>
      <c r="G87" s="38">
        <f t="shared" si="6"/>
        <v>6349.6804950000005</v>
      </c>
      <c r="H87" s="38">
        <f t="shared" si="4"/>
        <v>6698.912922225</v>
      </c>
      <c r="I87" s="53" t="s">
        <v>163</v>
      </c>
    </row>
    <row r="88" spans="1:8" ht="25.5">
      <c r="A88" s="209"/>
      <c r="B88" s="36" t="s">
        <v>71</v>
      </c>
      <c r="C88" s="202"/>
      <c r="D88" s="202"/>
      <c r="E88" s="38">
        <f t="shared" si="5"/>
        <v>14700.339964755001</v>
      </c>
      <c r="F88" s="38">
        <v>4563.261</v>
      </c>
      <c r="G88" s="38">
        <f t="shared" si="6"/>
        <v>4932.885141000001</v>
      </c>
      <c r="H88" s="38">
        <f t="shared" si="4"/>
        <v>5204.193823755</v>
      </c>
    </row>
    <row r="89" spans="1:8" ht="38.25">
      <c r="A89" s="209"/>
      <c r="B89" s="36" t="s">
        <v>164</v>
      </c>
      <c r="C89" s="202"/>
      <c r="D89" s="202"/>
      <c r="E89" s="38">
        <f>F89+G89+H89</f>
        <v>505.25944511</v>
      </c>
      <c r="F89" s="38">
        <v>156.842</v>
      </c>
      <c r="G89" s="38">
        <f t="shared" si="6"/>
        <v>169.546202</v>
      </c>
      <c r="H89" s="38">
        <f t="shared" si="4"/>
        <v>178.87124311</v>
      </c>
    </row>
    <row r="90" spans="1:8" ht="12.75">
      <c r="A90" s="209"/>
      <c r="B90" s="36" t="s">
        <v>40</v>
      </c>
      <c r="C90" s="202"/>
      <c r="D90" s="202"/>
      <c r="E90" s="38">
        <f>F90+G90+H90</f>
        <v>92499.29002141501</v>
      </c>
      <c r="F90" s="38">
        <f>23310.594+1652.919+4000.023-250.023</f>
        <v>28713.513000000003</v>
      </c>
      <c r="G90" s="38">
        <f t="shared" si="6"/>
        <v>31039.307553000002</v>
      </c>
      <c r="H90" s="38">
        <f t="shared" si="4"/>
        <v>32746.469468415</v>
      </c>
    </row>
    <row r="91" spans="1:8" ht="25.5">
      <c r="A91" s="209"/>
      <c r="B91" s="36" t="s">
        <v>72</v>
      </c>
      <c r="C91" s="202"/>
      <c r="D91" s="202"/>
      <c r="E91" s="38">
        <f t="shared" si="5"/>
        <v>6354.674347549999</v>
      </c>
      <c r="F91" s="38">
        <v>1972.61</v>
      </c>
      <c r="G91" s="38">
        <f t="shared" si="6"/>
        <v>2132.3914099999997</v>
      </c>
      <c r="H91" s="38">
        <f t="shared" si="4"/>
        <v>2249.6729375499995</v>
      </c>
    </row>
    <row r="92" spans="1:8" ht="12.75">
      <c r="A92" s="209"/>
      <c r="B92" s="36" t="s">
        <v>73</v>
      </c>
      <c r="C92" s="202"/>
      <c r="D92" s="202"/>
      <c r="E92" s="38">
        <f t="shared" si="5"/>
        <v>289.93095</v>
      </c>
      <c r="F92" s="38">
        <v>90</v>
      </c>
      <c r="G92" s="38">
        <f t="shared" si="6"/>
        <v>97.28999999999999</v>
      </c>
      <c r="H92" s="38">
        <f t="shared" si="4"/>
        <v>102.64094999999999</v>
      </c>
    </row>
    <row r="93" spans="1:8" ht="25.5">
      <c r="A93" s="209"/>
      <c r="B93" s="133" t="s">
        <v>53</v>
      </c>
      <c r="C93" s="202"/>
      <c r="D93" s="202"/>
      <c r="E93" s="38">
        <f t="shared" si="5"/>
        <v>6801.97981721</v>
      </c>
      <c r="F93" s="38">
        <v>2111.462</v>
      </c>
      <c r="G93" s="38">
        <f t="shared" si="6"/>
        <v>2282.490422</v>
      </c>
      <c r="H93" s="38">
        <f t="shared" si="4"/>
        <v>2408.0273952099997</v>
      </c>
    </row>
    <row r="94" spans="1:8" ht="76.5">
      <c r="A94" s="209"/>
      <c r="B94" s="133" t="s">
        <v>236</v>
      </c>
      <c r="C94" s="202"/>
      <c r="D94" s="202"/>
      <c r="E94" s="38">
        <f>F94+G94+H94</f>
        <v>192.465828975</v>
      </c>
      <c r="F94" s="38">
        <f>221.864-22.102-140.017</f>
        <v>59.745000000000005</v>
      </c>
      <c r="G94" s="38">
        <f>F94*1.081</f>
        <v>64.584345</v>
      </c>
      <c r="H94" s="38">
        <f>G94*1.055</f>
        <v>68.13648397499999</v>
      </c>
    </row>
    <row r="95" spans="1:8" ht="51">
      <c r="A95" s="205"/>
      <c r="B95" s="133" t="s">
        <v>288</v>
      </c>
      <c r="C95" s="198"/>
      <c r="D95" s="198"/>
      <c r="E95" s="38">
        <f>F95+G95+H95</f>
        <v>62.001</v>
      </c>
      <c r="F95" s="38">
        <v>62.001</v>
      </c>
      <c r="G95" s="38"/>
      <c r="H95" s="38"/>
    </row>
    <row r="96" spans="1:8" ht="12.75" customHeight="1">
      <c r="A96" s="204" t="s">
        <v>75</v>
      </c>
      <c r="B96" s="133"/>
      <c r="C96" s="197" t="s">
        <v>286</v>
      </c>
      <c r="D96" s="197" t="s">
        <v>17</v>
      </c>
      <c r="E96" s="39">
        <f aca="true" t="shared" si="7" ref="E96:E107">F96+G96+H96</f>
        <v>202803.063265905</v>
      </c>
      <c r="F96" s="39">
        <f>SUM(F97:F107)-F99</f>
        <v>93034.531</v>
      </c>
      <c r="G96" s="39">
        <f>SUM(G97:G107)</f>
        <v>63682.984071000006</v>
      </c>
      <c r="H96" s="39">
        <f>SUM(H97:H107)</f>
        <v>46085.54819490499</v>
      </c>
    </row>
    <row r="97" spans="1:11" ht="38.25">
      <c r="A97" s="209"/>
      <c r="B97" s="36" t="s">
        <v>150</v>
      </c>
      <c r="C97" s="202"/>
      <c r="D97" s="202"/>
      <c r="E97" s="38">
        <f>F97+G97+H97</f>
        <v>71233.003</v>
      </c>
      <c r="F97" s="38">
        <f>62923.271+3.9-5510.587-11083.687-7764.257+20000+2400.244-6000-4482.317+1664.344+0.248-199.595+380.56-260.001-600+460.88-700</f>
        <v>51233.003</v>
      </c>
      <c r="G97" s="38">
        <v>20000</v>
      </c>
      <c r="H97" s="38"/>
      <c r="I97" s="53" t="s">
        <v>196</v>
      </c>
      <c r="J97" s="56">
        <v>46332.897</v>
      </c>
      <c r="K97" s="61">
        <f>J97-F97</f>
        <v>-4900.106</v>
      </c>
    </row>
    <row r="98" spans="1:11" ht="25.5">
      <c r="A98" s="209"/>
      <c r="B98" s="36" t="s">
        <v>54</v>
      </c>
      <c r="C98" s="202"/>
      <c r="D98" s="202"/>
      <c r="E98" s="38">
        <f t="shared" si="7"/>
        <v>117961.715441785</v>
      </c>
      <c r="F98" s="38">
        <f>24370.303+2996.81+7251.4-676+10230.25+4501.307+19.176+770.988-300+466.167-500-5000-510.327-7310+79.478+227.975</f>
        <v>36617.527</v>
      </c>
      <c r="G98" s="38">
        <f aca="true" t="shared" si="8" ref="G98:G106">F98*1.081</f>
        <v>39583.546687</v>
      </c>
      <c r="H98" s="38">
        <f aca="true" t="shared" si="9" ref="H98:H106">G98*1.055</f>
        <v>41760.641754785</v>
      </c>
      <c r="I98" s="53" t="s">
        <v>196</v>
      </c>
      <c r="J98" s="56">
        <v>33942.513</v>
      </c>
      <c r="K98" s="61">
        <f>J98-F98</f>
        <v>-2675.014000000003</v>
      </c>
    </row>
    <row r="99" spans="1:11" ht="63.75">
      <c r="A99" s="209"/>
      <c r="B99" s="46" t="s">
        <v>350</v>
      </c>
      <c r="C99" s="202"/>
      <c r="D99" s="202"/>
      <c r="E99" s="38">
        <f t="shared" si="7"/>
        <v>8921.064</v>
      </c>
      <c r="F99" s="38">
        <v>8921.064</v>
      </c>
      <c r="G99" s="38">
        <v>0</v>
      </c>
      <c r="H99" s="38">
        <v>0</v>
      </c>
      <c r="K99" s="61"/>
    </row>
    <row r="100" spans="1:8" ht="12.75">
      <c r="A100" s="209"/>
      <c r="B100" s="36" t="s">
        <v>117</v>
      </c>
      <c r="C100" s="202"/>
      <c r="D100" s="202"/>
      <c r="E100" s="38">
        <f t="shared" si="7"/>
        <v>5222.764590019999</v>
      </c>
      <c r="F100" s="38">
        <f>95+30+1496.244</f>
        <v>1621.244</v>
      </c>
      <c r="G100" s="38">
        <f t="shared" si="8"/>
        <v>1752.5647639999997</v>
      </c>
      <c r="H100" s="38">
        <f t="shared" si="9"/>
        <v>1848.9558260199997</v>
      </c>
    </row>
    <row r="101" spans="1:8" ht="38.25">
      <c r="A101" s="209"/>
      <c r="B101" s="36" t="s">
        <v>348</v>
      </c>
      <c r="C101" s="202"/>
      <c r="D101" s="202"/>
      <c r="E101" s="38">
        <f t="shared" si="7"/>
        <v>161.342</v>
      </c>
      <c r="F101" s="38">
        <v>161.342</v>
      </c>
      <c r="G101" s="38">
        <v>0</v>
      </c>
      <c r="H101" s="38">
        <v>0</v>
      </c>
    </row>
    <row r="102" spans="1:8" ht="25.5">
      <c r="A102" s="209"/>
      <c r="B102" s="36" t="s">
        <v>351</v>
      </c>
      <c r="C102" s="202"/>
      <c r="D102" s="202"/>
      <c r="E102" s="38">
        <f t="shared" si="7"/>
        <v>952.037</v>
      </c>
      <c r="F102" s="38">
        <v>952.037</v>
      </c>
      <c r="G102" s="38"/>
      <c r="H102" s="38"/>
    </row>
    <row r="103" spans="1:8" ht="12.75">
      <c r="A103" s="209"/>
      <c r="B103" s="36" t="s">
        <v>129</v>
      </c>
      <c r="C103" s="202"/>
      <c r="D103" s="202"/>
      <c r="E103" s="38">
        <f t="shared" si="7"/>
        <v>4231.310270489999</v>
      </c>
      <c r="F103" s="38">
        <v>1313.478</v>
      </c>
      <c r="G103" s="38">
        <f t="shared" si="8"/>
        <v>1419.869718</v>
      </c>
      <c r="H103" s="38">
        <f t="shared" si="9"/>
        <v>1497.9625524899998</v>
      </c>
    </row>
    <row r="104" spans="1:8" ht="12.75">
      <c r="A104" s="209"/>
      <c r="B104" s="36" t="s">
        <v>128</v>
      </c>
      <c r="C104" s="202"/>
      <c r="D104" s="202"/>
      <c r="E104" s="38">
        <f t="shared" si="7"/>
        <v>1180.6858076849999</v>
      </c>
      <c r="F104" s="38">
        <v>366.507</v>
      </c>
      <c r="G104" s="38">
        <f t="shared" si="8"/>
        <v>396.194067</v>
      </c>
      <c r="H104" s="38">
        <f t="shared" si="9"/>
        <v>417.984740685</v>
      </c>
    </row>
    <row r="105" spans="1:8" ht="30.75" customHeight="1">
      <c r="A105" s="209"/>
      <c r="B105" s="36" t="s">
        <v>151</v>
      </c>
      <c r="C105" s="202"/>
      <c r="D105" s="202"/>
      <c r="E105" s="38">
        <f t="shared" si="7"/>
        <v>780.2686155499999</v>
      </c>
      <c r="F105" s="38">
        <v>242.21</v>
      </c>
      <c r="G105" s="38">
        <f t="shared" si="8"/>
        <v>261.82901</v>
      </c>
      <c r="H105" s="38">
        <f t="shared" si="9"/>
        <v>276.22960555</v>
      </c>
    </row>
    <row r="106" spans="1:9" ht="63.75">
      <c r="A106" s="209"/>
      <c r="B106" s="36" t="s">
        <v>233</v>
      </c>
      <c r="C106" s="202"/>
      <c r="D106" s="202"/>
      <c r="E106" s="38">
        <f t="shared" si="7"/>
        <v>801.5785403749999</v>
      </c>
      <c r="F106" s="38">
        <f>202.025+46.8</f>
        <v>248.825</v>
      </c>
      <c r="G106" s="38">
        <f t="shared" si="8"/>
        <v>268.979825</v>
      </c>
      <c r="H106" s="38">
        <f t="shared" si="9"/>
        <v>283.773715375</v>
      </c>
      <c r="I106" s="53" t="s">
        <v>197</v>
      </c>
    </row>
    <row r="107" spans="1:8" ht="121.5" customHeight="1">
      <c r="A107" s="209"/>
      <c r="B107" s="36" t="s">
        <v>308</v>
      </c>
      <c r="C107" s="202"/>
      <c r="D107" s="202"/>
      <c r="E107" s="38">
        <f t="shared" si="7"/>
        <v>278.358</v>
      </c>
      <c r="F107" s="38">
        <v>278.358</v>
      </c>
      <c r="G107" s="38"/>
      <c r="H107" s="38"/>
    </row>
    <row r="108" spans="1:9" ht="12.75">
      <c r="A108" s="208" t="s">
        <v>289</v>
      </c>
      <c r="B108" s="133"/>
      <c r="C108" s="201" t="s">
        <v>290</v>
      </c>
      <c r="D108" s="201" t="s">
        <v>17</v>
      </c>
      <c r="E108" s="39">
        <f>F108+G108+H108</f>
        <v>6230.491</v>
      </c>
      <c r="F108" s="39">
        <f>SUM(F109:F109)</f>
        <v>6230.491</v>
      </c>
      <c r="G108" s="39">
        <f>SUM(G109:G109)</f>
        <v>0</v>
      </c>
      <c r="H108" s="39">
        <f>SUM(H109:H109)</f>
        <v>0</v>
      </c>
      <c r="I108" s="62"/>
    </row>
    <row r="109" spans="1:9" ht="140.25">
      <c r="A109" s="208"/>
      <c r="B109" s="133" t="s">
        <v>291</v>
      </c>
      <c r="C109" s="201"/>
      <c r="D109" s="201"/>
      <c r="E109" s="38">
        <f>F109+G109+H109</f>
        <v>6230.491</v>
      </c>
      <c r="F109" s="38">
        <v>6230.491</v>
      </c>
      <c r="G109" s="38"/>
      <c r="H109" s="38"/>
      <c r="I109" s="62"/>
    </row>
    <row r="110" spans="1:9" ht="12.75" customHeight="1">
      <c r="A110" s="204" t="s">
        <v>60</v>
      </c>
      <c r="B110" s="133"/>
      <c r="C110" s="197" t="s">
        <v>280</v>
      </c>
      <c r="D110" s="197" t="s">
        <v>17</v>
      </c>
      <c r="E110" s="39">
        <f aca="true" t="shared" si="10" ref="E110:E117">F110+G110+H110</f>
        <v>3634.868102045</v>
      </c>
      <c r="F110" s="39">
        <f>F111+F114</f>
        <v>670.959</v>
      </c>
      <c r="G110" s="39">
        <f>SUM(G111:G114)</f>
        <v>1442.290739</v>
      </c>
      <c r="H110" s="39">
        <f>SUM(H111:H114)</f>
        <v>1521.618363045</v>
      </c>
      <c r="I110" s="63" t="e">
        <f>F110+F115+F117+F124+F128+F130+F132+F134+F137+#REF!+F142+F144+F149</f>
        <v>#REF!</v>
      </c>
    </row>
    <row r="111" spans="1:9" ht="25.5">
      <c r="A111" s="209"/>
      <c r="B111" s="36" t="s">
        <v>359</v>
      </c>
      <c r="C111" s="202"/>
      <c r="D111" s="202"/>
      <c r="E111" s="38">
        <f t="shared" si="10"/>
        <v>2136.66306</v>
      </c>
      <c r="F111" s="38">
        <f>F112+F113</f>
        <v>663.26</v>
      </c>
      <c r="G111" s="38">
        <f>F111*1.081</f>
        <v>716.98406</v>
      </c>
      <c r="H111" s="38">
        <v>756.419</v>
      </c>
      <c r="I111" s="63"/>
    </row>
    <row r="112" spans="1:9" ht="12.75">
      <c r="A112" s="209"/>
      <c r="B112" s="64" t="s">
        <v>360</v>
      </c>
      <c r="C112" s="202"/>
      <c r="D112" s="202"/>
      <c r="E112" s="47">
        <f t="shared" si="10"/>
        <v>483.565748</v>
      </c>
      <c r="F112" s="47">
        <v>150.108</v>
      </c>
      <c r="G112" s="47">
        <f>F112*1.081</f>
        <v>162.266748</v>
      </c>
      <c r="H112" s="47">
        <v>171.191</v>
      </c>
      <c r="I112" s="63"/>
    </row>
    <row r="113" spans="1:9" ht="12.75">
      <c r="A113" s="209"/>
      <c r="B113" s="64" t="s">
        <v>380</v>
      </c>
      <c r="C113" s="202"/>
      <c r="D113" s="202"/>
      <c r="E113" s="47">
        <f t="shared" si="10"/>
        <v>1653.0973119999999</v>
      </c>
      <c r="F113" s="177">
        <v>513.152</v>
      </c>
      <c r="G113" s="47">
        <f>F113*1.081</f>
        <v>554.717312</v>
      </c>
      <c r="H113" s="47">
        <v>585.228</v>
      </c>
      <c r="I113" s="63"/>
    </row>
    <row r="114" spans="1:8" ht="25.5">
      <c r="A114" s="205"/>
      <c r="B114" s="36" t="s">
        <v>105</v>
      </c>
      <c r="C114" s="198"/>
      <c r="D114" s="198"/>
      <c r="E114" s="38">
        <v>24.004</v>
      </c>
      <c r="F114" s="38">
        <f>7.451+0.248</f>
        <v>7.699</v>
      </c>
      <c r="G114" s="38">
        <f>F114*1.081</f>
        <v>8.322619</v>
      </c>
      <c r="H114" s="38">
        <f>G114*1.055</f>
        <v>8.780363045</v>
      </c>
    </row>
    <row r="115" spans="1:8" ht="25.5" customHeight="1">
      <c r="A115" s="204" t="s">
        <v>104</v>
      </c>
      <c r="B115" s="36"/>
      <c r="C115" s="201" t="s">
        <v>280</v>
      </c>
      <c r="D115" s="201" t="s">
        <v>17</v>
      </c>
      <c r="E115" s="39">
        <f t="shared" si="10"/>
        <v>536.607423715</v>
      </c>
      <c r="F115" s="39">
        <f>SUM(F116:F116)</f>
        <v>166.573</v>
      </c>
      <c r="G115" s="39">
        <f>SUM(G116:G116)</f>
        <v>180.065413</v>
      </c>
      <c r="H115" s="39">
        <f>SUM(H116:H116)</f>
        <v>189.969010715</v>
      </c>
    </row>
    <row r="116" spans="1:8" ht="25.5">
      <c r="A116" s="205"/>
      <c r="B116" s="36" t="s">
        <v>107</v>
      </c>
      <c r="C116" s="201"/>
      <c r="D116" s="201"/>
      <c r="E116" s="38">
        <f t="shared" si="10"/>
        <v>536.607423715</v>
      </c>
      <c r="F116" s="38">
        <v>166.573</v>
      </c>
      <c r="G116" s="38">
        <f>F116*1.081</f>
        <v>180.065413</v>
      </c>
      <c r="H116" s="38">
        <f>G116*1.055</f>
        <v>189.969010715</v>
      </c>
    </row>
    <row r="117" spans="1:8" ht="12.75" customHeight="1">
      <c r="A117" s="224" t="s">
        <v>70</v>
      </c>
      <c r="B117" s="133"/>
      <c r="C117" s="197" t="s">
        <v>280</v>
      </c>
      <c r="D117" s="197" t="s">
        <v>17</v>
      </c>
      <c r="E117" s="39">
        <f t="shared" si="10"/>
        <v>6091.815652634999</v>
      </c>
      <c r="F117" s="39">
        <f>SUM(F118:F123)</f>
        <v>2498.841</v>
      </c>
      <c r="G117" s="39">
        <f>SUM(G118:G122)</f>
        <v>1748.406157</v>
      </c>
      <c r="H117" s="39">
        <f>SUM(H118:H122)</f>
        <v>1844.5684956349999</v>
      </c>
    </row>
    <row r="118" spans="1:8" ht="12.75">
      <c r="A118" s="235"/>
      <c r="B118" s="36" t="s">
        <v>23</v>
      </c>
      <c r="C118" s="202"/>
      <c r="D118" s="202"/>
      <c r="E118" s="38">
        <f aca="true" t="shared" si="11" ref="E118:E123">SUM(F118:H118)</f>
        <v>4582.568059325</v>
      </c>
      <c r="F118" s="38">
        <f>320.733+39.093+1062.689</f>
        <v>1422.515</v>
      </c>
      <c r="G118" s="38">
        <f aca="true" t="shared" si="12" ref="G118:G123">F118*1.081</f>
        <v>1537.738715</v>
      </c>
      <c r="H118" s="38">
        <f aca="true" t="shared" si="13" ref="H118:H123">G118*1.055</f>
        <v>1622.3143443249999</v>
      </c>
    </row>
    <row r="119" spans="1:8" ht="25.5">
      <c r="A119" s="235"/>
      <c r="B119" s="36" t="s">
        <v>27</v>
      </c>
      <c r="C119" s="202"/>
      <c r="D119" s="202"/>
      <c r="E119" s="38">
        <f t="shared" si="11"/>
        <v>153.74716132999998</v>
      </c>
      <c r="F119" s="38">
        <v>47.726</v>
      </c>
      <c r="G119" s="38">
        <f t="shared" si="12"/>
        <v>51.591806</v>
      </c>
      <c r="H119" s="38">
        <f t="shared" si="13"/>
        <v>54.42935532999999</v>
      </c>
    </row>
    <row r="120" spans="1:8" ht="41.25" customHeight="1">
      <c r="A120" s="235"/>
      <c r="B120" s="36" t="s">
        <v>383</v>
      </c>
      <c r="C120" s="202"/>
      <c r="D120" s="202"/>
      <c r="E120" s="38">
        <f t="shared" si="11"/>
        <v>121.97395066499999</v>
      </c>
      <c r="F120" s="38">
        <v>37.863</v>
      </c>
      <c r="G120" s="38">
        <f t="shared" si="12"/>
        <v>40.929902999999996</v>
      </c>
      <c r="H120" s="38">
        <f t="shared" si="13"/>
        <v>43.181047664999994</v>
      </c>
    </row>
    <row r="121" spans="1:8" ht="12.75">
      <c r="A121" s="235"/>
      <c r="B121" s="36" t="s">
        <v>330</v>
      </c>
      <c r="C121" s="202"/>
      <c r="D121" s="202"/>
      <c r="E121" s="38">
        <f t="shared" si="11"/>
        <v>261.40818743</v>
      </c>
      <c r="F121" s="38">
        <v>81.146</v>
      </c>
      <c r="G121" s="38">
        <f t="shared" si="12"/>
        <v>87.71882599999999</v>
      </c>
      <c r="H121" s="38">
        <f t="shared" si="13"/>
        <v>92.54336142999999</v>
      </c>
    </row>
    <row r="122" spans="1:8" ht="25.5">
      <c r="A122" s="235"/>
      <c r="B122" s="36" t="s">
        <v>114</v>
      </c>
      <c r="C122" s="202"/>
      <c r="D122" s="202"/>
      <c r="E122" s="38">
        <f t="shared" si="11"/>
        <v>90.67429388499998</v>
      </c>
      <c r="F122" s="38">
        <v>28.147</v>
      </c>
      <c r="G122" s="38">
        <f t="shared" si="12"/>
        <v>30.426906999999996</v>
      </c>
      <c r="H122" s="38">
        <f t="shared" si="13"/>
        <v>32.10038688499999</v>
      </c>
    </row>
    <row r="123" spans="1:8" ht="57.75" customHeight="1">
      <c r="A123" s="225"/>
      <c r="B123" s="36" t="s">
        <v>384</v>
      </c>
      <c r="C123" s="198"/>
      <c r="D123" s="198"/>
      <c r="E123" s="38">
        <f t="shared" si="11"/>
        <v>2839.53218102</v>
      </c>
      <c r="F123" s="38">
        <f>472.057+409.388-0.001</f>
        <v>881.444</v>
      </c>
      <c r="G123" s="38">
        <f t="shared" si="12"/>
        <v>952.8409639999999</v>
      </c>
      <c r="H123" s="38">
        <f t="shared" si="13"/>
        <v>1005.2472170199998</v>
      </c>
    </row>
    <row r="124" spans="1:8" ht="12.75" customHeight="1">
      <c r="A124" s="206" t="s">
        <v>77</v>
      </c>
      <c r="B124" s="36"/>
      <c r="C124" s="201" t="s">
        <v>280</v>
      </c>
      <c r="D124" s="201" t="s">
        <v>17</v>
      </c>
      <c r="E124" s="39">
        <f aca="true" t="shared" si="14" ref="E124:E131">F124+G124+H124</f>
        <v>702.9017116350001</v>
      </c>
      <c r="F124" s="39">
        <f>F125+F126+F127</f>
        <v>287.052</v>
      </c>
      <c r="G124" s="39">
        <f>SUM(G125:G126)</f>
        <v>202.359957</v>
      </c>
      <c r="H124" s="39">
        <f>SUM(H125:H126)</f>
        <v>213.489754635</v>
      </c>
    </row>
    <row r="125" spans="1:8" ht="12.75">
      <c r="A125" s="213"/>
      <c r="B125" s="36" t="s">
        <v>28</v>
      </c>
      <c r="C125" s="201"/>
      <c r="D125" s="201"/>
      <c r="E125" s="38">
        <f t="shared" si="14"/>
        <v>51.50462254</v>
      </c>
      <c r="F125" s="38">
        <v>15.988</v>
      </c>
      <c r="G125" s="38">
        <f>F125*1.081</f>
        <v>17.283027999999998</v>
      </c>
      <c r="H125" s="38">
        <f>G125*1.055</f>
        <v>18.23359454</v>
      </c>
    </row>
    <row r="126" spans="1:8" ht="12.75">
      <c r="A126" s="213"/>
      <c r="B126" s="36" t="s">
        <v>29</v>
      </c>
      <c r="C126" s="201"/>
      <c r="D126" s="201"/>
      <c r="E126" s="38">
        <f t="shared" si="14"/>
        <v>551.5420890949999</v>
      </c>
      <c r="F126" s="38">
        <v>171.209</v>
      </c>
      <c r="G126" s="38">
        <f>F126*1.081</f>
        <v>185.076929</v>
      </c>
      <c r="H126" s="38">
        <f>G126*1.055</f>
        <v>195.25616009499998</v>
      </c>
    </row>
    <row r="127" spans="1:8" ht="12.75">
      <c r="A127" s="214"/>
      <c r="B127" s="36" t="s">
        <v>353</v>
      </c>
      <c r="C127" s="148"/>
      <c r="D127" s="148"/>
      <c r="E127" s="38">
        <f t="shared" si="14"/>
        <v>321.678389025</v>
      </c>
      <c r="F127" s="38">
        <v>99.855</v>
      </c>
      <c r="G127" s="38">
        <f>F127*1.081</f>
        <v>107.943255</v>
      </c>
      <c r="H127" s="38">
        <f>G127*1.055</f>
        <v>113.88013402499999</v>
      </c>
    </row>
    <row r="128" spans="1:8" ht="39.75" customHeight="1">
      <c r="A128" s="203" t="s">
        <v>76</v>
      </c>
      <c r="B128" s="36"/>
      <c r="C128" s="201" t="s">
        <v>280</v>
      </c>
      <c r="D128" s="201" t="s">
        <v>17</v>
      </c>
      <c r="E128" s="39">
        <f t="shared" si="14"/>
        <v>293.439114495</v>
      </c>
      <c r="F128" s="39">
        <f>SUM(F129)</f>
        <v>91.089</v>
      </c>
      <c r="G128" s="39">
        <f>SUM(G129)</f>
        <v>98.467209</v>
      </c>
      <c r="H128" s="39">
        <f>SUM(H129)</f>
        <v>103.88290549499999</v>
      </c>
    </row>
    <row r="129" spans="1:8" ht="12.75">
      <c r="A129" s="203"/>
      <c r="B129" s="36" t="s">
        <v>30</v>
      </c>
      <c r="C129" s="201"/>
      <c r="D129" s="201"/>
      <c r="E129" s="38">
        <f t="shared" si="14"/>
        <v>293.439114495</v>
      </c>
      <c r="F129" s="38">
        <v>91.089</v>
      </c>
      <c r="G129" s="38">
        <f>F129*1.081</f>
        <v>98.467209</v>
      </c>
      <c r="H129" s="38">
        <f>G129*1.055</f>
        <v>103.88290549499999</v>
      </c>
    </row>
    <row r="130" spans="1:8" ht="51" customHeight="1">
      <c r="A130" s="203" t="s">
        <v>185</v>
      </c>
      <c r="B130" s="36"/>
      <c r="C130" s="201" t="s">
        <v>280</v>
      </c>
      <c r="D130" s="201" t="s">
        <v>17</v>
      </c>
      <c r="E130" s="39">
        <f t="shared" si="14"/>
        <v>112.72193190499999</v>
      </c>
      <c r="F130" s="39">
        <f>SUM(F131)</f>
        <v>34.991</v>
      </c>
      <c r="G130" s="39">
        <f>SUM(G131)</f>
        <v>37.825271</v>
      </c>
      <c r="H130" s="39">
        <f>SUM(H131)</f>
        <v>39.905660905</v>
      </c>
    </row>
    <row r="131" spans="1:8" ht="25.5">
      <c r="A131" s="203"/>
      <c r="B131" s="36" t="s">
        <v>186</v>
      </c>
      <c r="C131" s="201"/>
      <c r="D131" s="201"/>
      <c r="E131" s="38">
        <f t="shared" si="14"/>
        <v>112.72193190499999</v>
      </c>
      <c r="F131" s="38">
        <v>34.991</v>
      </c>
      <c r="G131" s="38">
        <f>F131*1.081</f>
        <v>37.825271</v>
      </c>
      <c r="H131" s="38">
        <f>G131*1.055</f>
        <v>39.905660905</v>
      </c>
    </row>
    <row r="132" spans="1:8" ht="12.75">
      <c r="A132" s="206" t="s">
        <v>235</v>
      </c>
      <c r="B132" s="260" t="s">
        <v>234</v>
      </c>
      <c r="C132" s="197" t="s">
        <v>280</v>
      </c>
      <c r="D132" s="197" t="s">
        <v>17</v>
      </c>
      <c r="E132" s="39">
        <f>E133</f>
        <v>257.687</v>
      </c>
      <c r="F132" s="39">
        <f>F133</f>
        <v>79.991</v>
      </c>
      <c r="G132" s="39">
        <f>G133</f>
        <v>86.47</v>
      </c>
      <c r="H132" s="39">
        <f>H133</f>
        <v>91.226</v>
      </c>
    </row>
    <row r="133" spans="1:8" ht="27.75" customHeight="1">
      <c r="A133" s="259"/>
      <c r="B133" s="262"/>
      <c r="C133" s="198"/>
      <c r="D133" s="259"/>
      <c r="E133" s="38">
        <f>F133+G133+H133</f>
        <v>257.687</v>
      </c>
      <c r="F133" s="38">
        <v>79.991</v>
      </c>
      <c r="G133" s="38">
        <v>86.47</v>
      </c>
      <c r="H133" s="38">
        <v>91.226</v>
      </c>
    </row>
    <row r="134" spans="1:9" ht="15" customHeight="1">
      <c r="A134" s="263" t="s">
        <v>385</v>
      </c>
      <c r="B134" s="178"/>
      <c r="C134" s="269" t="s">
        <v>280</v>
      </c>
      <c r="D134" s="194" t="s">
        <v>17</v>
      </c>
      <c r="E134" s="39">
        <f aca="true" t="shared" si="15" ref="E134:E141">F134+G134+H134</f>
        <v>19044.402000000002</v>
      </c>
      <c r="F134" s="39">
        <f>F135+F136</f>
        <v>5911.739</v>
      </c>
      <c r="G134" s="39">
        <f>G135+G136</f>
        <v>6390.59</v>
      </c>
      <c r="H134" s="39">
        <f>H135+H136</f>
        <v>6742.073</v>
      </c>
      <c r="I134" s="56"/>
    </row>
    <row r="135" spans="1:9" ht="18" customHeight="1">
      <c r="A135" s="264"/>
      <c r="B135" s="44" t="s">
        <v>229</v>
      </c>
      <c r="C135" s="270"/>
      <c r="D135" s="266"/>
      <c r="E135" s="38">
        <f t="shared" si="15"/>
        <v>9187.798999999999</v>
      </c>
      <c r="F135" s="38">
        <f>2355.766+496.299</f>
        <v>2852.065</v>
      </c>
      <c r="G135" s="38">
        <f aca="true" t="shared" si="16" ref="G135:G140">ROUND((F135*1.081),3)</f>
        <v>3083.082</v>
      </c>
      <c r="H135" s="38">
        <f aca="true" t="shared" si="17" ref="H135:H141">ROUND((G135*1.055),3)</f>
        <v>3252.652</v>
      </c>
      <c r="I135" s="56"/>
    </row>
    <row r="136" spans="1:9" ht="42.75" customHeight="1">
      <c r="A136" s="265"/>
      <c r="B136" s="44" t="s">
        <v>247</v>
      </c>
      <c r="C136" s="271"/>
      <c r="D136" s="221"/>
      <c r="E136" s="38">
        <f t="shared" si="15"/>
        <v>9856.603</v>
      </c>
      <c r="F136" s="38">
        <f>917.902+2141.772</f>
        <v>3059.674</v>
      </c>
      <c r="G136" s="38">
        <f t="shared" si="16"/>
        <v>3307.508</v>
      </c>
      <c r="H136" s="38">
        <f t="shared" si="17"/>
        <v>3489.421</v>
      </c>
      <c r="I136" s="56"/>
    </row>
    <row r="137" spans="1:9" ht="13.5" customHeight="1">
      <c r="A137" s="191" t="s">
        <v>386</v>
      </c>
      <c r="B137" s="179"/>
      <c r="C137" s="188" t="s">
        <v>280</v>
      </c>
      <c r="D137" s="194" t="s">
        <v>17</v>
      </c>
      <c r="E137" s="39">
        <f>F137+G137+H137</f>
        <v>10623.223</v>
      </c>
      <c r="F137" s="40">
        <f>SUM(F138:F141)</f>
        <v>3297.6479999999997</v>
      </c>
      <c r="G137" s="40">
        <f>SUM(G138:G141)</f>
        <v>3564.757</v>
      </c>
      <c r="H137" s="40">
        <f>SUM(H138:H141)</f>
        <v>3760.818</v>
      </c>
      <c r="I137" s="56"/>
    </row>
    <row r="138" spans="1:9" ht="28.5" customHeight="1">
      <c r="A138" s="192"/>
      <c r="B138" s="36" t="s">
        <v>123</v>
      </c>
      <c r="C138" s="189"/>
      <c r="D138" s="195"/>
      <c r="E138" s="38">
        <f t="shared" si="15"/>
        <v>5258.478</v>
      </c>
      <c r="F138" s="38">
        <v>1632.33</v>
      </c>
      <c r="G138" s="38">
        <f t="shared" si="16"/>
        <v>1764.549</v>
      </c>
      <c r="H138" s="38">
        <f t="shared" si="17"/>
        <v>1861.599</v>
      </c>
      <c r="I138" s="61"/>
    </row>
    <row r="139" spans="1:9" ht="24" customHeight="1">
      <c r="A139" s="192"/>
      <c r="B139" s="36" t="s">
        <v>387</v>
      </c>
      <c r="C139" s="189"/>
      <c r="D139" s="195"/>
      <c r="E139" s="38">
        <f t="shared" si="15"/>
        <v>437.4409999999999</v>
      </c>
      <c r="F139" s="180">
        <v>135.79</v>
      </c>
      <c r="G139" s="38">
        <f t="shared" si="16"/>
        <v>146.789</v>
      </c>
      <c r="H139" s="38">
        <f t="shared" si="17"/>
        <v>154.862</v>
      </c>
      <c r="I139" s="56"/>
    </row>
    <row r="140" spans="1:9" ht="30" customHeight="1">
      <c r="A140" s="192"/>
      <c r="B140" s="36" t="s">
        <v>388</v>
      </c>
      <c r="C140" s="190"/>
      <c r="D140" s="195"/>
      <c r="E140" s="38">
        <f t="shared" si="15"/>
        <v>741.629</v>
      </c>
      <c r="F140" s="180">
        <v>230.216</v>
      </c>
      <c r="G140" s="38">
        <f t="shared" si="16"/>
        <v>248.863</v>
      </c>
      <c r="H140" s="38">
        <f t="shared" si="17"/>
        <v>262.55</v>
      </c>
      <c r="I140" s="56"/>
    </row>
    <row r="141" spans="1:9" ht="27.75" customHeight="1">
      <c r="A141" s="193"/>
      <c r="B141" s="36" t="s">
        <v>230</v>
      </c>
      <c r="C141" s="135"/>
      <c r="D141" s="196"/>
      <c r="E141" s="38">
        <f t="shared" si="15"/>
        <v>4185.675</v>
      </c>
      <c r="F141" s="180">
        <v>1299.312</v>
      </c>
      <c r="G141" s="38">
        <v>1404.556</v>
      </c>
      <c r="H141" s="38">
        <f t="shared" si="17"/>
        <v>1481.807</v>
      </c>
      <c r="I141" s="56"/>
    </row>
    <row r="142" spans="1:9" ht="18" customHeight="1">
      <c r="A142" s="199" t="s">
        <v>231</v>
      </c>
      <c r="B142" s="147"/>
      <c r="C142" s="197" t="s">
        <v>280</v>
      </c>
      <c r="D142" s="197" t="s">
        <v>17</v>
      </c>
      <c r="E142" s="39">
        <f>E143</f>
        <v>199.976</v>
      </c>
      <c r="F142" s="39">
        <f>F143</f>
        <v>199.976</v>
      </c>
      <c r="G142" s="39">
        <f>G143</f>
        <v>0</v>
      </c>
      <c r="H142" s="39">
        <f>H143</f>
        <v>0</v>
      </c>
      <c r="I142" s="56"/>
    </row>
    <row r="143" spans="1:9" ht="41.25" customHeight="1">
      <c r="A143" s="200"/>
      <c r="B143" s="133" t="s">
        <v>252</v>
      </c>
      <c r="C143" s="198"/>
      <c r="D143" s="198"/>
      <c r="E143" s="38">
        <f aca="true" t="shared" si="18" ref="E143:E148">F143+G143+H143</f>
        <v>199.976</v>
      </c>
      <c r="F143" s="38">
        <v>199.976</v>
      </c>
      <c r="G143" s="38">
        <v>0</v>
      </c>
      <c r="H143" s="38">
        <v>0</v>
      </c>
      <c r="I143" s="56"/>
    </row>
    <row r="144" spans="1:8" ht="28.5" customHeight="1">
      <c r="A144" s="204" t="s">
        <v>75</v>
      </c>
      <c r="B144" s="36"/>
      <c r="C144" s="197" t="s">
        <v>280</v>
      </c>
      <c r="D144" s="197" t="s">
        <v>17</v>
      </c>
      <c r="E144" s="39">
        <f>F144+G144+H144</f>
        <v>3765.668160505</v>
      </c>
      <c r="F144" s="39">
        <f>F145</f>
        <v>3068.3289999999997</v>
      </c>
      <c r="G144" s="39">
        <f>G145</f>
        <v>339.33779100000004</v>
      </c>
      <c r="H144" s="39">
        <f>H145</f>
        <v>358.00136950499996</v>
      </c>
    </row>
    <row r="145" spans="1:9" s="59" customFormat="1" ht="25.5">
      <c r="A145" s="209"/>
      <c r="B145" s="133" t="s">
        <v>253</v>
      </c>
      <c r="C145" s="202"/>
      <c r="D145" s="202"/>
      <c r="E145" s="38">
        <f>F145+G145+H145</f>
        <v>3765.668160505</v>
      </c>
      <c r="F145" s="38">
        <f>F146+F147+F148</f>
        <v>3068.3289999999997</v>
      </c>
      <c r="G145" s="38">
        <f>G146+G147+G148</f>
        <v>339.33779100000004</v>
      </c>
      <c r="H145" s="38">
        <f>H146+H147+H148</f>
        <v>358.00136950499996</v>
      </c>
      <c r="I145" s="60"/>
    </row>
    <row r="146" spans="1:9" s="59" customFormat="1" ht="12.75">
      <c r="A146" s="209"/>
      <c r="B146" s="64" t="s">
        <v>254</v>
      </c>
      <c r="C146" s="202"/>
      <c r="D146" s="202"/>
      <c r="E146" s="47">
        <f t="shared" si="18"/>
        <v>383.19207224999997</v>
      </c>
      <c r="F146" s="47">
        <f>98.8+20.15</f>
        <v>118.94999999999999</v>
      </c>
      <c r="G146" s="47">
        <f>F146*1.081</f>
        <v>128.58495</v>
      </c>
      <c r="H146" s="47">
        <f>G146*1.055</f>
        <v>135.65712225</v>
      </c>
      <c r="I146" s="60"/>
    </row>
    <row r="147" spans="1:10" ht="12.75">
      <c r="A147" s="209"/>
      <c r="B147" s="64" t="s">
        <v>255</v>
      </c>
      <c r="C147" s="202"/>
      <c r="D147" s="202"/>
      <c r="E147" s="47">
        <f t="shared" si="18"/>
        <v>628.058088255</v>
      </c>
      <c r="F147" s="47">
        <f>101.091+93.87</f>
        <v>194.961</v>
      </c>
      <c r="G147" s="47">
        <f>F147*1.081</f>
        <v>210.75284100000002</v>
      </c>
      <c r="H147" s="47">
        <f>G147*1.055</f>
        <v>222.344247255</v>
      </c>
      <c r="J147" s="56">
        <v>100203</v>
      </c>
    </row>
    <row r="148" spans="1:8" ht="25.5">
      <c r="A148" s="205"/>
      <c r="B148" s="64" t="s">
        <v>298</v>
      </c>
      <c r="C148" s="198"/>
      <c r="D148" s="198"/>
      <c r="E148" s="38">
        <f t="shared" si="18"/>
        <v>2754.4179999999997</v>
      </c>
      <c r="F148" s="38">
        <f>1584.491+1579.315-416.559+7.171</f>
        <v>2754.4179999999997</v>
      </c>
      <c r="G148" s="38">
        <v>0</v>
      </c>
      <c r="H148" s="38">
        <v>0</v>
      </c>
    </row>
    <row r="149" spans="1:8" ht="27.75" customHeight="1">
      <c r="A149" s="224" t="s">
        <v>327</v>
      </c>
      <c r="B149" s="133"/>
      <c r="C149" s="133"/>
      <c r="D149" s="142"/>
      <c r="E149" s="40">
        <f>SUM(F149:H149)</f>
        <v>228.401</v>
      </c>
      <c r="F149" s="40">
        <f>F150</f>
        <v>70.9</v>
      </c>
      <c r="G149" s="40">
        <f>G150</f>
        <v>76.643</v>
      </c>
      <c r="H149" s="40">
        <f>H150</f>
        <v>80.858</v>
      </c>
    </row>
    <row r="150" spans="1:8" ht="40.5" customHeight="1">
      <c r="A150" s="225"/>
      <c r="B150" s="36" t="s">
        <v>328</v>
      </c>
      <c r="C150" s="148" t="s">
        <v>329</v>
      </c>
      <c r="D150" s="142" t="s">
        <v>17</v>
      </c>
      <c r="E150" s="38">
        <v>228.401</v>
      </c>
      <c r="F150" s="38">
        <v>70.9</v>
      </c>
      <c r="G150" s="38">
        <v>76.643</v>
      </c>
      <c r="H150" s="38">
        <v>80.858</v>
      </c>
    </row>
    <row r="151" spans="1:8" ht="12.75">
      <c r="A151" s="203" t="s">
        <v>60</v>
      </c>
      <c r="B151" s="36"/>
      <c r="C151" s="201" t="s">
        <v>274</v>
      </c>
      <c r="D151" s="201" t="s">
        <v>17</v>
      </c>
      <c r="E151" s="39">
        <f aca="true" t="shared" si="19" ref="E151:E170">F151+G151+H151</f>
        <v>1478.5544228049998</v>
      </c>
      <c r="F151" s="39">
        <f>SUM(F152:F153)</f>
        <v>458.971</v>
      </c>
      <c r="G151" s="39">
        <f>SUM(G152:G153)</f>
        <v>496.147651</v>
      </c>
      <c r="H151" s="39">
        <f>SUM(H152:H153)</f>
        <v>523.435771805</v>
      </c>
    </row>
    <row r="152" spans="1:11" ht="27.75" customHeight="1">
      <c r="A152" s="203"/>
      <c r="B152" s="36" t="s">
        <v>31</v>
      </c>
      <c r="C152" s="201"/>
      <c r="D152" s="201"/>
      <c r="E152" s="38">
        <f>F152+G152+H152</f>
        <v>267.39365082</v>
      </c>
      <c r="F152" s="38">
        <v>83.004</v>
      </c>
      <c r="G152" s="38">
        <f>F152*1.081</f>
        <v>89.727324</v>
      </c>
      <c r="H152" s="38">
        <f>G152*1.055</f>
        <v>94.66232681999999</v>
      </c>
      <c r="I152" s="63">
        <f>F151+F154+F167+F172+F174+F182+F184+F187+F189+F191</f>
        <v>12174.722</v>
      </c>
      <c r="J152" s="61">
        <v>197.127</v>
      </c>
      <c r="K152" s="56" t="s">
        <v>269</v>
      </c>
    </row>
    <row r="153" spans="1:8" ht="28.5" customHeight="1">
      <c r="A153" s="203"/>
      <c r="B153" s="36" t="s">
        <v>139</v>
      </c>
      <c r="C153" s="201"/>
      <c r="D153" s="201"/>
      <c r="E153" s="38">
        <f t="shared" si="19"/>
        <v>1211.1607719849999</v>
      </c>
      <c r="F153" s="38">
        <f>134.267+241.7</f>
        <v>375.967</v>
      </c>
      <c r="G153" s="38">
        <f>F153*1.081</f>
        <v>406.420327</v>
      </c>
      <c r="H153" s="38">
        <f>G153*1.055</f>
        <v>428.77344498499997</v>
      </c>
    </row>
    <row r="154" spans="1:9" s="59" customFormat="1" ht="12.75">
      <c r="A154" s="204" t="s">
        <v>70</v>
      </c>
      <c r="B154" s="36"/>
      <c r="C154" s="197" t="s">
        <v>274</v>
      </c>
      <c r="D154" s="197" t="s">
        <v>17</v>
      </c>
      <c r="E154" s="39">
        <f t="shared" si="19"/>
        <v>2490.8903066</v>
      </c>
      <c r="F154" s="39">
        <f>SUM(F155:F166)</f>
        <v>776.371</v>
      </c>
      <c r="G154" s="39">
        <f>SUM(G155:G166)</f>
        <v>835.54312</v>
      </c>
      <c r="H154" s="39">
        <f>SUM(H155:H166)</f>
        <v>878.9761865999999</v>
      </c>
      <c r="I154" s="65"/>
    </row>
    <row r="155" spans="1:9" s="59" customFormat="1" ht="31.5" customHeight="1">
      <c r="A155" s="209"/>
      <c r="B155" s="36" t="s">
        <v>23</v>
      </c>
      <c r="C155" s="202"/>
      <c r="D155" s="202"/>
      <c r="E155" s="38">
        <f>F155+G155+H155</f>
        <v>638.0671489399999</v>
      </c>
      <c r="F155" s="38">
        <f>85.419+112.649</f>
        <v>198.06799999999998</v>
      </c>
      <c r="G155" s="38">
        <f>F155*1.081</f>
        <v>214.111508</v>
      </c>
      <c r="H155" s="38">
        <f>G155*1.055</f>
        <v>225.88764093999998</v>
      </c>
      <c r="I155" s="60"/>
    </row>
    <row r="156" spans="1:9" s="59" customFormat="1" ht="16.5" customHeight="1">
      <c r="A156" s="209"/>
      <c r="B156" s="36" t="s">
        <v>140</v>
      </c>
      <c r="C156" s="202"/>
      <c r="D156" s="202"/>
      <c r="E156" s="38">
        <f t="shared" si="19"/>
        <v>232.64381573499998</v>
      </c>
      <c r="F156" s="38">
        <v>72.217</v>
      </c>
      <c r="G156" s="38">
        <f aca="true" t="shared" si="20" ref="G156:G166">F156*1.081</f>
        <v>78.066577</v>
      </c>
      <c r="H156" s="38">
        <f aca="true" t="shared" si="21" ref="H156:H173">G156*1.055</f>
        <v>82.360238735</v>
      </c>
      <c r="I156" s="60"/>
    </row>
    <row r="157" spans="1:9" s="59" customFormat="1" ht="38.25">
      <c r="A157" s="209"/>
      <c r="B157" s="36" t="s">
        <v>39</v>
      </c>
      <c r="C157" s="202"/>
      <c r="D157" s="202"/>
      <c r="E157" s="38">
        <f t="shared" si="19"/>
        <v>139.5534306</v>
      </c>
      <c r="F157" s="38">
        <v>43.32</v>
      </c>
      <c r="G157" s="38">
        <f t="shared" si="20"/>
        <v>46.82892</v>
      </c>
      <c r="H157" s="38">
        <f t="shared" si="21"/>
        <v>49.404510599999995</v>
      </c>
      <c r="I157" s="60"/>
    </row>
    <row r="158" spans="1:9" s="59" customFormat="1" ht="38.25">
      <c r="A158" s="209"/>
      <c r="B158" s="36" t="s">
        <v>299</v>
      </c>
      <c r="C158" s="202"/>
      <c r="D158" s="202"/>
      <c r="E158" s="38">
        <f t="shared" si="19"/>
        <v>137.553</v>
      </c>
      <c r="F158" s="38">
        <v>45.851</v>
      </c>
      <c r="G158" s="38">
        <v>45.851</v>
      </c>
      <c r="H158" s="38">
        <v>45.851</v>
      </c>
      <c r="I158" s="60"/>
    </row>
    <row r="159" spans="1:9" s="59" customFormat="1" ht="12.75">
      <c r="A159" s="209"/>
      <c r="B159" s="36" t="s">
        <v>124</v>
      </c>
      <c r="C159" s="202"/>
      <c r="D159" s="202"/>
      <c r="E159" s="38">
        <f>F159+G159+H159</f>
        <v>211.39509855499998</v>
      </c>
      <c r="F159" s="38">
        <f>65.621</f>
        <v>65.621</v>
      </c>
      <c r="G159" s="38">
        <f t="shared" si="20"/>
        <v>70.93630099999999</v>
      </c>
      <c r="H159" s="38">
        <f t="shared" si="21"/>
        <v>74.83779755499998</v>
      </c>
      <c r="I159" s="60"/>
    </row>
    <row r="160" spans="1:9" s="59" customFormat="1" ht="25.5">
      <c r="A160" s="209"/>
      <c r="B160" s="36" t="s">
        <v>141</v>
      </c>
      <c r="C160" s="202"/>
      <c r="D160" s="202"/>
      <c r="E160" s="38">
        <f t="shared" si="19"/>
        <v>201.20563639</v>
      </c>
      <c r="F160" s="38">
        <f>10.912+51.546</f>
        <v>62.458</v>
      </c>
      <c r="G160" s="38">
        <f t="shared" si="20"/>
        <v>67.51709799999999</v>
      </c>
      <c r="H160" s="38">
        <f t="shared" si="21"/>
        <v>71.23053838999998</v>
      </c>
      <c r="I160" s="60"/>
    </row>
    <row r="161" spans="1:9" s="59" customFormat="1" ht="25.5">
      <c r="A161" s="209"/>
      <c r="B161" s="36" t="s">
        <v>179</v>
      </c>
      <c r="C161" s="202"/>
      <c r="D161" s="202"/>
      <c r="E161" s="38">
        <f t="shared" si="19"/>
        <v>190.86476583999996</v>
      </c>
      <c r="F161" s="38">
        <v>59.248</v>
      </c>
      <c r="G161" s="38">
        <f t="shared" si="20"/>
        <v>64.04708799999999</v>
      </c>
      <c r="H161" s="38">
        <f t="shared" si="21"/>
        <v>67.56967783999998</v>
      </c>
      <c r="I161" s="60"/>
    </row>
    <row r="162" spans="1:9" s="59" customFormat="1" ht="25.5">
      <c r="A162" s="209"/>
      <c r="B162" s="36" t="s">
        <v>136</v>
      </c>
      <c r="C162" s="202"/>
      <c r="D162" s="202"/>
      <c r="E162" s="38">
        <f t="shared" si="19"/>
        <v>170.65980008</v>
      </c>
      <c r="F162" s="38">
        <v>52.976</v>
      </c>
      <c r="G162" s="38">
        <f t="shared" si="20"/>
        <v>57.267056</v>
      </c>
      <c r="H162" s="38">
        <f t="shared" si="21"/>
        <v>60.416744079999994</v>
      </c>
      <c r="I162" s="60"/>
    </row>
    <row r="163" spans="1:9" s="59" customFormat="1" ht="12.75">
      <c r="A163" s="209"/>
      <c r="B163" s="36" t="s">
        <v>180</v>
      </c>
      <c r="C163" s="202"/>
      <c r="D163" s="202"/>
      <c r="E163" s="38">
        <f t="shared" si="19"/>
        <v>89.55644899999999</v>
      </c>
      <c r="F163" s="38">
        <f>6.4+21.4</f>
        <v>27.799999999999997</v>
      </c>
      <c r="G163" s="38">
        <f t="shared" si="20"/>
        <v>30.051799999999997</v>
      </c>
      <c r="H163" s="38">
        <f t="shared" si="21"/>
        <v>31.704648999999993</v>
      </c>
      <c r="I163" s="60"/>
    </row>
    <row r="164" spans="1:9" s="59" customFormat="1" ht="25.5">
      <c r="A164" s="209"/>
      <c r="B164" s="36" t="s">
        <v>183</v>
      </c>
      <c r="C164" s="202"/>
      <c r="D164" s="202"/>
      <c r="E164" s="38">
        <f t="shared" si="19"/>
        <v>125.775267565</v>
      </c>
      <c r="F164" s="38">
        <v>39.043</v>
      </c>
      <c r="G164" s="38">
        <f t="shared" si="20"/>
        <v>42.205483</v>
      </c>
      <c r="H164" s="38">
        <f t="shared" si="21"/>
        <v>44.526784565</v>
      </c>
      <c r="I164" s="60"/>
    </row>
    <row r="165" spans="1:9" s="59" customFormat="1" ht="38.25">
      <c r="A165" s="209"/>
      <c r="B165" s="36" t="s">
        <v>354</v>
      </c>
      <c r="C165" s="202"/>
      <c r="D165" s="202"/>
      <c r="E165" s="38">
        <f t="shared" si="19"/>
        <v>290.60101264</v>
      </c>
      <c r="F165" s="38">
        <v>90.208</v>
      </c>
      <c r="G165" s="38">
        <f t="shared" si="20"/>
        <v>97.514848</v>
      </c>
      <c r="H165" s="38">
        <f t="shared" si="21"/>
        <v>102.87816464</v>
      </c>
      <c r="I165" s="60"/>
    </row>
    <row r="166" spans="1:9" s="59" customFormat="1" ht="25.5">
      <c r="A166" s="209"/>
      <c r="B166" s="36" t="s">
        <v>143</v>
      </c>
      <c r="C166" s="202"/>
      <c r="D166" s="202"/>
      <c r="E166" s="38">
        <f t="shared" si="19"/>
        <v>63.01488125499999</v>
      </c>
      <c r="F166" s="38">
        <v>19.561</v>
      </c>
      <c r="G166" s="38">
        <f t="shared" si="20"/>
        <v>21.145440999999998</v>
      </c>
      <c r="H166" s="38">
        <f t="shared" si="21"/>
        <v>22.308440254999997</v>
      </c>
      <c r="I166" s="60"/>
    </row>
    <row r="167" spans="1:9" s="59" customFormat="1" ht="12.75">
      <c r="A167" s="206" t="s">
        <v>77</v>
      </c>
      <c r="B167" s="133"/>
      <c r="C167" s="201" t="s">
        <v>274</v>
      </c>
      <c r="D167" s="201" t="s">
        <v>17</v>
      </c>
      <c r="E167" s="39">
        <f t="shared" si="19"/>
        <v>645.538160645</v>
      </c>
      <c r="F167" s="39">
        <f>SUM(F168:F171)</f>
        <v>253.18699999999995</v>
      </c>
      <c r="G167" s="39">
        <f>SUM(G168:G170)</f>
        <v>190.925139</v>
      </c>
      <c r="H167" s="39">
        <f>SUM(H168:H170)</f>
        <v>201.42602164499996</v>
      </c>
      <c r="I167" s="60"/>
    </row>
    <row r="168" spans="1:8" ht="12.75">
      <c r="A168" s="213"/>
      <c r="B168" s="36" t="s">
        <v>28</v>
      </c>
      <c r="C168" s="201"/>
      <c r="D168" s="201"/>
      <c r="E168" s="38">
        <f t="shared" si="19"/>
        <v>41.20240944999999</v>
      </c>
      <c r="F168" s="38">
        <v>12.79</v>
      </c>
      <c r="G168" s="38">
        <f>F168*1.081</f>
        <v>13.82599</v>
      </c>
      <c r="H168" s="38">
        <f t="shared" si="21"/>
        <v>14.586419449999998</v>
      </c>
    </row>
    <row r="169" spans="1:8" ht="12.75">
      <c r="A169" s="213"/>
      <c r="B169" s="36" t="s">
        <v>101</v>
      </c>
      <c r="C169" s="201"/>
      <c r="D169" s="201"/>
      <c r="E169" s="38">
        <f t="shared" si="19"/>
        <v>227.20599969499997</v>
      </c>
      <c r="F169" s="38">
        <v>70.529</v>
      </c>
      <c r="G169" s="38">
        <f>F169*1.081</f>
        <v>76.24184899999999</v>
      </c>
      <c r="H169" s="38">
        <f t="shared" si="21"/>
        <v>80.43515069499998</v>
      </c>
    </row>
    <row r="170" spans="1:8" ht="25.5">
      <c r="A170" s="213"/>
      <c r="B170" s="36" t="s">
        <v>102</v>
      </c>
      <c r="C170" s="201"/>
      <c r="D170" s="201"/>
      <c r="E170" s="38">
        <f t="shared" si="19"/>
        <v>300.5617515</v>
      </c>
      <c r="F170" s="38">
        <v>93.3</v>
      </c>
      <c r="G170" s="38">
        <f>F170*1.081</f>
        <v>100.8573</v>
      </c>
      <c r="H170" s="38">
        <f t="shared" si="21"/>
        <v>106.4044515</v>
      </c>
    </row>
    <row r="171" spans="1:8" ht="12.75">
      <c r="A171" s="214"/>
      <c r="B171" s="36" t="s">
        <v>353</v>
      </c>
      <c r="C171" s="140"/>
      <c r="D171" s="140"/>
      <c r="E171" s="38">
        <f>F171+G171+H171</f>
        <v>246.66036644</v>
      </c>
      <c r="F171" s="38">
        <f>68+8.568</f>
        <v>76.568</v>
      </c>
      <c r="G171" s="38">
        <f>F171*1.081</f>
        <v>82.77000799999999</v>
      </c>
      <c r="H171" s="38">
        <f t="shared" si="21"/>
        <v>87.32235843999999</v>
      </c>
    </row>
    <row r="172" spans="1:8" ht="12.75">
      <c r="A172" s="206" t="s">
        <v>144</v>
      </c>
      <c r="B172" s="36"/>
      <c r="C172" s="197" t="s">
        <v>274</v>
      </c>
      <c r="D172" s="197" t="s">
        <v>17</v>
      </c>
      <c r="E172" s="40">
        <f>F172+G172+H172</f>
        <v>105.09674792000001</v>
      </c>
      <c r="F172" s="40">
        <f>SUM(F173:F173)</f>
        <v>32.624</v>
      </c>
      <c r="G172" s="40">
        <f>SUM(G173:G173)</f>
        <v>35.266544</v>
      </c>
      <c r="H172" s="40">
        <f>SUM(H173:H173)</f>
        <v>37.20620392</v>
      </c>
    </row>
    <row r="173" spans="1:9" s="59" customFormat="1" ht="12.75">
      <c r="A173" s="207"/>
      <c r="B173" s="66" t="s">
        <v>145</v>
      </c>
      <c r="C173" s="198"/>
      <c r="D173" s="198"/>
      <c r="E173" s="38">
        <f>F173</f>
        <v>32.624</v>
      </c>
      <c r="F173" s="38">
        <f>99.875-45.851-21.4</f>
        <v>32.624</v>
      </c>
      <c r="G173" s="38">
        <f>F173*1.081</f>
        <v>35.266544</v>
      </c>
      <c r="H173" s="38">
        <f t="shared" si="21"/>
        <v>37.20620392</v>
      </c>
      <c r="I173" s="60"/>
    </row>
    <row r="174" spans="1:9" s="59" customFormat="1" ht="12.75" customHeight="1">
      <c r="A174" s="204" t="s">
        <v>75</v>
      </c>
      <c r="B174" s="36"/>
      <c r="C174" s="148"/>
      <c r="D174" s="148"/>
      <c r="E174" s="39">
        <f>F174+G174+H174</f>
        <v>5759.82660124</v>
      </c>
      <c r="F174" s="39">
        <f>F175+F178+F177</f>
        <v>4069.015</v>
      </c>
      <c r="G174" s="39">
        <f>G175+G178</f>
        <v>822.779368</v>
      </c>
      <c r="H174" s="39">
        <f>H175+H178</f>
        <v>868.0322332399999</v>
      </c>
      <c r="I174" s="60"/>
    </row>
    <row r="175" spans="1:8" ht="26.25" customHeight="1">
      <c r="A175" s="209"/>
      <c r="B175" s="36" t="s">
        <v>181</v>
      </c>
      <c r="C175" s="197" t="s">
        <v>274</v>
      </c>
      <c r="D175" s="197" t="s">
        <v>17</v>
      </c>
      <c r="E175" s="38">
        <f aca="true" t="shared" si="22" ref="E175:E181">F175+G175+H175</f>
        <v>165.582787</v>
      </c>
      <c r="F175" s="38">
        <v>51.4</v>
      </c>
      <c r="G175" s="38">
        <f>F175*1.081</f>
        <v>55.563399999999994</v>
      </c>
      <c r="H175" s="38">
        <f>G175*1.055</f>
        <v>58.61938699999999</v>
      </c>
    </row>
    <row r="176" spans="1:8" ht="30" customHeight="1">
      <c r="A176" s="209"/>
      <c r="B176" s="64" t="s">
        <v>182</v>
      </c>
      <c r="C176" s="202"/>
      <c r="D176" s="202"/>
      <c r="E176" s="47">
        <f t="shared" si="22"/>
        <v>165.582787</v>
      </c>
      <c r="F176" s="47">
        <v>51.4</v>
      </c>
      <c r="G176" s="47">
        <f>F176*1.081</f>
        <v>55.563399999999994</v>
      </c>
      <c r="H176" s="47">
        <f>G176*1.055</f>
        <v>58.61938699999999</v>
      </c>
    </row>
    <row r="177" spans="1:8" ht="30" customHeight="1" hidden="1">
      <c r="A177" s="209"/>
      <c r="B177" s="36" t="s">
        <v>355</v>
      </c>
      <c r="C177" s="202"/>
      <c r="D177" s="202"/>
      <c r="E177" s="38">
        <f t="shared" si="22"/>
        <v>0</v>
      </c>
      <c r="F177" s="38"/>
      <c r="G177" s="47"/>
      <c r="H177" s="47"/>
    </row>
    <row r="178" spans="1:9" s="59" customFormat="1" ht="30.75" customHeight="1">
      <c r="A178" s="209"/>
      <c r="B178" s="133" t="s">
        <v>253</v>
      </c>
      <c r="C178" s="202"/>
      <c r="D178" s="202"/>
      <c r="E178" s="38">
        <f>F178+G178+H178</f>
        <v>5594.243814240001</v>
      </c>
      <c r="F178" s="38">
        <f>F179+F181</f>
        <v>4017.615</v>
      </c>
      <c r="G178" s="38">
        <f>G179+G181</f>
        <v>767.215968</v>
      </c>
      <c r="H178" s="38">
        <f>H179+H181</f>
        <v>809.4128462399999</v>
      </c>
      <c r="I178" s="60"/>
    </row>
    <row r="179" spans="1:9" s="59" customFormat="1" ht="13.5" customHeight="1">
      <c r="A179" s="209"/>
      <c r="B179" s="64" t="s">
        <v>344</v>
      </c>
      <c r="C179" s="202"/>
      <c r="D179" s="202"/>
      <c r="E179" s="38">
        <f>F179+G179+H179</f>
        <v>2286.35681424</v>
      </c>
      <c r="F179" s="38">
        <f>145.727+719.074-155.073</f>
        <v>709.728</v>
      </c>
      <c r="G179" s="38">
        <f>F179*1.081</f>
        <v>767.215968</v>
      </c>
      <c r="H179" s="38">
        <f>G179*1.055</f>
        <v>809.4128462399999</v>
      </c>
      <c r="I179" s="60"/>
    </row>
    <row r="180" spans="1:8" ht="25.5">
      <c r="A180" s="209"/>
      <c r="B180" s="36" t="s">
        <v>156</v>
      </c>
      <c r="C180" s="202"/>
      <c r="D180" s="202"/>
      <c r="E180" s="47">
        <f t="shared" si="22"/>
        <v>469.452972785</v>
      </c>
      <c r="F180" s="47">
        <v>145.727</v>
      </c>
      <c r="G180" s="47">
        <f>F180*1.081</f>
        <v>157.530887</v>
      </c>
      <c r="H180" s="47">
        <f>G180*1.055</f>
        <v>166.195085785</v>
      </c>
    </row>
    <row r="181" spans="1:8" ht="25.5">
      <c r="A181" s="205"/>
      <c r="B181" s="64" t="s">
        <v>298</v>
      </c>
      <c r="C181" s="198"/>
      <c r="D181" s="198"/>
      <c r="E181" s="47">
        <f t="shared" si="22"/>
        <v>3307.8869999999997</v>
      </c>
      <c r="F181" s="38">
        <f>1628.23+1679.657</f>
        <v>3307.8869999999997</v>
      </c>
      <c r="G181" s="47"/>
      <c r="H181" s="47"/>
    </row>
    <row r="182" spans="1:8" ht="12.75">
      <c r="A182" s="206" t="s">
        <v>198</v>
      </c>
      <c r="B182" s="36"/>
      <c r="C182" s="197" t="s">
        <v>274</v>
      </c>
      <c r="D182" s="197" t="s">
        <v>17</v>
      </c>
      <c r="E182" s="40">
        <f>F182</f>
        <v>8.039</v>
      </c>
      <c r="F182" s="40">
        <f>SUM(F183:F183)</f>
        <v>8.039</v>
      </c>
      <c r="G182" s="40">
        <f>SUM(G183:G183)</f>
        <v>0</v>
      </c>
      <c r="H182" s="40">
        <f>SUM(H183:H183)</f>
        <v>0</v>
      </c>
    </row>
    <row r="183" spans="1:9" s="59" customFormat="1" ht="25.5">
      <c r="A183" s="207"/>
      <c r="B183" s="66" t="s">
        <v>199</v>
      </c>
      <c r="C183" s="198"/>
      <c r="D183" s="198"/>
      <c r="E183" s="38">
        <f>F183</f>
        <v>8.039</v>
      </c>
      <c r="F183" s="38">
        <v>8.039</v>
      </c>
      <c r="G183" s="38"/>
      <c r="H183" s="38">
        <f aca="true" t="shared" si="23" ref="H183:H190">G183*1.055</f>
        <v>0</v>
      </c>
      <c r="I183" s="60"/>
    </row>
    <row r="184" spans="1:9" s="59" customFormat="1" ht="15">
      <c r="A184" s="208" t="s">
        <v>200</v>
      </c>
      <c r="B184" s="67"/>
      <c r="C184" s="201" t="s">
        <v>275</v>
      </c>
      <c r="D184" s="201" t="s">
        <v>17</v>
      </c>
      <c r="E184" s="39">
        <f>F184+G184+H184</f>
        <v>7712.398436214998</v>
      </c>
      <c r="F184" s="39">
        <f>F185+F186</f>
        <v>2394.0729999999994</v>
      </c>
      <c r="G184" s="39">
        <f>G185+G186</f>
        <v>2587.992912999999</v>
      </c>
      <c r="H184" s="39">
        <f>H185+H186</f>
        <v>2730.332523214999</v>
      </c>
      <c r="I184" s="60"/>
    </row>
    <row r="185" spans="1:8" s="4" customFormat="1" ht="25.5">
      <c r="A185" s="208"/>
      <c r="B185" s="36" t="s">
        <v>123</v>
      </c>
      <c r="C185" s="201"/>
      <c r="D185" s="201"/>
      <c r="E185" s="38">
        <f aca="true" t="shared" si="24" ref="E185:E190">F185</f>
        <v>1358.523</v>
      </c>
      <c r="F185" s="38">
        <f>1507.24-148.717</f>
        <v>1358.523</v>
      </c>
      <c r="G185" s="38">
        <f aca="true" t="shared" si="25" ref="G185:G190">F185*1.081</f>
        <v>1468.5633629999998</v>
      </c>
      <c r="H185" s="38">
        <f t="shared" si="23"/>
        <v>1549.3343479649996</v>
      </c>
    </row>
    <row r="186" spans="1:9" s="4" customFormat="1" ht="18.75">
      <c r="A186" s="208"/>
      <c r="B186" s="68" t="s">
        <v>29</v>
      </c>
      <c r="C186" s="201"/>
      <c r="D186" s="201"/>
      <c r="E186" s="38">
        <f t="shared" si="24"/>
        <v>1035.5499999999997</v>
      </c>
      <c r="F186" s="38">
        <f>1605.12-569.57</f>
        <v>1035.5499999999997</v>
      </c>
      <c r="G186" s="38">
        <f t="shared" si="25"/>
        <v>1119.4295499999996</v>
      </c>
      <c r="H186" s="38">
        <f t="shared" si="23"/>
        <v>1180.9981752499996</v>
      </c>
      <c r="I186" s="69"/>
    </row>
    <row r="187" spans="1:8" s="4" customFormat="1" ht="18.75">
      <c r="A187" s="208" t="s">
        <v>201</v>
      </c>
      <c r="B187" s="68"/>
      <c r="C187" s="201" t="s">
        <v>274</v>
      </c>
      <c r="D187" s="201" t="s">
        <v>17</v>
      </c>
      <c r="E187" s="39">
        <f>G187+H187</f>
        <v>1970.89709055</v>
      </c>
      <c r="F187" s="39">
        <f>F188</f>
        <v>887.21</v>
      </c>
      <c r="G187" s="39">
        <f>G188</f>
        <v>959.07401</v>
      </c>
      <c r="H187" s="39">
        <f>H188</f>
        <v>1011.82308055</v>
      </c>
    </row>
    <row r="188" spans="1:8" s="4" customFormat="1" ht="18.75" customHeight="1">
      <c r="A188" s="208"/>
      <c r="B188" s="68" t="s">
        <v>202</v>
      </c>
      <c r="C188" s="201"/>
      <c r="D188" s="201"/>
      <c r="E188" s="38">
        <f t="shared" si="24"/>
        <v>887.21</v>
      </c>
      <c r="F188" s="38">
        <f>175.904+711.306</f>
        <v>887.21</v>
      </c>
      <c r="G188" s="38">
        <f t="shared" si="25"/>
        <v>959.07401</v>
      </c>
      <c r="H188" s="38">
        <f t="shared" si="23"/>
        <v>1011.82308055</v>
      </c>
    </row>
    <row r="189" spans="1:8" s="4" customFormat="1" ht="50.25" customHeight="1">
      <c r="A189" s="208" t="s">
        <v>207</v>
      </c>
      <c r="B189" s="68"/>
      <c r="C189" s="201" t="s">
        <v>274</v>
      </c>
      <c r="D189" s="201" t="s">
        <v>17</v>
      </c>
      <c r="E189" s="39">
        <f>F189+G189+H189</f>
        <v>9814.352723345</v>
      </c>
      <c r="F189" s="39">
        <f>F190</f>
        <v>3046.559</v>
      </c>
      <c r="G189" s="39">
        <f>G190</f>
        <v>3293.3302790000002</v>
      </c>
      <c r="H189" s="39">
        <f>H190</f>
        <v>3474.463444345</v>
      </c>
    </row>
    <row r="190" spans="1:8" s="4" customFormat="1" ht="31.5" customHeight="1">
      <c r="A190" s="208"/>
      <c r="B190" s="68" t="s">
        <v>206</v>
      </c>
      <c r="C190" s="201"/>
      <c r="D190" s="201"/>
      <c r="E190" s="38">
        <f t="shared" si="24"/>
        <v>3046.559</v>
      </c>
      <c r="F190" s="38">
        <f>691.627+1662.601+920.687+193.965-422.321</f>
        <v>3046.559</v>
      </c>
      <c r="G190" s="38">
        <f t="shared" si="25"/>
        <v>3293.3302790000002</v>
      </c>
      <c r="H190" s="38">
        <f t="shared" si="23"/>
        <v>3474.463444345</v>
      </c>
    </row>
    <row r="191" spans="1:8" s="4" customFormat="1" ht="48" customHeight="1">
      <c r="A191" s="204" t="s">
        <v>339</v>
      </c>
      <c r="B191" s="68"/>
      <c r="C191" s="194" t="s">
        <v>274</v>
      </c>
      <c r="D191" s="194" t="s">
        <v>17</v>
      </c>
      <c r="E191" s="39">
        <f>SUM(F191:H191)</f>
        <v>248.673</v>
      </c>
      <c r="F191" s="39">
        <f>F192</f>
        <v>248.673</v>
      </c>
      <c r="G191" s="39"/>
      <c r="H191" s="39"/>
    </row>
    <row r="192" spans="1:8" s="4" customFormat="1" ht="16.5" customHeight="1">
      <c r="A192" s="205"/>
      <c r="B192" s="70" t="s">
        <v>332</v>
      </c>
      <c r="C192" s="221"/>
      <c r="D192" s="221"/>
      <c r="E192" s="38">
        <v>100.2</v>
      </c>
      <c r="F192" s="38">
        <f>100.2+148.473</f>
        <v>248.673</v>
      </c>
      <c r="G192" s="38"/>
      <c r="H192" s="38"/>
    </row>
    <row r="193" spans="1:8" s="4" customFormat="1" ht="52.5" customHeight="1">
      <c r="A193" s="204" t="s">
        <v>176</v>
      </c>
      <c r="B193" s="36"/>
      <c r="C193" s="197" t="s">
        <v>277</v>
      </c>
      <c r="D193" s="197" t="s">
        <v>17</v>
      </c>
      <c r="E193" s="39">
        <f>F193+G193+H193</f>
        <v>642.61709</v>
      </c>
      <c r="F193" s="39">
        <f>SUM(F194:F194)</f>
        <v>199.481</v>
      </c>
      <c r="G193" s="39">
        <f>SUM(G194:G194)</f>
        <v>215.638</v>
      </c>
      <c r="H193" s="39">
        <f>SUM(H194:H194)</f>
        <v>227.49809</v>
      </c>
    </row>
    <row r="194" spans="1:10" ht="12.75" customHeight="1">
      <c r="A194" s="209"/>
      <c r="B194" s="36" t="s">
        <v>191</v>
      </c>
      <c r="C194" s="202"/>
      <c r="D194" s="202"/>
      <c r="E194" s="38">
        <f>F194+G194+H194</f>
        <v>642.61709</v>
      </c>
      <c r="F194" s="38">
        <v>199.481</v>
      </c>
      <c r="G194" s="38">
        <v>215.638</v>
      </c>
      <c r="H194" s="38">
        <f>G194*1.055</f>
        <v>227.49809</v>
      </c>
      <c r="I194" s="63">
        <f>F193+F195+F197+F199+F215+F221+F223+F227+F231+F234+F242+F239</f>
        <v>13777.389</v>
      </c>
      <c r="J194" s="61"/>
    </row>
    <row r="195" spans="1:9" ht="38.25" customHeight="1">
      <c r="A195" s="206" t="s">
        <v>61</v>
      </c>
      <c r="B195" s="36"/>
      <c r="C195" s="197" t="s">
        <v>277</v>
      </c>
      <c r="D195" s="197" t="s">
        <v>17</v>
      </c>
      <c r="E195" s="39">
        <f>F195+G195+H195</f>
        <v>0.6893913700000013</v>
      </c>
      <c r="F195" s="39">
        <f>SUM(F196)</f>
        <v>0.2140000000000004</v>
      </c>
      <c r="G195" s="39">
        <f>SUM(G196)</f>
        <v>0.23133400000000043</v>
      </c>
      <c r="H195" s="39">
        <f>SUM(H196)</f>
        <v>0.24405737000000044</v>
      </c>
      <c r="I195" s="63"/>
    </row>
    <row r="196" spans="1:8" ht="12.75" customHeight="1">
      <c r="A196" s="207"/>
      <c r="B196" s="36" t="s">
        <v>96</v>
      </c>
      <c r="C196" s="198"/>
      <c r="D196" s="198"/>
      <c r="E196" s="38">
        <f>F196+G196+H196</f>
        <v>0.6893913700000013</v>
      </c>
      <c r="F196" s="38">
        <f>7.532-7.318</f>
        <v>0.2140000000000004</v>
      </c>
      <c r="G196" s="38">
        <f>F196*1.081</f>
        <v>0.23133400000000043</v>
      </c>
      <c r="H196" s="38">
        <f aca="true" t="shared" si="26" ref="H196:H222">G196*1.055</f>
        <v>0.24405737000000044</v>
      </c>
    </row>
    <row r="197" spans="1:8" ht="25.5" customHeight="1">
      <c r="A197" s="204" t="s">
        <v>104</v>
      </c>
      <c r="B197" s="36"/>
      <c r="C197" s="201" t="s">
        <v>277</v>
      </c>
      <c r="D197" s="201" t="s">
        <v>17</v>
      </c>
      <c r="E197" s="39">
        <v>553.64</v>
      </c>
      <c r="F197" s="39">
        <f>SUM(F198)</f>
        <v>171.86</v>
      </c>
      <c r="G197" s="39">
        <f>SUM(G198)</f>
        <v>185.78066</v>
      </c>
      <c r="H197" s="39">
        <f>SUM(H198)</f>
        <v>195.9985963</v>
      </c>
    </row>
    <row r="198" spans="1:8" ht="12.75" customHeight="1">
      <c r="A198" s="205"/>
      <c r="B198" s="36" t="s">
        <v>106</v>
      </c>
      <c r="C198" s="201"/>
      <c r="D198" s="201"/>
      <c r="E198" s="38">
        <v>553.64</v>
      </c>
      <c r="F198" s="38">
        <v>171.86</v>
      </c>
      <c r="G198" s="38">
        <f>F198*1.081</f>
        <v>185.78066</v>
      </c>
      <c r="H198" s="38">
        <f t="shared" si="26"/>
        <v>195.9985963</v>
      </c>
    </row>
    <row r="199" spans="1:8" ht="25.5" customHeight="1">
      <c r="A199" s="203" t="s">
        <v>70</v>
      </c>
      <c r="B199" s="36"/>
      <c r="C199" s="201" t="s">
        <v>277</v>
      </c>
      <c r="D199" s="201" t="s">
        <v>17</v>
      </c>
      <c r="E199" s="39">
        <f>F199+G199+H199</f>
        <v>2791.026733085</v>
      </c>
      <c r="F199" s="39">
        <f>SUM(F200:F214)</f>
        <v>866.3870000000001</v>
      </c>
      <c r="G199" s="39">
        <f>SUM(G200:G214)</f>
        <v>936.564347</v>
      </c>
      <c r="H199" s="39">
        <f>SUM(H200:H214)</f>
        <v>988.0753860849999</v>
      </c>
    </row>
    <row r="200" spans="1:8" ht="12.75">
      <c r="A200" s="203"/>
      <c r="B200" s="36" t="s">
        <v>169</v>
      </c>
      <c r="C200" s="201"/>
      <c r="D200" s="201"/>
      <c r="E200" s="38">
        <f>F200+G200+H200</f>
        <v>149.22423851000002</v>
      </c>
      <c r="F200" s="38">
        <v>46.322</v>
      </c>
      <c r="G200" s="38">
        <f>F200*1.081</f>
        <v>50.074082000000004</v>
      </c>
      <c r="H200" s="38">
        <f t="shared" si="26"/>
        <v>52.82815651</v>
      </c>
    </row>
    <row r="201" spans="1:8" ht="25.5">
      <c r="A201" s="203"/>
      <c r="B201" s="36" t="s">
        <v>170</v>
      </c>
      <c r="C201" s="201"/>
      <c r="D201" s="201"/>
      <c r="E201" s="38">
        <f aca="true" t="shared" si="27" ref="E201:E222">F201+G201+H201</f>
        <v>186.89593327999998</v>
      </c>
      <c r="F201" s="38">
        <v>58.016</v>
      </c>
      <c r="G201" s="38">
        <f aca="true" t="shared" si="28" ref="G201:G214">F201*1.081</f>
        <v>62.715295999999995</v>
      </c>
      <c r="H201" s="38">
        <f t="shared" si="26"/>
        <v>66.16463728</v>
      </c>
    </row>
    <row r="202" spans="1:8" ht="38.25">
      <c r="A202" s="203"/>
      <c r="B202" s="36" t="s">
        <v>135</v>
      </c>
      <c r="C202" s="201"/>
      <c r="D202" s="201"/>
      <c r="E202" s="38">
        <f t="shared" si="27"/>
        <v>270.19309521499997</v>
      </c>
      <c r="F202" s="38">
        <f>48.358-4.482+39.997</f>
        <v>83.87299999999999</v>
      </c>
      <c r="G202" s="38">
        <f t="shared" si="28"/>
        <v>90.66671299999999</v>
      </c>
      <c r="H202" s="38">
        <f t="shared" si="26"/>
        <v>95.65338221499998</v>
      </c>
    </row>
    <row r="203" spans="1:8" ht="25.5">
      <c r="A203" s="203"/>
      <c r="B203" s="36" t="s">
        <v>162</v>
      </c>
      <c r="C203" s="201"/>
      <c r="D203" s="201"/>
      <c r="E203" s="38">
        <f t="shared" si="27"/>
        <v>63.99098212</v>
      </c>
      <c r="F203" s="38">
        <v>19.864</v>
      </c>
      <c r="G203" s="38">
        <f t="shared" si="28"/>
        <v>21.472984</v>
      </c>
      <c r="H203" s="38">
        <f t="shared" si="26"/>
        <v>22.65399812</v>
      </c>
    </row>
    <row r="204" spans="1:8" ht="25.5">
      <c r="A204" s="203"/>
      <c r="B204" s="36" t="s">
        <v>133</v>
      </c>
      <c r="C204" s="201"/>
      <c r="D204" s="201"/>
      <c r="E204" s="38">
        <f t="shared" si="27"/>
        <v>311.74664326000004</v>
      </c>
      <c r="F204" s="38">
        <f>50.99+20+25.782</f>
        <v>96.772</v>
      </c>
      <c r="G204" s="38">
        <f t="shared" si="28"/>
        <v>104.610532</v>
      </c>
      <c r="H204" s="38">
        <f t="shared" si="26"/>
        <v>110.36411126</v>
      </c>
    </row>
    <row r="205" spans="1:8" ht="38.25">
      <c r="A205" s="203"/>
      <c r="B205" s="36" t="s">
        <v>171</v>
      </c>
      <c r="C205" s="201"/>
      <c r="D205" s="201"/>
      <c r="E205" s="38">
        <f t="shared" si="27"/>
        <v>341.522551825</v>
      </c>
      <c r="F205" s="38">
        <f>14.726+7+59.908+24.381</f>
        <v>106.015</v>
      </c>
      <c r="G205" s="38">
        <f t="shared" si="28"/>
        <v>114.602215</v>
      </c>
      <c r="H205" s="38">
        <f t="shared" si="26"/>
        <v>120.90533682499999</v>
      </c>
    </row>
    <row r="206" spans="1:8" ht="25.5">
      <c r="A206" s="203"/>
      <c r="B206" s="36" t="s">
        <v>95</v>
      </c>
      <c r="C206" s="201"/>
      <c r="D206" s="201"/>
      <c r="E206" s="38">
        <f t="shared" si="27"/>
        <v>0</v>
      </c>
      <c r="F206" s="38">
        <f>4.704-4.704</f>
        <v>0</v>
      </c>
      <c r="G206" s="38">
        <f t="shared" si="28"/>
        <v>0</v>
      </c>
      <c r="H206" s="38">
        <f t="shared" si="26"/>
        <v>0</v>
      </c>
    </row>
    <row r="207" spans="1:8" ht="25.5">
      <c r="A207" s="203"/>
      <c r="B207" s="36" t="s">
        <v>105</v>
      </c>
      <c r="C207" s="201"/>
      <c r="D207" s="201"/>
      <c r="E207" s="38">
        <f t="shared" si="27"/>
        <v>24.160912500000002</v>
      </c>
      <c r="F207" s="38">
        <v>7.5</v>
      </c>
      <c r="G207" s="38">
        <f t="shared" si="28"/>
        <v>8.1075</v>
      </c>
      <c r="H207" s="38">
        <f t="shared" si="26"/>
        <v>8.5534125</v>
      </c>
    </row>
    <row r="208" spans="1:8" ht="25.5">
      <c r="A208" s="203"/>
      <c r="B208" s="36" t="s">
        <v>172</v>
      </c>
      <c r="C208" s="201"/>
      <c r="D208" s="201"/>
      <c r="E208" s="38">
        <f t="shared" si="27"/>
        <v>147.06586366</v>
      </c>
      <c r="F208" s="38">
        <v>45.652</v>
      </c>
      <c r="G208" s="38">
        <f t="shared" si="28"/>
        <v>49.349812</v>
      </c>
      <c r="H208" s="38">
        <f t="shared" si="26"/>
        <v>52.06405166</v>
      </c>
    </row>
    <row r="209" spans="1:8" ht="12.75">
      <c r="A209" s="203"/>
      <c r="B209" s="36" t="s">
        <v>173</v>
      </c>
      <c r="C209" s="201"/>
      <c r="D209" s="201"/>
      <c r="E209" s="38">
        <f t="shared" si="27"/>
        <v>91.81146749999999</v>
      </c>
      <c r="F209" s="38">
        <v>28.5</v>
      </c>
      <c r="G209" s="38">
        <f t="shared" si="28"/>
        <v>30.8085</v>
      </c>
      <c r="H209" s="38">
        <f t="shared" si="26"/>
        <v>32.5029675</v>
      </c>
    </row>
    <row r="210" spans="1:8" ht="12.75">
      <c r="A210" s="203"/>
      <c r="B210" s="36" t="s">
        <v>130</v>
      </c>
      <c r="C210" s="201"/>
      <c r="D210" s="201"/>
      <c r="E210" s="38">
        <f t="shared" si="27"/>
        <v>305.010580855</v>
      </c>
      <c r="F210" s="38">
        <v>94.681</v>
      </c>
      <c r="G210" s="38">
        <f t="shared" si="28"/>
        <v>102.350161</v>
      </c>
      <c r="H210" s="38">
        <f t="shared" si="26"/>
        <v>107.97941985499999</v>
      </c>
    </row>
    <row r="211" spans="1:8" ht="12.75">
      <c r="A211" s="203"/>
      <c r="B211" s="36" t="s">
        <v>134</v>
      </c>
      <c r="C211" s="201"/>
      <c r="D211" s="201"/>
      <c r="E211" s="38">
        <f t="shared" si="27"/>
        <v>31.715224475</v>
      </c>
      <c r="F211" s="38">
        <v>9.845</v>
      </c>
      <c r="G211" s="38">
        <f t="shared" si="28"/>
        <v>10.642445</v>
      </c>
      <c r="H211" s="38">
        <f t="shared" si="26"/>
        <v>11.227779475</v>
      </c>
    </row>
    <row r="212" spans="1:8" ht="25.5">
      <c r="A212" s="203"/>
      <c r="B212" s="36" t="s">
        <v>174</v>
      </c>
      <c r="C212" s="201"/>
      <c r="D212" s="201"/>
      <c r="E212" s="38">
        <f t="shared" si="27"/>
        <v>19.1354427</v>
      </c>
      <c r="F212" s="38">
        <v>5.94</v>
      </c>
      <c r="G212" s="38">
        <f t="shared" si="28"/>
        <v>6.42114</v>
      </c>
      <c r="H212" s="38">
        <f t="shared" si="26"/>
        <v>6.7743027</v>
      </c>
    </row>
    <row r="213" spans="1:8" ht="12.75">
      <c r="A213" s="203"/>
      <c r="B213" s="36" t="s">
        <v>208</v>
      </c>
      <c r="C213" s="201"/>
      <c r="D213" s="201"/>
      <c r="E213" s="38">
        <f t="shared" si="27"/>
        <v>644.1492559799999</v>
      </c>
      <c r="F213" s="38">
        <v>199.956</v>
      </c>
      <c r="G213" s="38">
        <f t="shared" si="28"/>
        <v>216.15243599999997</v>
      </c>
      <c r="H213" s="38">
        <f t="shared" si="26"/>
        <v>228.04081997999995</v>
      </c>
    </row>
    <row r="214" spans="1:8" ht="25.5">
      <c r="A214" s="203"/>
      <c r="B214" s="36" t="s">
        <v>136</v>
      </c>
      <c r="C214" s="201"/>
      <c r="D214" s="201"/>
      <c r="E214" s="38">
        <f t="shared" si="27"/>
        <v>204.404541205</v>
      </c>
      <c r="F214" s="38">
        <f>24.908+50.303-11.76</f>
        <v>63.451</v>
      </c>
      <c r="G214" s="38">
        <f t="shared" si="28"/>
        <v>68.590531</v>
      </c>
      <c r="H214" s="38">
        <f t="shared" si="26"/>
        <v>72.363010205</v>
      </c>
    </row>
    <row r="215" spans="1:8" ht="12.75">
      <c r="A215" s="203" t="s">
        <v>77</v>
      </c>
      <c r="B215" s="36"/>
      <c r="C215" s="201" t="s">
        <v>277</v>
      </c>
      <c r="D215" s="201" t="s">
        <v>17</v>
      </c>
      <c r="E215" s="39">
        <f t="shared" si="27"/>
        <v>1110.1194298</v>
      </c>
      <c r="F215" s="39">
        <f>SUM(F216:F220)</f>
        <v>413.56</v>
      </c>
      <c r="G215" s="39">
        <f>SUM(G216:G220)</f>
        <v>338.95835999999997</v>
      </c>
      <c r="H215" s="39">
        <f>SUM(H216:H220)</f>
        <v>357.60106979999995</v>
      </c>
    </row>
    <row r="216" spans="1:8" ht="12.75">
      <c r="A216" s="203"/>
      <c r="B216" s="36" t="s">
        <v>28</v>
      </c>
      <c r="C216" s="201"/>
      <c r="D216" s="201"/>
      <c r="E216" s="38">
        <f t="shared" si="27"/>
        <v>21.458111754999997</v>
      </c>
      <c r="F216" s="38">
        <v>6.661</v>
      </c>
      <c r="G216" s="38">
        <f>F216*1.081</f>
        <v>7.200540999999999</v>
      </c>
      <c r="H216" s="38">
        <f t="shared" si="26"/>
        <v>7.596570754999999</v>
      </c>
    </row>
    <row r="217" spans="1:8" ht="29.25" customHeight="1">
      <c r="A217" s="203"/>
      <c r="B217" s="36" t="s">
        <v>175</v>
      </c>
      <c r="C217" s="201"/>
      <c r="D217" s="201"/>
      <c r="E217" s="38">
        <f t="shared" si="27"/>
        <v>268.18612874999997</v>
      </c>
      <c r="F217" s="38">
        <v>83.25</v>
      </c>
      <c r="G217" s="38">
        <f>F217*1.081</f>
        <v>89.99325</v>
      </c>
      <c r="H217" s="38">
        <f t="shared" si="26"/>
        <v>94.94287874999999</v>
      </c>
    </row>
    <row r="218" spans="1:8" ht="12.75">
      <c r="A218" s="203"/>
      <c r="B218" s="36" t="s">
        <v>101</v>
      </c>
      <c r="C218" s="201"/>
      <c r="D218" s="201"/>
      <c r="E218" s="38">
        <f t="shared" si="27"/>
        <v>402.2953004</v>
      </c>
      <c r="F218" s="38">
        <v>124.88</v>
      </c>
      <c r="G218" s="38">
        <f>F218*1.081</f>
        <v>134.99527999999998</v>
      </c>
      <c r="H218" s="38">
        <f t="shared" si="26"/>
        <v>142.42002039999997</v>
      </c>
    </row>
    <row r="219" spans="1:8" ht="12.75">
      <c r="A219" s="203"/>
      <c r="B219" s="36" t="s">
        <v>353</v>
      </c>
      <c r="C219" s="201"/>
      <c r="D219" s="201"/>
      <c r="E219" s="38">
        <f t="shared" si="27"/>
        <v>100</v>
      </c>
      <c r="F219" s="38">
        <v>100</v>
      </c>
      <c r="G219" s="38"/>
      <c r="H219" s="38"/>
    </row>
    <row r="220" spans="1:8" ht="12.75">
      <c r="A220" s="203"/>
      <c r="B220" s="36" t="s">
        <v>132</v>
      </c>
      <c r="C220" s="201"/>
      <c r="D220" s="201"/>
      <c r="E220" s="38">
        <f t="shared" si="27"/>
        <v>318.17988889500003</v>
      </c>
      <c r="F220" s="38">
        <f>98.76+0.009</f>
        <v>98.769</v>
      </c>
      <c r="G220" s="38">
        <f>F220*1.081</f>
        <v>106.769289</v>
      </c>
      <c r="H220" s="38">
        <f t="shared" si="26"/>
        <v>112.641599895</v>
      </c>
    </row>
    <row r="221" spans="1:8" ht="12.75">
      <c r="A221" s="206" t="s">
        <v>137</v>
      </c>
      <c r="B221" s="36"/>
      <c r="C221" s="197" t="s">
        <v>277</v>
      </c>
      <c r="D221" s="197" t="s">
        <v>17</v>
      </c>
      <c r="E221" s="39">
        <f t="shared" si="27"/>
        <v>0</v>
      </c>
      <c r="F221" s="39">
        <f>SUM(F222)</f>
        <v>0</v>
      </c>
      <c r="G221" s="39">
        <f>SUM(G222)</f>
        <v>0</v>
      </c>
      <c r="H221" s="39">
        <f>SUM(H222)</f>
        <v>0</v>
      </c>
    </row>
    <row r="222" spans="1:8" ht="25.5" customHeight="1">
      <c r="A222" s="207"/>
      <c r="B222" s="36" t="s">
        <v>138</v>
      </c>
      <c r="C222" s="198"/>
      <c r="D222" s="198"/>
      <c r="E222" s="38">
        <f t="shared" si="27"/>
        <v>0</v>
      </c>
      <c r="F222" s="38">
        <f>2-2</f>
        <v>0</v>
      </c>
      <c r="G222" s="38">
        <f>F222*1.081</f>
        <v>0</v>
      </c>
      <c r="H222" s="38">
        <f t="shared" si="26"/>
        <v>0</v>
      </c>
    </row>
    <row r="223" spans="1:8" ht="27" customHeight="1">
      <c r="A223" s="203" t="s">
        <v>240</v>
      </c>
      <c r="B223" s="36"/>
      <c r="C223" s="201" t="s">
        <v>277</v>
      </c>
      <c r="D223" s="201" t="s">
        <v>17</v>
      </c>
      <c r="E223" s="39">
        <f>F223+G223+H223</f>
        <v>1903.1581028</v>
      </c>
      <c r="F223" s="39">
        <f>F224+F225+F226</f>
        <v>566.6959999999999</v>
      </c>
      <c r="G223" s="39">
        <f>G224+G225+G226</f>
        <v>650.3469600000001</v>
      </c>
      <c r="H223" s="39">
        <f>H224+H225+H226</f>
        <v>686.1151428</v>
      </c>
    </row>
    <row r="224" spans="1:8" ht="12.75">
      <c r="A224" s="203"/>
      <c r="B224" s="36" t="s">
        <v>132</v>
      </c>
      <c r="C224" s="201"/>
      <c r="D224" s="201"/>
      <c r="E224" s="38">
        <f>F224+G224+H224</f>
        <v>1470.098</v>
      </c>
      <c r="F224" s="38">
        <f>467.186-34.92</f>
        <v>432.26599999999996</v>
      </c>
      <c r="G224" s="38">
        <v>505.028</v>
      </c>
      <c r="H224" s="38">
        <v>532.804</v>
      </c>
    </row>
    <row r="225" spans="1:8" ht="12.75">
      <c r="A225" s="203"/>
      <c r="B225" s="36" t="s">
        <v>270</v>
      </c>
      <c r="C225" s="201"/>
      <c r="D225" s="201"/>
      <c r="E225" s="38">
        <f aca="true" t="shared" si="29" ref="E225:E243">F225+G225+H225</f>
        <v>194.15699999999998</v>
      </c>
      <c r="F225" s="38">
        <v>60.27</v>
      </c>
      <c r="G225" s="38">
        <v>65.152</v>
      </c>
      <c r="H225" s="38">
        <v>68.735</v>
      </c>
    </row>
    <row r="226" spans="1:8" ht="29.25" customHeight="1">
      <c r="A226" s="203"/>
      <c r="B226" s="36" t="s">
        <v>101</v>
      </c>
      <c r="C226" s="201"/>
      <c r="D226" s="201"/>
      <c r="E226" s="38">
        <f t="shared" si="29"/>
        <v>238.90310279999997</v>
      </c>
      <c r="F226" s="38">
        <v>74.16</v>
      </c>
      <c r="G226" s="38">
        <f>F226*1.081</f>
        <v>80.16695999999999</v>
      </c>
      <c r="H226" s="38">
        <f>G226*1.055</f>
        <v>84.57614279999999</v>
      </c>
    </row>
    <row r="227" spans="1:8" ht="54" customHeight="1">
      <c r="A227" s="203" t="s">
        <v>241</v>
      </c>
      <c r="B227" s="36"/>
      <c r="C227" s="201" t="s">
        <v>277</v>
      </c>
      <c r="D227" s="201" t="s">
        <v>17</v>
      </c>
      <c r="E227" s="39">
        <f t="shared" si="29"/>
        <v>885.3180770800001</v>
      </c>
      <c r="F227" s="39">
        <f>F228+F229+F230</f>
        <v>274.82000000000005</v>
      </c>
      <c r="G227" s="39">
        <f>G228+G229+G230</f>
        <v>297.079456</v>
      </c>
      <c r="H227" s="39">
        <f>H228+H229+H230</f>
        <v>313.41862108</v>
      </c>
    </row>
    <row r="228" spans="1:8" ht="12.75">
      <c r="A228" s="203"/>
      <c r="B228" s="36" t="s">
        <v>132</v>
      </c>
      <c r="C228" s="201"/>
      <c r="D228" s="201"/>
      <c r="E228" s="38">
        <f>F228+G228+H228</f>
        <v>297.802</v>
      </c>
      <c r="F228" s="38">
        <v>92.444</v>
      </c>
      <c r="G228" s="38">
        <v>99.931</v>
      </c>
      <c r="H228" s="38">
        <v>105.427</v>
      </c>
    </row>
    <row r="229" spans="1:8" ht="12.75">
      <c r="A229" s="203"/>
      <c r="B229" s="36" t="s">
        <v>270</v>
      </c>
      <c r="C229" s="201"/>
      <c r="D229" s="201"/>
      <c r="E229" s="38">
        <f t="shared" si="29"/>
        <v>38.41907233</v>
      </c>
      <c r="F229" s="38">
        <v>11.926</v>
      </c>
      <c r="G229" s="38">
        <f>F229*1.081</f>
        <v>12.892006</v>
      </c>
      <c r="H229" s="38">
        <f>G229*1.055</f>
        <v>13.60106633</v>
      </c>
    </row>
    <row r="230" spans="1:8" ht="29.25" customHeight="1">
      <c r="A230" s="203"/>
      <c r="B230" s="36" t="s">
        <v>209</v>
      </c>
      <c r="C230" s="201"/>
      <c r="D230" s="201"/>
      <c r="E230" s="38">
        <f t="shared" si="29"/>
        <v>549.09700475</v>
      </c>
      <c r="F230" s="38">
        <f>181.073-10.623</f>
        <v>170.45000000000002</v>
      </c>
      <c r="G230" s="38">
        <f>F230*1.081</f>
        <v>184.25645</v>
      </c>
      <c r="H230" s="38">
        <f>G230*1.055</f>
        <v>194.39055474999998</v>
      </c>
    </row>
    <row r="231" spans="1:8" ht="51" customHeight="1">
      <c r="A231" s="203" t="s">
        <v>210</v>
      </c>
      <c r="B231" s="36"/>
      <c r="C231" s="201" t="s">
        <v>277</v>
      </c>
      <c r="D231" s="201" t="s">
        <v>17</v>
      </c>
      <c r="E231" s="39">
        <f t="shared" si="29"/>
        <v>7290.007699524998</v>
      </c>
      <c r="F231" s="39">
        <f>SUM(F232:F233)</f>
        <v>2262.955</v>
      </c>
      <c r="G231" s="39">
        <f>SUM(G232:G233)</f>
        <v>2446.2543549999996</v>
      </c>
      <c r="H231" s="39">
        <f>SUM(H232:H233)</f>
        <v>2580.7983445249997</v>
      </c>
    </row>
    <row r="232" spans="1:8" ht="12.75">
      <c r="A232" s="203"/>
      <c r="B232" s="36" t="s">
        <v>211</v>
      </c>
      <c r="C232" s="201"/>
      <c r="D232" s="201"/>
      <c r="E232" s="38">
        <f t="shared" si="29"/>
        <v>7260.209240775</v>
      </c>
      <c r="F232" s="38">
        <f>2284.962-31.257</f>
        <v>2253.705</v>
      </c>
      <c r="G232" s="38">
        <f>F232*1.081</f>
        <v>2436.2551049999997</v>
      </c>
      <c r="H232" s="38">
        <f>G232*1.055</f>
        <v>2570.2491357749996</v>
      </c>
    </row>
    <row r="233" spans="1:8" ht="29.25" customHeight="1">
      <c r="A233" s="203"/>
      <c r="B233" s="36" t="s">
        <v>212</v>
      </c>
      <c r="C233" s="201"/>
      <c r="D233" s="201"/>
      <c r="E233" s="38">
        <f t="shared" si="29"/>
        <v>29.79845875</v>
      </c>
      <c r="F233" s="38">
        <v>9.25</v>
      </c>
      <c r="G233" s="38">
        <f>F233*1.081</f>
        <v>9.99925</v>
      </c>
      <c r="H233" s="38">
        <f>G233*1.055</f>
        <v>10.54920875</v>
      </c>
    </row>
    <row r="234" spans="1:8" ht="30.75" customHeight="1">
      <c r="A234" s="224" t="s">
        <v>75</v>
      </c>
      <c r="B234" s="36"/>
      <c r="C234" s="197" t="s">
        <v>277</v>
      </c>
      <c r="D234" s="197" t="s">
        <v>17</v>
      </c>
      <c r="E234" s="39">
        <f aca="true" t="shared" si="30" ref="E234:E240">F234+G234+H234</f>
        <v>15664.89646879</v>
      </c>
      <c r="F234" s="39">
        <f>F235+F238</f>
        <v>7939.258</v>
      </c>
      <c r="G234" s="39">
        <f>G235+G238</f>
        <v>3759.4347780000003</v>
      </c>
      <c r="H234" s="39">
        <f>H235+H238</f>
        <v>3966.20369079</v>
      </c>
    </row>
    <row r="235" spans="1:8" ht="42" customHeight="1">
      <c r="A235" s="235"/>
      <c r="B235" s="133" t="s">
        <v>253</v>
      </c>
      <c r="C235" s="202"/>
      <c r="D235" s="202"/>
      <c r="E235" s="38">
        <f t="shared" si="30"/>
        <v>11203.37646879</v>
      </c>
      <c r="F235" s="38">
        <f>F236+F237</f>
        <v>3477.7380000000003</v>
      </c>
      <c r="G235" s="38">
        <f>G236+G237</f>
        <v>3759.4347780000003</v>
      </c>
      <c r="H235" s="38">
        <f>H236+H237</f>
        <v>3966.20369079</v>
      </c>
    </row>
    <row r="236" spans="1:8" ht="18.75" customHeight="1">
      <c r="A236" s="235"/>
      <c r="B236" s="46" t="s">
        <v>344</v>
      </c>
      <c r="C236" s="202"/>
      <c r="D236" s="202"/>
      <c r="E236" s="47">
        <f t="shared" si="30"/>
        <v>7841.77746879</v>
      </c>
      <c r="F236" s="47">
        <v>116.139</v>
      </c>
      <c r="G236" s="47">
        <f>F235*1.081</f>
        <v>3759.4347780000003</v>
      </c>
      <c r="H236" s="47">
        <f>G236*1.055</f>
        <v>3966.20369079</v>
      </c>
    </row>
    <row r="237" spans="1:8" ht="42" customHeight="1">
      <c r="A237" s="235"/>
      <c r="B237" s="64" t="s">
        <v>298</v>
      </c>
      <c r="C237" s="202"/>
      <c r="D237" s="202"/>
      <c r="E237" s="47">
        <f t="shared" si="30"/>
        <v>3361.599</v>
      </c>
      <c r="F237" s="47">
        <f>1555.422+1806.177</f>
        <v>3361.599</v>
      </c>
      <c r="G237" s="47"/>
      <c r="H237" s="47"/>
    </row>
    <row r="238" spans="1:8" ht="25.5">
      <c r="A238" s="235"/>
      <c r="B238" s="36" t="s">
        <v>358</v>
      </c>
      <c r="C238" s="202"/>
      <c r="D238" s="202"/>
      <c r="E238" s="38">
        <f t="shared" si="30"/>
        <v>4461.5199999999995</v>
      </c>
      <c r="F238" s="38">
        <f>948.065+745.876+899.465+922.542+945.572</f>
        <v>4461.5199999999995</v>
      </c>
      <c r="G238" s="38"/>
      <c r="H238" s="38"/>
    </row>
    <row r="239" spans="1:8" ht="12.75">
      <c r="A239" s="204" t="s">
        <v>76</v>
      </c>
      <c r="B239" s="36"/>
      <c r="C239" s="197" t="s">
        <v>277</v>
      </c>
      <c r="D239" s="141" t="s">
        <v>17</v>
      </c>
      <c r="E239" s="39">
        <f t="shared" si="30"/>
        <v>144.433</v>
      </c>
      <c r="F239" s="39">
        <f>F240</f>
        <v>144.433</v>
      </c>
      <c r="G239" s="39">
        <f>G240</f>
        <v>0</v>
      </c>
      <c r="H239" s="39">
        <f>H240</f>
        <v>0</v>
      </c>
    </row>
    <row r="240" spans="1:8" ht="25.5">
      <c r="A240" s="205"/>
      <c r="B240" s="147" t="s">
        <v>35</v>
      </c>
      <c r="C240" s="202"/>
      <c r="D240" s="141"/>
      <c r="E240" s="38">
        <f t="shared" si="30"/>
        <v>144.433</v>
      </c>
      <c r="F240" s="38">
        <v>144.433</v>
      </c>
      <c r="G240" s="38"/>
      <c r="H240" s="38"/>
    </row>
    <row r="241" spans="1:8" ht="12.75" hidden="1">
      <c r="A241" s="138"/>
      <c r="B241" s="36"/>
      <c r="C241" s="202"/>
      <c r="D241" s="141"/>
      <c r="E241" s="38"/>
      <c r="F241" s="38"/>
      <c r="G241" s="38"/>
      <c r="H241" s="38"/>
    </row>
    <row r="242" spans="1:10" ht="12.75" customHeight="1">
      <c r="A242" s="206" t="s">
        <v>313</v>
      </c>
      <c r="B242" s="36"/>
      <c r="C242" s="202"/>
      <c r="D242" s="197" t="s">
        <v>17</v>
      </c>
      <c r="E242" s="39">
        <f t="shared" si="29"/>
        <v>3020.838889875</v>
      </c>
      <c r="F242" s="39">
        <f>SUM(F243)</f>
        <v>937.725</v>
      </c>
      <c r="G242" s="39">
        <f>SUM(G243)</f>
        <v>1013.6807249999999</v>
      </c>
      <c r="H242" s="39">
        <f>SUM(H243)</f>
        <v>1069.4331648749999</v>
      </c>
      <c r="J242" s="56">
        <v>100203</v>
      </c>
    </row>
    <row r="243" spans="1:8" ht="82.5" customHeight="1">
      <c r="A243" s="207"/>
      <c r="B243" s="36" t="s">
        <v>312</v>
      </c>
      <c r="C243" s="198"/>
      <c r="D243" s="198"/>
      <c r="E243" s="38">
        <f t="shared" si="29"/>
        <v>3020.838889875</v>
      </c>
      <c r="F243" s="38">
        <f>93.791+76.8+767.134</f>
        <v>937.725</v>
      </c>
      <c r="G243" s="38">
        <f>F243*1.081</f>
        <v>1013.6807249999999</v>
      </c>
      <c r="H243" s="38">
        <f>G243*1.055</f>
        <v>1069.4331648749999</v>
      </c>
    </row>
    <row r="244" spans="1:8" ht="25.5" customHeight="1">
      <c r="A244" s="253" t="s">
        <v>60</v>
      </c>
      <c r="B244" s="71"/>
      <c r="C244" s="246" t="s">
        <v>33</v>
      </c>
      <c r="D244" s="202" t="s">
        <v>17</v>
      </c>
      <c r="E244" s="39">
        <f>SUM(F244:H244)</f>
        <v>1116.7818048499998</v>
      </c>
      <c r="F244" s="39">
        <f>SUM(F245:F248)</f>
        <v>346.66999999999996</v>
      </c>
      <c r="G244" s="39">
        <f>SUM(G245:G248)</f>
        <v>374.75027</v>
      </c>
      <c r="H244" s="39">
        <f>SUM(H245:H248)</f>
        <v>395.36153485</v>
      </c>
    </row>
    <row r="245" spans="1:10" ht="13.5" customHeight="1">
      <c r="A245" s="253"/>
      <c r="B245" s="71" t="s">
        <v>31</v>
      </c>
      <c r="C245" s="246"/>
      <c r="D245" s="202"/>
      <c r="E245" s="38">
        <f>F245+G245+H245</f>
        <v>96.64365000000001</v>
      </c>
      <c r="F245" s="38">
        <v>30</v>
      </c>
      <c r="G245" s="38">
        <f>F245*1.081</f>
        <v>32.43</v>
      </c>
      <c r="H245" s="38">
        <f>G245*1.055</f>
        <v>34.21365</v>
      </c>
      <c r="I245" s="63">
        <f>F244+F249+F254+F259+F262+F265+F270+F273+F275</f>
        <v>12528.030999999999</v>
      </c>
      <c r="J245" s="61"/>
    </row>
    <row r="246" spans="1:8" ht="27" customHeight="1">
      <c r="A246" s="253"/>
      <c r="B246" s="72" t="s">
        <v>123</v>
      </c>
      <c r="C246" s="246"/>
      <c r="D246" s="202"/>
      <c r="E246" s="38">
        <f aca="true" t="shared" si="31" ref="E246:E280">F246+G246+H246</f>
        <v>483.06362016</v>
      </c>
      <c r="F246" s="38">
        <v>149.952</v>
      </c>
      <c r="G246" s="38">
        <f>F246*1.081</f>
        <v>162.098112</v>
      </c>
      <c r="H246" s="38">
        <f>G246*1.055</f>
        <v>171.01350816</v>
      </c>
    </row>
    <row r="247" spans="1:8" ht="30" customHeight="1">
      <c r="A247" s="253"/>
      <c r="B247" s="72" t="s">
        <v>256</v>
      </c>
      <c r="C247" s="246"/>
      <c r="D247" s="202"/>
      <c r="E247" s="38">
        <f t="shared" si="31"/>
        <v>158.495586</v>
      </c>
      <c r="F247" s="38">
        <v>49.2</v>
      </c>
      <c r="G247" s="38">
        <f>F247*1.081</f>
        <v>53.1852</v>
      </c>
      <c r="H247" s="38">
        <f>G247*1.055</f>
        <v>56.110386</v>
      </c>
    </row>
    <row r="248" spans="1:8" ht="12.75">
      <c r="A248" s="253"/>
      <c r="B248" s="73" t="s">
        <v>32</v>
      </c>
      <c r="C248" s="246"/>
      <c r="D248" s="202"/>
      <c r="E248" s="38">
        <f t="shared" si="31"/>
        <v>378.57894868999995</v>
      </c>
      <c r="F248" s="38">
        <f>119.916-2.398</f>
        <v>117.518</v>
      </c>
      <c r="G248" s="38">
        <f>F248*1.081</f>
        <v>127.036958</v>
      </c>
      <c r="H248" s="38">
        <f>G248*1.055</f>
        <v>134.02399068999998</v>
      </c>
    </row>
    <row r="249" spans="1:8" ht="15" customHeight="1">
      <c r="A249" s="206" t="s">
        <v>70</v>
      </c>
      <c r="B249" s="133"/>
      <c r="C249" s="197" t="s">
        <v>33</v>
      </c>
      <c r="D249" s="197" t="s">
        <v>17</v>
      </c>
      <c r="E249" s="39">
        <f t="shared" si="31"/>
        <v>845.1777123449999</v>
      </c>
      <c r="F249" s="39">
        <f>SUM(F250:F253)</f>
        <v>262.35900000000004</v>
      </c>
      <c r="G249" s="39">
        <f>SUM(G250:G253)</f>
        <v>283.610079</v>
      </c>
      <c r="H249" s="39">
        <f>SUM(H250:H253)</f>
        <v>299.20863334499995</v>
      </c>
    </row>
    <row r="250" spans="1:8" ht="38.25">
      <c r="A250" s="213"/>
      <c r="B250" s="36" t="s">
        <v>39</v>
      </c>
      <c r="C250" s="202"/>
      <c r="D250" s="202"/>
      <c r="E250" s="38">
        <f t="shared" si="31"/>
        <v>133.62595339999996</v>
      </c>
      <c r="F250" s="38">
        <v>41.48</v>
      </c>
      <c r="G250" s="38">
        <f>F250*1.081</f>
        <v>44.839879999999994</v>
      </c>
      <c r="H250" s="38">
        <f>G250*1.055</f>
        <v>47.30607339999999</v>
      </c>
    </row>
    <row r="251" spans="1:8" ht="25.5">
      <c r="A251" s="213"/>
      <c r="B251" s="36" t="s">
        <v>364</v>
      </c>
      <c r="C251" s="202"/>
      <c r="D251" s="202"/>
      <c r="E251" s="38">
        <f t="shared" si="31"/>
        <v>326.08856091999996</v>
      </c>
      <c r="F251" s="38">
        <v>101.224</v>
      </c>
      <c r="G251" s="38">
        <f>F251*1.081</f>
        <v>109.423144</v>
      </c>
      <c r="H251" s="38">
        <f>G251*1.055</f>
        <v>115.44141691999998</v>
      </c>
    </row>
    <row r="252" spans="1:8" ht="25.5">
      <c r="A252" s="213"/>
      <c r="B252" s="36" t="s">
        <v>179</v>
      </c>
      <c r="C252" s="202"/>
      <c r="D252" s="202"/>
      <c r="E252" s="38">
        <f t="shared" si="31"/>
        <v>256.604998025</v>
      </c>
      <c r="F252" s="38">
        <v>79.655</v>
      </c>
      <c r="G252" s="38">
        <f>F252*1.081</f>
        <v>86.107055</v>
      </c>
      <c r="H252" s="38">
        <f>G252*1.055</f>
        <v>90.842943025</v>
      </c>
    </row>
    <row r="253" spans="1:8" ht="25.5">
      <c r="A253" s="207"/>
      <c r="B253" s="36" t="s">
        <v>336</v>
      </c>
      <c r="C253" s="198"/>
      <c r="D253" s="198"/>
      <c r="E253" s="38">
        <f t="shared" si="31"/>
        <v>128.85819999999998</v>
      </c>
      <c r="F253" s="38">
        <v>40</v>
      </c>
      <c r="G253" s="38">
        <f>F253*1.081</f>
        <v>43.239999999999995</v>
      </c>
      <c r="H253" s="38">
        <f>G253*1.055</f>
        <v>45.618199999999995</v>
      </c>
    </row>
    <row r="254" spans="1:8" ht="12.75">
      <c r="A254" s="254" t="s">
        <v>77</v>
      </c>
      <c r="B254" s="133"/>
      <c r="C254" s="201" t="s">
        <v>33</v>
      </c>
      <c r="D254" s="201" t="s">
        <v>17</v>
      </c>
      <c r="E254" s="39">
        <f t="shared" si="31"/>
        <v>814.496168815</v>
      </c>
      <c r="F254" s="39">
        <f>SUM(F255:F258)</f>
        <v>321.793</v>
      </c>
      <c r="G254" s="39">
        <f>SUM(G255:G257)</f>
        <v>239.758233</v>
      </c>
      <c r="H254" s="39">
        <f>SUM(H255:H257)</f>
        <v>252.944935815</v>
      </c>
    </row>
    <row r="255" spans="1:8" ht="12.75">
      <c r="A255" s="255"/>
      <c r="B255" s="72" t="s">
        <v>294</v>
      </c>
      <c r="C255" s="201"/>
      <c r="D255" s="201"/>
      <c r="E255" s="38">
        <f t="shared" si="31"/>
        <v>73.82286278000001</v>
      </c>
      <c r="F255" s="38">
        <v>22.916</v>
      </c>
      <c r="G255" s="38">
        <f>F255*1.081</f>
        <v>24.772196</v>
      </c>
      <c r="H255" s="38">
        <f>G255*1.055</f>
        <v>26.13466678</v>
      </c>
    </row>
    <row r="256" spans="1:8" ht="38.25">
      <c r="A256" s="255"/>
      <c r="B256" s="72" t="s">
        <v>257</v>
      </c>
      <c r="C256" s="201"/>
      <c r="D256" s="201"/>
      <c r="E256" s="38">
        <f t="shared" si="31"/>
        <v>321.478658815</v>
      </c>
      <c r="F256" s="38">
        <v>99.793</v>
      </c>
      <c r="G256" s="38">
        <f>F256*1.081</f>
        <v>107.876233</v>
      </c>
      <c r="H256" s="38">
        <f>G256*1.055</f>
        <v>113.809425815</v>
      </c>
    </row>
    <row r="257" spans="1:8" ht="25.5">
      <c r="A257" s="255"/>
      <c r="B257" s="72" t="s">
        <v>258</v>
      </c>
      <c r="C257" s="201"/>
      <c r="D257" s="201"/>
      <c r="E257" s="38">
        <f t="shared" si="31"/>
        <v>319.19464722</v>
      </c>
      <c r="F257" s="38">
        <v>99.084</v>
      </c>
      <c r="G257" s="38">
        <f>F257*1.081</f>
        <v>107.109804</v>
      </c>
      <c r="H257" s="38">
        <f>G257*1.055</f>
        <v>113.00084322</v>
      </c>
    </row>
    <row r="258" spans="1:8" ht="12.75">
      <c r="A258" s="256"/>
      <c r="B258" s="73" t="s">
        <v>353</v>
      </c>
      <c r="C258" s="140"/>
      <c r="D258" s="140"/>
      <c r="E258" s="38">
        <f t="shared" si="31"/>
        <v>322.14549999999997</v>
      </c>
      <c r="F258" s="38">
        <v>100</v>
      </c>
      <c r="G258" s="38">
        <f>F258*1.081</f>
        <v>108.1</v>
      </c>
      <c r="H258" s="38">
        <f>G258*1.055</f>
        <v>114.04549999999999</v>
      </c>
    </row>
    <row r="259" spans="1:8" ht="12.75">
      <c r="A259" s="204" t="s">
        <v>259</v>
      </c>
      <c r="B259" s="36"/>
      <c r="C259" s="197" t="s">
        <v>33</v>
      </c>
      <c r="D259" s="197" t="s">
        <v>17</v>
      </c>
      <c r="E259" s="39">
        <f>F259+G259+H259</f>
        <v>714.000064745</v>
      </c>
      <c r="F259" s="39">
        <f>SUM(F260:F261)</f>
        <v>221.639</v>
      </c>
      <c r="G259" s="39">
        <f>SUM(G260:G261)</f>
        <v>239.591759</v>
      </c>
      <c r="H259" s="39">
        <f>SUM(H260:H261)</f>
        <v>252.76930574499997</v>
      </c>
    </row>
    <row r="260" spans="1:8" ht="25.5">
      <c r="A260" s="209"/>
      <c r="B260" s="36" t="s">
        <v>121</v>
      </c>
      <c r="C260" s="202"/>
      <c r="D260" s="202"/>
      <c r="E260" s="38">
        <f t="shared" si="31"/>
        <v>321.304700245</v>
      </c>
      <c r="F260" s="38">
        <v>99.739</v>
      </c>
      <c r="G260" s="38">
        <f>F260*1.081</f>
        <v>107.817859</v>
      </c>
      <c r="H260" s="38">
        <f>G260*1.055</f>
        <v>113.74784124499999</v>
      </c>
    </row>
    <row r="261" spans="1:8" ht="12.75" customHeight="1">
      <c r="A261" s="205"/>
      <c r="B261" s="36" t="s">
        <v>260</v>
      </c>
      <c r="C261" s="198"/>
      <c r="D261" s="198"/>
      <c r="E261" s="38">
        <f t="shared" si="31"/>
        <v>392.6953645</v>
      </c>
      <c r="F261" s="38">
        <v>121.9</v>
      </c>
      <c r="G261" s="38">
        <f>F261*1.081</f>
        <v>131.7739</v>
      </c>
      <c r="H261" s="38">
        <f>G261*1.055</f>
        <v>139.02146449999998</v>
      </c>
    </row>
    <row r="262" spans="1:8" ht="12.75" customHeight="1">
      <c r="A262" s="218" t="s">
        <v>313</v>
      </c>
      <c r="B262" s="36"/>
      <c r="C262" s="197" t="s">
        <v>33</v>
      </c>
      <c r="D262" s="197" t="s">
        <v>17</v>
      </c>
      <c r="E262" s="39">
        <f t="shared" si="31"/>
        <v>522.93234724</v>
      </c>
      <c r="F262" s="39">
        <f>SUM(F263:F264)</f>
        <v>162.328</v>
      </c>
      <c r="G262" s="39">
        <f>SUM(G263:G264)</f>
        <v>175.476568</v>
      </c>
      <c r="H262" s="39">
        <f>SUM(H263:H264)</f>
        <v>185.12777924</v>
      </c>
    </row>
    <row r="263" spans="1:8" ht="12.75">
      <c r="A263" s="219"/>
      <c r="B263" s="133" t="s">
        <v>267</v>
      </c>
      <c r="C263" s="202"/>
      <c r="D263" s="202"/>
      <c r="E263" s="38">
        <f t="shared" si="31"/>
        <v>200.78684724</v>
      </c>
      <c r="F263" s="38">
        <v>62.328</v>
      </c>
      <c r="G263" s="38">
        <f>F263*1.081</f>
        <v>67.376568</v>
      </c>
      <c r="H263" s="38">
        <f>G263*1.055</f>
        <v>71.08227924</v>
      </c>
    </row>
    <row r="264" spans="1:8" ht="57" customHeight="1">
      <c r="A264" s="220"/>
      <c r="B264" s="74" t="s">
        <v>333</v>
      </c>
      <c r="C264" s="198"/>
      <c r="D264" s="198"/>
      <c r="E264" s="38">
        <f t="shared" si="31"/>
        <v>322.14549999999997</v>
      </c>
      <c r="F264" s="38">
        <v>100</v>
      </c>
      <c r="G264" s="38">
        <f>F264*1.081</f>
        <v>108.1</v>
      </c>
      <c r="H264" s="38">
        <f>G264*1.055</f>
        <v>114.04549999999999</v>
      </c>
    </row>
    <row r="265" spans="1:8" ht="12.75">
      <c r="A265" s="204" t="s">
        <v>214</v>
      </c>
      <c r="B265" s="133"/>
      <c r="C265" s="197" t="s">
        <v>33</v>
      </c>
      <c r="D265" s="197" t="s">
        <v>17</v>
      </c>
      <c r="E265" s="39">
        <f>SUM(E266:E269)</f>
        <v>11815.083432647998</v>
      </c>
      <c r="F265" s="39">
        <f>SUM(F266:F269)</f>
        <v>3666.393</v>
      </c>
      <c r="G265" s="39">
        <f>SUM(G266:G269)</f>
        <v>3963.370833</v>
      </c>
      <c r="H265" s="39">
        <f>SUM(H266:H269)</f>
        <v>4185.319599648</v>
      </c>
    </row>
    <row r="266" spans="1:9" ht="31.5" customHeight="1">
      <c r="A266" s="209"/>
      <c r="B266" s="71" t="s">
        <v>123</v>
      </c>
      <c r="C266" s="202"/>
      <c r="D266" s="202"/>
      <c r="E266" s="38">
        <f>SUM(F266:H266)</f>
        <v>5268.37909228</v>
      </c>
      <c r="F266" s="38">
        <f>1676.575-41.72</f>
        <v>1634.855</v>
      </c>
      <c r="G266" s="38">
        <f>F266*108.1%</f>
        <v>1767.278255</v>
      </c>
      <c r="H266" s="38">
        <f>G266*105.6%</f>
        <v>1866.24583728</v>
      </c>
      <c r="I266" s="56"/>
    </row>
    <row r="267" spans="1:9" ht="38.25">
      <c r="A267" s="209"/>
      <c r="B267" s="72" t="s">
        <v>257</v>
      </c>
      <c r="C267" s="202"/>
      <c r="D267" s="202"/>
      <c r="E267" s="38">
        <f>SUM(F267:H267)</f>
        <v>3609.907384952</v>
      </c>
      <c r="F267" s="38">
        <f>1129.172-8.965</f>
        <v>1120.207</v>
      </c>
      <c r="G267" s="38">
        <f>F267*108.1%</f>
        <v>1210.943767</v>
      </c>
      <c r="H267" s="38">
        <f>G267*105.6%</f>
        <v>1278.756617952</v>
      </c>
      <c r="I267" s="56"/>
    </row>
    <row r="268" spans="1:9" ht="40.5" customHeight="1">
      <c r="A268" s="209"/>
      <c r="B268" s="72" t="s">
        <v>258</v>
      </c>
      <c r="C268" s="202"/>
      <c r="D268" s="202"/>
      <c r="E268" s="38">
        <f>SUM(F268:H268)</f>
        <v>2774.381141016</v>
      </c>
      <c r="F268" s="38">
        <f>936.984-76.053</f>
        <v>860.931</v>
      </c>
      <c r="G268" s="38">
        <f>F268*108.1%</f>
        <v>930.666411</v>
      </c>
      <c r="H268" s="38">
        <f>G268*105.6%</f>
        <v>982.783730016</v>
      </c>
      <c r="I268" s="56"/>
    </row>
    <row r="269" spans="1:9" ht="25.5">
      <c r="A269" s="209"/>
      <c r="B269" s="71" t="s">
        <v>256</v>
      </c>
      <c r="C269" s="202"/>
      <c r="D269" s="202"/>
      <c r="E269" s="38">
        <f>SUM(F269:H269)</f>
        <v>162.4158144</v>
      </c>
      <c r="F269" s="38">
        <f>50.4</f>
        <v>50.4</v>
      </c>
      <c r="G269" s="38">
        <f>F269*108.1%</f>
        <v>54.4824</v>
      </c>
      <c r="H269" s="38">
        <f>G269*105.6%</f>
        <v>57.5334144</v>
      </c>
      <c r="I269" s="56"/>
    </row>
    <row r="270" spans="1:9" ht="12.75">
      <c r="A270" s="204" t="s">
        <v>239</v>
      </c>
      <c r="B270" s="133"/>
      <c r="C270" s="148"/>
      <c r="D270" s="148"/>
      <c r="E270" s="39">
        <f>SUM(E271:E272)</f>
        <v>2532.587819864</v>
      </c>
      <c r="F270" s="39">
        <f>SUM(F271:F272)</f>
        <v>785.899</v>
      </c>
      <c r="G270" s="39">
        <f>SUM(G271:G272)</f>
        <v>849.5568189999999</v>
      </c>
      <c r="H270" s="39">
        <f>SUM(H271:H272)</f>
        <v>897.1320008639999</v>
      </c>
      <c r="I270" s="56"/>
    </row>
    <row r="271" spans="1:9" ht="27.75" customHeight="1">
      <c r="A271" s="209"/>
      <c r="B271" s="71" t="s">
        <v>123</v>
      </c>
      <c r="C271" s="197" t="s">
        <v>33</v>
      </c>
      <c r="D271" s="197" t="s">
        <v>17</v>
      </c>
      <c r="E271" s="38">
        <f>F271+G271+H271</f>
        <v>754.0573113199999</v>
      </c>
      <c r="F271" s="38">
        <v>233.995</v>
      </c>
      <c r="G271" s="38">
        <f>F271*108.1%</f>
        <v>252.94859499999998</v>
      </c>
      <c r="H271" s="38">
        <f>G271*105.6%</f>
        <v>267.11371632</v>
      </c>
      <c r="I271" s="56"/>
    </row>
    <row r="272" spans="1:9" ht="60.75" customHeight="1">
      <c r="A272" s="209"/>
      <c r="B272" s="71" t="s">
        <v>256</v>
      </c>
      <c r="C272" s="202"/>
      <c r="D272" s="202"/>
      <c r="E272" s="38">
        <f>F272+G272+H272</f>
        <v>1778.530508544</v>
      </c>
      <c r="F272" s="38">
        <f>565.2-13.296</f>
        <v>551.904</v>
      </c>
      <c r="G272" s="38">
        <f>F272*108.1%</f>
        <v>596.608224</v>
      </c>
      <c r="H272" s="38">
        <f>G272*105.6%</f>
        <v>630.0182845439999</v>
      </c>
      <c r="I272" s="56"/>
    </row>
    <row r="273" spans="1:9" ht="48.75" customHeight="1">
      <c r="A273" s="203" t="s">
        <v>261</v>
      </c>
      <c r="B273" s="36"/>
      <c r="C273" s="148"/>
      <c r="D273" s="148"/>
      <c r="E273" s="39">
        <f>E274</f>
        <v>11466.031223271999</v>
      </c>
      <c r="F273" s="39">
        <f>F274</f>
        <v>3558.0769999999998</v>
      </c>
      <c r="G273" s="39">
        <f>G274</f>
        <v>3846.2812369999997</v>
      </c>
      <c r="H273" s="39">
        <f>H274</f>
        <v>4061.672986272</v>
      </c>
      <c r="I273" s="56"/>
    </row>
    <row r="274" spans="1:9" ht="51">
      <c r="A274" s="212"/>
      <c r="B274" s="133" t="s">
        <v>215</v>
      </c>
      <c r="C274" s="148" t="s">
        <v>33</v>
      </c>
      <c r="D274" s="148" t="s">
        <v>17</v>
      </c>
      <c r="E274" s="38">
        <f>SUM(F274:H274)</f>
        <v>11466.031223271999</v>
      </c>
      <c r="F274" s="38">
        <f>3592.386-34.309</f>
        <v>3558.0769999999998</v>
      </c>
      <c r="G274" s="38">
        <f>F274*108.1%</f>
        <v>3846.2812369999997</v>
      </c>
      <c r="H274" s="38">
        <f>G274*105.6%</f>
        <v>4061.672986272</v>
      </c>
      <c r="I274" s="56"/>
    </row>
    <row r="275" spans="1:9" ht="51" customHeight="1">
      <c r="A275" s="204" t="s">
        <v>75</v>
      </c>
      <c r="B275" s="36"/>
      <c r="C275" s="197" t="s">
        <v>33</v>
      </c>
      <c r="D275" s="197" t="s">
        <v>17</v>
      </c>
      <c r="E275" s="39">
        <f>F275+G275+H275</f>
        <v>4863.803810035</v>
      </c>
      <c r="F275" s="39">
        <f>SUM(F277:F277)+F278</f>
        <v>3202.8730000000005</v>
      </c>
      <c r="G275" s="39">
        <f>SUM(G277:G277)+G278</f>
        <v>808.238837</v>
      </c>
      <c r="H275" s="39">
        <f>SUM(H277:H277)+H278</f>
        <v>852.6919730349999</v>
      </c>
      <c r="I275" s="56"/>
    </row>
    <row r="276" spans="1:9" ht="29.25" customHeight="1">
      <c r="A276" s="209"/>
      <c r="B276" s="133" t="s">
        <v>253</v>
      </c>
      <c r="C276" s="202"/>
      <c r="D276" s="202"/>
      <c r="E276" s="39">
        <f>F276+G276+H276</f>
        <v>4863.803810035</v>
      </c>
      <c r="F276" s="39">
        <f>F277+F278</f>
        <v>3202.8730000000005</v>
      </c>
      <c r="G276" s="39">
        <f>G277+G278</f>
        <v>808.238837</v>
      </c>
      <c r="H276" s="39">
        <f>H277+H278</f>
        <v>852.6919730349999</v>
      </c>
      <c r="I276" s="56"/>
    </row>
    <row r="277" spans="1:10" ht="12.75" customHeight="1">
      <c r="A277" s="209"/>
      <c r="B277" s="59" t="s">
        <v>344</v>
      </c>
      <c r="C277" s="202"/>
      <c r="D277" s="202"/>
      <c r="E277" s="38">
        <f>F277+G277+H277</f>
        <v>2408.607810035</v>
      </c>
      <c r="F277" s="38">
        <v>747.677</v>
      </c>
      <c r="G277" s="38">
        <f>F277*1.081</f>
        <v>808.238837</v>
      </c>
      <c r="H277" s="38">
        <f>G277*1.055</f>
        <v>852.6919730349999</v>
      </c>
      <c r="I277" s="63"/>
      <c r="J277" s="61"/>
    </row>
    <row r="278" spans="1:8" ht="25.5">
      <c r="A278" s="205"/>
      <c r="B278" s="64" t="s">
        <v>298</v>
      </c>
      <c r="C278" s="198"/>
      <c r="D278" s="198"/>
      <c r="E278" s="38">
        <f>F278+G278+H278</f>
        <v>2455.1960000000004</v>
      </c>
      <c r="F278" s="38">
        <f>1365.66+907.448+182.088</f>
        <v>2455.1960000000004</v>
      </c>
      <c r="G278" s="38"/>
      <c r="H278" s="38"/>
    </row>
    <row r="279" spans="1:8" ht="12.75">
      <c r="A279" s="204" t="s">
        <v>60</v>
      </c>
      <c r="B279" s="133"/>
      <c r="C279" s="197" t="s">
        <v>34</v>
      </c>
      <c r="D279" s="197" t="s">
        <v>17</v>
      </c>
      <c r="E279" s="39">
        <f t="shared" si="31"/>
        <v>383.3531449999999</v>
      </c>
      <c r="F279" s="39">
        <f>SUM(F280:F280)</f>
        <v>119</v>
      </c>
      <c r="G279" s="39">
        <f>SUM(G280:G280)</f>
        <v>128.63899999999998</v>
      </c>
      <c r="H279" s="39">
        <f>SUM(H280:H280)</f>
        <v>135.71414499999997</v>
      </c>
    </row>
    <row r="280" spans="1:10" ht="30" customHeight="1">
      <c r="A280" s="209"/>
      <c r="B280" s="36" t="s">
        <v>32</v>
      </c>
      <c r="C280" s="202"/>
      <c r="D280" s="202"/>
      <c r="E280" s="38">
        <f t="shared" si="31"/>
        <v>383.3531449999999</v>
      </c>
      <c r="F280" s="38">
        <v>119</v>
      </c>
      <c r="G280" s="38">
        <f>F280*1.081</f>
        <v>128.63899999999998</v>
      </c>
      <c r="H280" s="38">
        <f>G280*1.055</f>
        <v>135.71414499999997</v>
      </c>
      <c r="I280" s="63">
        <f>F279+F281+F288+F292+F294+F298+F300+F306+F304</f>
        <v>14309.938</v>
      </c>
      <c r="J280" s="61"/>
    </row>
    <row r="281" spans="1:10" ht="31.5" customHeight="1">
      <c r="A281" s="224" t="s">
        <v>70</v>
      </c>
      <c r="B281" s="133"/>
      <c r="C281" s="257" t="s">
        <v>34</v>
      </c>
      <c r="D281" s="197" t="s">
        <v>17</v>
      </c>
      <c r="E281" s="39">
        <f aca="true" t="shared" si="32" ref="E281:E299">F281+G281+H281</f>
        <v>2385.48640265</v>
      </c>
      <c r="F281" s="39">
        <f>SUM(F282:F287)</f>
        <v>767.83</v>
      </c>
      <c r="G281" s="39">
        <f>SUM(G282:G287)</f>
        <v>848.6462300000001</v>
      </c>
      <c r="H281" s="39">
        <f>SUM(H282:H287)</f>
        <v>769.01017265</v>
      </c>
      <c r="I281" s="63">
        <f>F281+F288+F292+F294+F298+F300+F306+F279</f>
        <v>12853.864</v>
      </c>
      <c r="J281" s="61"/>
    </row>
    <row r="282" spans="1:8" ht="12.75" customHeight="1">
      <c r="A282" s="235"/>
      <c r="B282" s="75" t="s">
        <v>130</v>
      </c>
      <c r="C282" s="258"/>
      <c r="D282" s="202"/>
      <c r="E282" s="38">
        <f t="shared" si="32"/>
        <v>263.77006</v>
      </c>
      <c r="F282" s="38">
        <v>70</v>
      </c>
      <c r="G282" s="38">
        <v>94.292</v>
      </c>
      <c r="H282" s="38">
        <f>G282*1.055</f>
        <v>99.47806</v>
      </c>
    </row>
    <row r="283" spans="1:8" ht="12.75">
      <c r="A283" s="235"/>
      <c r="B283" s="75" t="s">
        <v>192</v>
      </c>
      <c r="C283" s="258"/>
      <c r="D283" s="202"/>
      <c r="E283" s="38">
        <f>F283+G283+H283</f>
        <v>260.263</v>
      </c>
      <c r="F283" s="38">
        <v>120</v>
      </c>
      <c r="G283" s="38">
        <f>F283*1.081</f>
        <v>129.72</v>
      </c>
      <c r="H283" s="38">
        <v>10.543</v>
      </c>
    </row>
    <row r="284" spans="1:8" ht="25.5">
      <c r="A284" s="235"/>
      <c r="B284" s="75" t="s">
        <v>27</v>
      </c>
      <c r="C284" s="258"/>
      <c r="D284" s="202"/>
      <c r="E284" s="38">
        <f t="shared" si="32"/>
        <v>358.61237059999996</v>
      </c>
      <c r="F284" s="38">
        <v>111.32</v>
      </c>
      <c r="G284" s="38">
        <f>F284*1.081</f>
        <v>120.33691999999999</v>
      </c>
      <c r="H284" s="38">
        <f aca="true" t="shared" si="33" ref="H284:H293">G284*1.055</f>
        <v>126.95545059999998</v>
      </c>
    </row>
    <row r="285" spans="1:8" ht="25.5">
      <c r="A285" s="235"/>
      <c r="B285" s="76" t="s">
        <v>131</v>
      </c>
      <c r="C285" s="258"/>
      <c r="D285" s="202"/>
      <c r="E285" s="38">
        <f t="shared" si="32"/>
        <v>1255.984096855</v>
      </c>
      <c r="F285" s="38">
        <f>190.306+199.575</f>
        <v>389.881</v>
      </c>
      <c r="G285" s="38">
        <f>F285*1.081</f>
        <v>421.46136099999995</v>
      </c>
      <c r="H285" s="38">
        <f t="shared" si="33"/>
        <v>444.6417358549999</v>
      </c>
    </row>
    <row r="286" spans="1:8" ht="25.5">
      <c r="A286" s="235"/>
      <c r="B286" s="76" t="s">
        <v>114</v>
      </c>
      <c r="C286" s="258"/>
      <c r="D286" s="202"/>
      <c r="E286" s="38">
        <f t="shared" si="32"/>
        <v>118.10176175499998</v>
      </c>
      <c r="F286" s="38">
        <v>36.661</v>
      </c>
      <c r="G286" s="38">
        <f>F286*1.081</f>
        <v>39.630541</v>
      </c>
      <c r="H286" s="38">
        <f t="shared" si="33"/>
        <v>41.810220754999996</v>
      </c>
    </row>
    <row r="287" spans="1:8" ht="25.5">
      <c r="A287" s="225"/>
      <c r="B287" s="76" t="s">
        <v>141</v>
      </c>
      <c r="C287" s="259"/>
      <c r="D287" s="198"/>
      <c r="E287" s="38">
        <f t="shared" si="32"/>
        <v>128.75511344</v>
      </c>
      <c r="F287" s="38">
        <v>39.968</v>
      </c>
      <c r="G287" s="38">
        <f>F287*1.081</f>
        <v>43.205408000000006</v>
      </c>
      <c r="H287" s="38">
        <f t="shared" si="33"/>
        <v>45.58170544</v>
      </c>
    </row>
    <row r="288" spans="1:8" ht="12.75">
      <c r="A288" s="206" t="s">
        <v>77</v>
      </c>
      <c r="B288" s="36"/>
      <c r="C288" s="201" t="s">
        <v>34</v>
      </c>
      <c r="D288" s="201" t="s">
        <v>17</v>
      </c>
      <c r="E288" s="39">
        <f t="shared" si="32"/>
        <v>597.188765</v>
      </c>
      <c r="F288" s="39">
        <f>SUM(F289:F291)</f>
        <v>337.595</v>
      </c>
      <c r="G288" s="39">
        <f>SUM(G289:G290)</f>
        <v>126.323</v>
      </c>
      <c r="H288" s="39">
        <f>SUM(H289:H290)</f>
        <v>133.27076499999998</v>
      </c>
    </row>
    <row r="289" spans="1:8" ht="12.75">
      <c r="A289" s="213"/>
      <c r="B289" s="36" t="s">
        <v>28</v>
      </c>
      <c r="C289" s="201"/>
      <c r="D289" s="201"/>
      <c r="E289" s="38">
        <f t="shared" si="32"/>
        <v>33.56935</v>
      </c>
      <c r="F289" s="38">
        <v>25</v>
      </c>
      <c r="G289" s="38">
        <v>4.17</v>
      </c>
      <c r="H289" s="38">
        <f t="shared" si="33"/>
        <v>4.39935</v>
      </c>
    </row>
    <row r="290" spans="1:8" ht="12.75">
      <c r="A290" s="213"/>
      <c r="B290" s="36" t="s">
        <v>29</v>
      </c>
      <c r="C290" s="201"/>
      <c r="D290" s="201"/>
      <c r="E290" s="38">
        <f t="shared" si="32"/>
        <v>364.024415</v>
      </c>
      <c r="F290" s="38">
        <v>113</v>
      </c>
      <c r="G290" s="38">
        <f>F290*1.081</f>
        <v>122.15299999999999</v>
      </c>
      <c r="H290" s="38">
        <f t="shared" si="33"/>
        <v>128.87141499999998</v>
      </c>
    </row>
    <row r="291" spans="1:8" ht="12.75">
      <c r="A291" s="214"/>
      <c r="B291" s="133" t="s">
        <v>353</v>
      </c>
      <c r="C291" s="148"/>
      <c r="D291" s="148"/>
      <c r="E291" s="38">
        <f>F291+G291+H291</f>
        <v>199.595</v>
      </c>
      <c r="F291" s="38">
        <v>199.595</v>
      </c>
      <c r="G291" s="38"/>
      <c r="H291" s="38"/>
    </row>
    <row r="292" spans="1:8" ht="12.75">
      <c r="A292" s="203" t="s">
        <v>76</v>
      </c>
      <c r="B292" s="36"/>
      <c r="C292" s="201" t="s">
        <v>34</v>
      </c>
      <c r="D292" s="201" t="s">
        <v>17</v>
      </c>
      <c r="E292" s="39">
        <f t="shared" si="32"/>
        <v>320.389807025</v>
      </c>
      <c r="F292" s="39">
        <f>SUM(F293)</f>
        <v>99.455</v>
      </c>
      <c r="G292" s="39">
        <f>SUM(G293)</f>
        <v>107.51085499999999</v>
      </c>
      <c r="H292" s="39">
        <f>SUM(H293)</f>
        <v>113.42395202499999</v>
      </c>
    </row>
    <row r="293" spans="1:8" ht="25.5">
      <c r="A293" s="203"/>
      <c r="B293" s="36" t="s">
        <v>35</v>
      </c>
      <c r="C293" s="201"/>
      <c r="D293" s="201"/>
      <c r="E293" s="38">
        <f t="shared" si="32"/>
        <v>320.389807025</v>
      </c>
      <c r="F293" s="38">
        <v>99.455</v>
      </c>
      <c r="G293" s="38">
        <f>F293*1.081</f>
        <v>107.51085499999999</v>
      </c>
      <c r="H293" s="38">
        <f t="shared" si="33"/>
        <v>113.42395202499999</v>
      </c>
    </row>
    <row r="294" spans="1:8" ht="42" customHeight="1">
      <c r="A294" s="204" t="s">
        <v>203</v>
      </c>
      <c r="B294" s="36"/>
      <c r="C294" s="197" t="s">
        <v>34</v>
      </c>
      <c r="D294" s="197" t="s">
        <v>17</v>
      </c>
      <c r="E294" s="39">
        <f t="shared" si="32"/>
        <v>16120.312228384999</v>
      </c>
      <c r="F294" s="39">
        <f>SUM(F296+F295+F297)</f>
        <v>5004.0470000000005</v>
      </c>
      <c r="G294" s="39">
        <f>SUM(G296+G295+G297)</f>
        <v>5409.374807</v>
      </c>
      <c r="H294" s="39">
        <f>SUM(H296+H295+H297)</f>
        <v>5706.890421384999</v>
      </c>
    </row>
    <row r="295" spans="1:9" ht="16.5" customHeight="1">
      <c r="A295" s="209"/>
      <c r="B295" s="36" t="s">
        <v>271</v>
      </c>
      <c r="C295" s="202"/>
      <c r="D295" s="202"/>
      <c r="E295" s="38">
        <f t="shared" si="32"/>
        <v>4639.93250851</v>
      </c>
      <c r="F295" s="38">
        <f>1472+28.336-60.014</f>
        <v>1440.3220000000001</v>
      </c>
      <c r="G295" s="38">
        <f>F295*1.081</f>
        <v>1556.988082</v>
      </c>
      <c r="H295" s="38">
        <f>G295*1.055</f>
        <v>1642.62242651</v>
      </c>
      <c r="I295" s="61"/>
    </row>
    <row r="296" spans="1:9" ht="12.75">
      <c r="A296" s="209"/>
      <c r="B296" s="133" t="s">
        <v>218</v>
      </c>
      <c r="C296" s="202"/>
      <c r="D296" s="202"/>
      <c r="E296" s="38">
        <f t="shared" si="32"/>
        <v>8251.9502698</v>
      </c>
      <c r="F296" s="38">
        <v>2561.56</v>
      </c>
      <c r="G296" s="38">
        <f>F296*1.081</f>
        <v>2769.04636</v>
      </c>
      <c r="H296" s="38">
        <f>G296*1.055</f>
        <v>2921.3439097999994</v>
      </c>
      <c r="I296" s="56"/>
    </row>
    <row r="297" spans="1:9" ht="25.5">
      <c r="A297" s="205"/>
      <c r="B297" s="133" t="s">
        <v>219</v>
      </c>
      <c r="C297" s="198"/>
      <c r="D297" s="198"/>
      <c r="E297" s="38">
        <f t="shared" si="32"/>
        <v>3228.4294500750007</v>
      </c>
      <c r="F297" s="38">
        <f>1762.775-362.794-28.013-369.803</f>
        <v>1002.1650000000003</v>
      </c>
      <c r="G297" s="38">
        <f>F297*1.081</f>
        <v>1083.3403650000002</v>
      </c>
      <c r="H297" s="38">
        <f>G297*1.055</f>
        <v>1142.9240850750002</v>
      </c>
      <c r="I297" s="56"/>
    </row>
    <row r="298" spans="1:9" ht="26.25" customHeight="1">
      <c r="A298" s="204" t="s">
        <v>264</v>
      </c>
      <c r="B298" s="36"/>
      <c r="C298" s="194" t="s">
        <v>34</v>
      </c>
      <c r="D298" s="197" t="s">
        <v>17</v>
      </c>
      <c r="E298" s="39">
        <f t="shared" si="32"/>
        <v>9594.910523919</v>
      </c>
      <c r="F298" s="39">
        <f>SUM(F299:F299)</f>
        <v>2952.679</v>
      </c>
      <c r="G298" s="39">
        <f>SUM(G299:G299)</f>
        <v>3191.845999</v>
      </c>
      <c r="H298" s="39">
        <f>SUM(H299:H299)</f>
        <v>3450.385524919</v>
      </c>
      <c r="I298" s="56"/>
    </row>
    <row r="299" spans="1:9" ht="25.5" customHeight="1">
      <c r="A299" s="205"/>
      <c r="B299" s="36" t="s">
        <v>31</v>
      </c>
      <c r="C299" s="221"/>
      <c r="D299" s="198"/>
      <c r="E299" s="38">
        <f t="shared" si="32"/>
        <v>9594.910523919</v>
      </c>
      <c r="F299" s="38">
        <f>2982.062-29.383</f>
        <v>2952.679</v>
      </c>
      <c r="G299" s="38">
        <f>F299*1.081</f>
        <v>3191.845999</v>
      </c>
      <c r="H299" s="38">
        <f>G299*1.081</f>
        <v>3450.385524919</v>
      </c>
      <c r="I299" s="56"/>
    </row>
    <row r="300" spans="1:9" ht="52.5" customHeight="1">
      <c r="A300" s="204" t="s">
        <v>75</v>
      </c>
      <c r="B300" s="36"/>
      <c r="C300" s="197" t="s">
        <v>34</v>
      </c>
      <c r="D300" s="197" t="s">
        <v>17</v>
      </c>
      <c r="E300" s="39">
        <f aca="true" t="shared" si="34" ref="E300:E307">F300+G300+H300</f>
        <v>3914.4189699050003</v>
      </c>
      <c r="F300" s="39">
        <f>SUM(F302:F302)+F303</f>
        <v>3473.2580000000003</v>
      </c>
      <c r="G300" s="39">
        <f>SUM(G302:G302)+G303</f>
        <v>214.676871</v>
      </c>
      <c r="H300" s="39">
        <f>SUM(H302:H302)+H303</f>
        <v>226.484098905</v>
      </c>
      <c r="I300" s="56"/>
    </row>
    <row r="301" spans="1:9" ht="41.25" customHeight="1">
      <c r="A301" s="209"/>
      <c r="B301" s="36" t="s">
        <v>253</v>
      </c>
      <c r="C301" s="202"/>
      <c r="D301" s="202"/>
      <c r="E301" s="38">
        <f t="shared" si="34"/>
        <v>3914.4189699050003</v>
      </c>
      <c r="F301" s="38">
        <f>F302+F303</f>
        <v>3473.2580000000003</v>
      </c>
      <c r="G301" s="38">
        <f>G302+G303</f>
        <v>214.676871</v>
      </c>
      <c r="H301" s="38">
        <f>H302+H303</f>
        <v>226.484098905</v>
      </c>
      <c r="I301" s="56"/>
    </row>
    <row r="302" spans="1:10" ht="18" customHeight="1">
      <c r="A302" s="209"/>
      <c r="B302" s="46" t="s">
        <v>344</v>
      </c>
      <c r="C302" s="202"/>
      <c r="D302" s="202"/>
      <c r="E302" s="38">
        <f t="shared" si="34"/>
        <v>639.751969905</v>
      </c>
      <c r="F302" s="38">
        <v>198.591</v>
      </c>
      <c r="G302" s="38">
        <f>F302*1.081</f>
        <v>214.676871</v>
      </c>
      <c r="H302" s="38">
        <f>G302*1.055</f>
        <v>226.484098905</v>
      </c>
      <c r="I302" s="63"/>
      <c r="J302" s="61"/>
    </row>
    <row r="303" spans="1:8" ht="25.5">
      <c r="A303" s="205"/>
      <c r="B303" s="64" t="s">
        <v>298</v>
      </c>
      <c r="C303" s="198"/>
      <c r="D303" s="198"/>
      <c r="E303" s="38">
        <f t="shared" si="34"/>
        <v>3274.6670000000004</v>
      </c>
      <c r="F303" s="38">
        <f>1708.441+1566.226</f>
        <v>3274.6670000000004</v>
      </c>
      <c r="G303" s="38"/>
      <c r="H303" s="38"/>
    </row>
    <row r="304" spans="1:8" ht="85.5" customHeight="1">
      <c r="A304" s="204" t="s">
        <v>75</v>
      </c>
      <c r="B304" s="64"/>
      <c r="C304" s="197" t="s">
        <v>34</v>
      </c>
      <c r="D304" s="197" t="s">
        <v>17</v>
      </c>
      <c r="E304" s="39">
        <f>E305</f>
        <v>1456.074</v>
      </c>
      <c r="F304" s="39">
        <f>F305</f>
        <v>1456.074</v>
      </c>
      <c r="G304" s="38"/>
      <c r="H304" s="38"/>
    </row>
    <row r="305" spans="1:8" ht="27.75" customHeight="1">
      <c r="A305" s="205"/>
      <c r="B305" s="36" t="s">
        <v>54</v>
      </c>
      <c r="C305" s="198"/>
      <c r="D305" s="198"/>
      <c r="E305" s="38">
        <f>F305+G305+H305</f>
        <v>1456.074</v>
      </c>
      <c r="F305" s="38">
        <v>1456.074</v>
      </c>
      <c r="G305" s="38"/>
      <c r="H305" s="38"/>
    </row>
    <row r="306" spans="1:10" ht="32.25" customHeight="1">
      <c r="A306" s="224" t="s">
        <v>322</v>
      </c>
      <c r="B306" s="77"/>
      <c r="C306" s="162"/>
      <c r="D306" s="158"/>
      <c r="E306" s="39">
        <f t="shared" si="34"/>
        <v>322.14549999999997</v>
      </c>
      <c r="F306" s="39">
        <f>F307</f>
        <v>100</v>
      </c>
      <c r="G306" s="39">
        <f>G307</f>
        <v>108.1</v>
      </c>
      <c r="H306" s="39">
        <f>H307</f>
        <v>114.04549999999999</v>
      </c>
      <c r="J306" s="56">
        <v>100203</v>
      </c>
    </row>
    <row r="307" spans="1:8" ht="57" customHeight="1">
      <c r="A307" s="225"/>
      <c r="B307" s="77" t="s">
        <v>323</v>
      </c>
      <c r="C307" s="149" t="s">
        <v>34</v>
      </c>
      <c r="D307" s="148" t="s">
        <v>324</v>
      </c>
      <c r="E307" s="38">
        <f t="shared" si="34"/>
        <v>322.14549999999997</v>
      </c>
      <c r="F307" s="38">
        <v>100</v>
      </c>
      <c r="G307" s="38">
        <f>F307*1.081</f>
        <v>108.1</v>
      </c>
      <c r="H307" s="38">
        <f>G307*1.055</f>
        <v>114.04549999999999</v>
      </c>
    </row>
    <row r="308" spans="1:8" ht="39" customHeight="1">
      <c r="A308" s="204" t="s">
        <v>60</v>
      </c>
      <c r="B308" s="36"/>
      <c r="C308" s="197" t="s">
        <v>36</v>
      </c>
      <c r="D308" s="197" t="s">
        <v>17</v>
      </c>
      <c r="E308" s="39">
        <f aca="true" t="shared" si="35" ref="E308:E319">F308+G308+H308</f>
        <v>195.08809334499998</v>
      </c>
      <c r="F308" s="39">
        <f>SUM(F309:F310)</f>
        <v>60.559</v>
      </c>
      <c r="G308" s="39">
        <f>SUM(G309:G310)</f>
        <v>65.46427899999999</v>
      </c>
      <c r="H308" s="39">
        <f>SUM(H309:H310)</f>
        <v>69.06481434499999</v>
      </c>
    </row>
    <row r="309" spans="1:11" ht="12.75" customHeight="1">
      <c r="A309" s="209"/>
      <c r="B309" s="260" t="s">
        <v>31</v>
      </c>
      <c r="C309" s="202"/>
      <c r="D309" s="202"/>
      <c r="E309" s="210">
        <f t="shared" si="35"/>
        <v>195.08809334499998</v>
      </c>
      <c r="F309" s="210">
        <v>60.559</v>
      </c>
      <c r="G309" s="210">
        <f>F309*1.081</f>
        <v>65.46427899999999</v>
      </c>
      <c r="H309" s="210">
        <f>G309*1.055</f>
        <v>69.06481434499999</v>
      </c>
      <c r="I309" s="63">
        <f>F308+F311+F317+F321+F323+F326+F329+F332</f>
        <v>7806.735999999999</v>
      </c>
      <c r="J309" s="61">
        <v>87.729</v>
      </c>
      <c r="K309" s="56" t="s">
        <v>269</v>
      </c>
    </row>
    <row r="310" spans="1:8" ht="12.75">
      <c r="A310" s="209"/>
      <c r="B310" s="261"/>
      <c r="C310" s="202"/>
      <c r="D310" s="202"/>
      <c r="E310" s="211"/>
      <c r="F310" s="211"/>
      <c r="G310" s="211"/>
      <c r="H310" s="211"/>
    </row>
    <row r="311" spans="1:8" ht="12.75">
      <c r="A311" s="203" t="s">
        <v>70</v>
      </c>
      <c r="B311" s="133"/>
      <c r="C311" s="201" t="s">
        <v>36</v>
      </c>
      <c r="D311" s="201" t="s">
        <v>17</v>
      </c>
      <c r="E311" s="39">
        <f t="shared" si="35"/>
        <v>921.30391545</v>
      </c>
      <c r="F311" s="39">
        <f>SUM(F312:F315)</f>
        <v>285.99</v>
      </c>
      <c r="G311" s="39">
        <f>SUM(G312:G315)</f>
        <v>309.15518999999995</v>
      </c>
      <c r="H311" s="39">
        <f>SUM(H312:H315)</f>
        <v>326.15872544999996</v>
      </c>
    </row>
    <row r="312" spans="1:8" ht="12.75">
      <c r="A312" s="203"/>
      <c r="B312" s="78" t="s">
        <v>37</v>
      </c>
      <c r="C312" s="201"/>
      <c r="D312" s="201"/>
      <c r="E312" s="38">
        <f t="shared" si="35"/>
        <v>280.997855285</v>
      </c>
      <c r="F312" s="38">
        <v>87.227</v>
      </c>
      <c r="G312" s="38">
        <f>F312*1.081</f>
        <v>94.292387</v>
      </c>
      <c r="H312" s="38">
        <f>G312*1.055</f>
        <v>99.478468285</v>
      </c>
    </row>
    <row r="313" spans="1:8" ht="25.5">
      <c r="A313" s="203"/>
      <c r="B313" s="78" t="s">
        <v>114</v>
      </c>
      <c r="C313" s="201"/>
      <c r="D313" s="201"/>
      <c r="E313" s="38">
        <f t="shared" si="35"/>
        <v>29.782351474999995</v>
      </c>
      <c r="F313" s="38">
        <v>9.245</v>
      </c>
      <c r="G313" s="38">
        <f>F313*1.081</f>
        <v>9.993844999999999</v>
      </c>
      <c r="H313" s="38">
        <f>G313*1.055</f>
        <v>10.543506474999997</v>
      </c>
    </row>
    <row r="314" spans="1:8" ht="12.75">
      <c r="A314" s="203"/>
      <c r="B314" s="78" t="s">
        <v>124</v>
      </c>
      <c r="C314" s="201"/>
      <c r="D314" s="201"/>
      <c r="E314" s="38">
        <f t="shared" si="35"/>
        <v>327.90868299499994</v>
      </c>
      <c r="F314" s="38">
        <v>101.789</v>
      </c>
      <c r="G314" s="38">
        <f>F314*1.081</f>
        <v>110.033909</v>
      </c>
      <c r="H314" s="38">
        <f>G314*1.055</f>
        <v>116.08577399499998</v>
      </c>
    </row>
    <row r="315" spans="1:8" ht="25.5">
      <c r="A315" s="203"/>
      <c r="B315" s="78" t="s">
        <v>27</v>
      </c>
      <c r="C315" s="201"/>
      <c r="D315" s="201"/>
      <c r="E315" s="38">
        <f t="shared" si="35"/>
        <v>282.615025695</v>
      </c>
      <c r="F315" s="38">
        <v>87.729</v>
      </c>
      <c r="G315" s="38">
        <f>F315*1.081</f>
        <v>94.835049</v>
      </c>
      <c r="H315" s="38">
        <f>G315*1.055</f>
        <v>100.05097669499999</v>
      </c>
    </row>
    <row r="316" spans="1:8" ht="25.5">
      <c r="A316" s="203"/>
      <c r="B316" s="46" t="s">
        <v>115</v>
      </c>
      <c r="C316" s="201"/>
      <c r="D316" s="201"/>
      <c r="E316" s="47">
        <f t="shared" si="35"/>
        <v>280.63191165</v>
      </c>
      <c r="F316" s="47">
        <v>87.729</v>
      </c>
      <c r="G316" s="47">
        <f>F316*1.07</f>
        <v>93.87003</v>
      </c>
      <c r="H316" s="47">
        <f>G316*1.055</f>
        <v>99.03288165</v>
      </c>
    </row>
    <row r="317" spans="1:8" ht="12.75">
      <c r="A317" s="206" t="s">
        <v>77</v>
      </c>
      <c r="B317" s="133"/>
      <c r="C317" s="201" t="s">
        <v>36</v>
      </c>
      <c r="D317" s="201" t="s">
        <v>17</v>
      </c>
      <c r="E317" s="39">
        <f t="shared" si="35"/>
        <v>496.905806185</v>
      </c>
      <c r="F317" s="39">
        <f>SUM(F318:F320)</f>
        <v>223.207</v>
      </c>
      <c r="G317" s="39">
        <f>SUM(G318:G319)</f>
        <v>133.186767</v>
      </c>
      <c r="H317" s="39">
        <f>SUM(H318:H319)</f>
        <v>140.512039185</v>
      </c>
    </row>
    <row r="318" spans="1:8" ht="12.75">
      <c r="A318" s="213"/>
      <c r="B318" s="36" t="s">
        <v>28</v>
      </c>
      <c r="C318" s="201"/>
      <c r="D318" s="201"/>
      <c r="E318" s="38">
        <f t="shared" si="35"/>
        <v>12.425151935</v>
      </c>
      <c r="F318" s="38">
        <v>3.857</v>
      </c>
      <c r="G318" s="38">
        <f>F318*1.081</f>
        <v>4.169417</v>
      </c>
      <c r="H318" s="38">
        <f>G318*1.055</f>
        <v>4.398734935</v>
      </c>
    </row>
    <row r="319" spans="1:8" ht="12.75">
      <c r="A319" s="213"/>
      <c r="B319" s="36" t="s">
        <v>29</v>
      </c>
      <c r="C319" s="201"/>
      <c r="D319" s="201"/>
      <c r="E319" s="38">
        <f t="shared" si="35"/>
        <v>384.48065425</v>
      </c>
      <c r="F319" s="38">
        <v>119.35</v>
      </c>
      <c r="G319" s="38">
        <f>F319*1.081</f>
        <v>129.01735</v>
      </c>
      <c r="H319" s="38">
        <f>G319*1.055</f>
        <v>136.11330425</v>
      </c>
    </row>
    <row r="320" spans="1:8" ht="12.75">
      <c r="A320" s="214"/>
      <c r="B320" s="144" t="s">
        <v>353</v>
      </c>
      <c r="C320" s="148"/>
      <c r="D320" s="148"/>
      <c r="E320" s="38">
        <f>F320</f>
        <v>100</v>
      </c>
      <c r="F320" s="38">
        <v>100</v>
      </c>
      <c r="G320" s="38"/>
      <c r="H320" s="38"/>
    </row>
    <row r="321" spans="1:8" ht="12.75">
      <c r="A321" s="204" t="s">
        <v>76</v>
      </c>
      <c r="B321" s="36"/>
      <c r="C321" s="201" t="s">
        <v>36</v>
      </c>
      <c r="D321" s="201" t="s">
        <v>17</v>
      </c>
      <c r="E321" s="39">
        <f aca="true" t="shared" si="36" ref="E321:E343">F321+G321+H321</f>
        <v>580.53049685</v>
      </c>
      <c r="F321" s="39">
        <f>SUM(F322)</f>
        <v>181.481</v>
      </c>
      <c r="G321" s="39">
        <f>SUM(G322)</f>
        <v>194.18467</v>
      </c>
      <c r="H321" s="39">
        <f>SUM(H322)</f>
        <v>204.86482685</v>
      </c>
    </row>
    <row r="322" spans="1:8" ht="47.25" customHeight="1">
      <c r="A322" s="205"/>
      <c r="B322" s="147" t="s">
        <v>35</v>
      </c>
      <c r="C322" s="201"/>
      <c r="D322" s="201"/>
      <c r="E322" s="38">
        <f t="shared" si="36"/>
        <v>580.53049685</v>
      </c>
      <c r="F322" s="79">
        <f>73.786+107.695</f>
        <v>181.481</v>
      </c>
      <c r="G322" s="38">
        <f>F322*1.07</f>
        <v>194.18467</v>
      </c>
      <c r="H322" s="38">
        <f>G322*1.055</f>
        <v>204.86482685</v>
      </c>
    </row>
    <row r="323" spans="1:8" ht="12.75">
      <c r="A323" s="203" t="s">
        <v>203</v>
      </c>
      <c r="B323" s="36"/>
      <c r="C323" s="148"/>
      <c r="D323" s="148"/>
      <c r="E323" s="39">
        <f t="shared" si="36"/>
        <v>1860.0938886400002</v>
      </c>
      <c r="F323" s="39">
        <f>SUM(F325+F324)</f>
        <v>577.408</v>
      </c>
      <c r="G323" s="39">
        <f>SUM(G325+G324)</f>
        <v>624.178048</v>
      </c>
      <c r="H323" s="39">
        <f>SUM(H325+H324)</f>
        <v>658.50784064</v>
      </c>
    </row>
    <row r="324" spans="1:9" ht="37.5" customHeight="1">
      <c r="A324" s="203"/>
      <c r="B324" s="36" t="s">
        <v>123</v>
      </c>
      <c r="C324" s="148" t="s">
        <v>36</v>
      </c>
      <c r="D324" s="148" t="s">
        <v>17</v>
      </c>
      <c r="E324" s="38">
        <f t="shared" si="36"/>
        <v>644.17502762</v>
      </c>
      <c r="F324" s="38">
        <v>199.964</v>
      </c>
      <c r="G324" s="38">
        <f>F324*1.081</f>
        <v>216.161084</v>
      </c>
      <c r="H324" s="38">
        <f>G324*1.055</f>
        <v>228.04994361999996</v>
      </c>
      <c r="I324" s="56"/>
    </row>
    <row r="325" spans="1:9" ht="37.5" customHeight="1">
      <c r="A325" s="212"/>
      <c r="B325" s="133" t="s">
        <v>220</v>
      </c>
      <c r="C325" s="148" t="s">
        <v>36</v>
      </c>
      <c r="D325" s="148" t="s">
        <v>17</v>
      </c>
      <c r="E325" s="38">
        <f t="shared" si="36"/>
        <v>1215.9188610200001</v>
      </c>
      <c r="F325" s="38">
        <v>377.444</v>
      </c>
      <c r="G325" s="38">
        <f>F325*1.081</f>
        <v>408.01696400000003</v>
      </c>
      <c r="H325" s="38">
        <f>G325*1.055</f>
        <v>430.45789702</v>
      </c>
      <c r="I325" s="56"/>
    </row>
    <row r="326" spans="1:9" ht="41.25" customHeight="1">
      <c r="A326" s="203" t="s">
        <v>204</v>
      </c>
      <c r="B326" s="36"/>
      <c r="C326" s="148"/>
      <c r="D326" s="148"/>
      <c r="E326" s="39">
        <f t="shared" si="36"/>
        <v>3609.2376456250004</v>
      </c>
      <c r="F326" s="39">
        <f>SUM(F328+F327)</f>
        <v>1120.375</v>
      </c>
      <c r="G326" s="39">
        <f>SUM(G328+G327)</f>
        <v>1211.125375</v>
      </c>
      <c r="H326" s="39">
        <f>SUM(H328+H327)</f>
        <v>1277.737270625</v>
      </c>
      <c r="I326" s="56"/>
    </row>
    <row r="327" spans="1:9" ht="37.5" customHeight="1">
      <c r="A327" s="203"/>
      <c r="B327" s="133" t="s">
        <v>221</v>
      </c>
      <c r="C327" s="148" t="s">
        <v>36</v>
      </c>
      <c r="D327" s="148" t="s">
        <v>17</v>
      </c>
      <c r="E327" s="38">
        <f t="shared" si="36"/>
        <v>2789.003659345</v>
      </c>
      <c r="F327" s="38">
        <v>865.759</v>
      </c>
      <c r="G327" s="38">
        <f>F327*1.081</f>
        <v>935.885479</v>
      </c>
      <c r="H327" s="38">
        <f>G327*1.055</f>
        <v>987.359180345</v>
      </c>
      <c r="I327" s="56"/>
    </row>
    <row r="328" spans="1:9" ht="37.5" customHeight="1">
      <c r="A328" s="212"/>
      <c r="B328" s="133" t="s">
        <v>222</v>
      </c>
      <c r="C328" s="148" t="s">
        <v>36</v>
      </c>
      <c r="D328" s="148" t="s">
        <v>17</v>
      </c>
      <c r="E328" s="38">
        <f t="shared" si="36"/>
        <v>820.23398628</v>
      </c>
      <c r="F328" s="38">
        <v>254.616</v>
      </c>
      <c r="G328" s="38">
        <f>F328*1.081</f>
        <v>275.239896</v>
      </c>
      <c r="H328" s="38">
        <f>G328*1.055</f>
        <v>290.37809028</v>
      </c>
      <c r="I328" s="56"/>
    </row>
    <row r="329" spans="1:9" ht="12.75">
      <c r="A329" s="206" t="s">
        <v>205</v>
      </c>
      <c r="B329" s="36"/>
      <c r="C329" s="148"/>
      <c r="D329" s="148"/>
      <c r="E329" s="39">
        <f>SUM(E330+E331)</f>
        <v>535.2988995000001</v>
      </c>
      <c r="F329" s="39">
        <f>SUM(F330+F331)</f>
        <v>199</v>
      </c>
      <c r="G329" s="39">
        <f>SUM(G330+G331)</f>
        <v>106.9109</v>
      </c>
      <c r="H329" s="39">
        <f>SUM(H330+H331)</f>
        <v>112.7909995</v>
      </c>
      <c r="I329" s="56"/>
    </row>
    <row r="330" spans="1:9" ht="38.25">
      <c r="A330" s="213"/>
      <c r="B330" s="36" t="s">
        <v>223</v>
      </c>
      <c r="C330" s="148" t="s">
        <v>36</v>
      </c>
      <c r="D330" s="148" t="s">
        <v>17</v>
      </c>
      <c r="E330" s="38">
        <f t="shared" si="36"/>
        <v>318.6018995</v>
      </c>
      <c r="F330" s="38">
        <v>98.9</v>
      </c>
      <c r="G330" s="38">
        <f>F330*1.081</f>
        <v>106.9109</v>
      </c>
      <c r="H330" s="38">
        <f>G330*1.055</f>
        <v>112.7909995</v>
      </c>
      <c r="I330" s="56"/>
    </row>
    <row r="331" spans="1:9" ht="37.5" customHeight="1">
      <c r="A331" s="207"/>
      <c r="B331" s="36" t="s">
        <v>333</v>
      </c>
      <c r="C331" s="148" t="s">
        <v>36</v>
      </c>
      <c r="D331" s="148" t="s">
        <v>17</v>
      </c>
      <c r="E331" s="38">
        <v>216.697</v>
      </c>
      <c r="F331" s="38">
        <v>100.1</v>
      </c>
      <c r="G331" s="38"/>
      <c r="H331" s="38"/>
      <c r="I331" s="56"/>
    </row>
    <row r="332" spans="1:9" ht="37.5" customHeight="1">
      <c r="A332" s="227" t="s">
        <v>75</v>
      </c>
      <c r="B332" s="36"/>
      <c r="C332" s="197" t="s">
        <v>36</v>
      </c>
      <c r="D332" s="197" t="s">
        <v>17</v>
      </c>
      <c r="E332" s="39">
        <f t="shared" si="36"/>
        <v>7177.352158499999</v>
      </c>
      <c r="F332" s="39">
        <f>F333</f>
        <v>5158.715999999999</v>
      </c>
      <c r="G332" s="39">
        <f>G333</f>
        <v>982.3047</v>
      </c>
      <c r="H332" s="39">
        <f>H333</f>
        <v>1036.3314585</v>
      </c>
      <c r="I332" s="56"/>
    </row>
    <row r="333" spans="1:9" ht="29.25" customHeight="1">
      <c r="A333" s="227"/>
      <c r="B333" s="36" t="s">
        <v>253</v>
      </c>
      <c r="C333" s="202"/>
      <c r="D333" s="202"/>
      <c r="E333" s="43">
        <f t="shared" si="36"/>
        <v>7177.352158499999</v>
      </c>
      <c r="F333" s="43">
        <f>F334+F335+F336</f>
        <v>5158.715999999999</v>
      </c>
      <c r="G333" s="43">
        <f>G334+G335+G336</f>
        <v>982.3047</v>
      </c>
      <c r="H333" s="43">
        <f>H334+H335+H336</f>
        <v>1036.3314585</v>
      </c>
      <c r="I333" s="56"/>
    </row>
    <row r="334" spans="1:9" ht="18" customHeight="1">
      <c r="A334" s="227"/>
      <c r="B334" s="64" t="s">
        <v>344</v>
      </c>
      <c r="C334" s="202"/>
      <c r="D334" s="202"/>
      <c r="E334" s="43">
        <f>F334+G334+H334</f>
        <v>2927.3361585000002</v>
      </c>
      <c r="F334" s="43">
        <v>908.7</v>
      </c>
      <c r="G334" s="43">
        <f>F334*1.081</f>
        <v>982.3047</v>
      </c>
      <c r="H334" s="43">
        <f>G334*1.055</f>
        <v>1036.3314585</v>
      </c>
      <c r="I334" s="56"/>
    </row>
    <row r="335" spans="1:9" ht="29.25" customHeight="1">
      <c r="A335" s="227"/>
      <c r="B335" s="64" t="s">
        <v>335</v>
      </c>
      <c r="C335" s="202"/>
      <c r="D335" s="202"/>
      <c r="E335" s="43">
        <v>1518.696</v>
      </c>
      <c r="F335" s="43">
        <f>1092.528+1638.792</f>
        <v>2731.3199999999997</v>
      </c>
      <c r="G335" s="43"/>
      <c r="H335" s="43"/>
      <c r="I335" s="56"/>
    </row>
    <row r="336" spans="1:9" ht="25.5">
      <c r="A336" s="248"/>
      <c r="B336" s="80" t="s">
        <v>334</v>
      </c>
      <c r="C336" s="198"/>
      <c r="D336" s="198"/>
      <c r="E336" s="129">
        <f>F336+G336+H336</f>
        <v>1518.696</v>
      </c>
      <c r="F336" s="129">
        <f>1265.586+253.11</f>
        <v>1518.696</v>
      </c>
      <c r="G336" s="129"/>
      <c r="H336" s="129"/>
      <c r="I336" s="56" t="s">
        <v>243</v>
      </c>
    </row>
    <row r="337" spans="1:10" ht="12.75" customHeight="1">
      <c r="A337" s="224" t="s">
        <v>60</v>
      </c>
      <c r="B337" s="36"/>
      <c r="C337" s="197" t="s">
        <v>38</v>
      </c>
      <c r="D337" s="197" t="s">
        <v>17</v>
      </c>
      <c r="E337" s="39">
        <f t="shared" si="36"/>
        <v>2088.19867428</v>
      </c>
      <c r="F337" s="39">
        <f>SUM(F338:F343)</f>
        <v>648.216</v>
      </c>
      <c r="G337" s="39">
        <f>SUM(G338:G343)</f>
        <v>700.7214959999999</v>
      </c>
      <c r="H337" s="39">
        <f>SUM(H338:H343)</f>
        <v>739.26117828</v>
      </c>
      <c r="J337" s="56">
        <v>100203</v>
      </c>
    </row>
    <row r="338" spans="1:10" ht="12.75" customHeight="1">
      <c r="A338" s="235"/>
      <c r="B338" s="36" t="s">
        <v>40</v>
      </c>
      <c r="C338" s="202"/>
      <c r="D338" s="202"/>
      <c r="E338" s="38">
        <f t="shared" si="36"/>
        <v>405.43944048000003</v>
      </c>
      <c r="F338" s="38">
        <v>125.856</v>
      </c>
      <c r="G338" s="38">
        <f aca="true" t="shared" si="37" ref="G338:G343">F338*1.081</f>
        <v>136.050336</v>
      </c>
      <c r="H338" s="38">
        <f aca="true" t="shared" si="38" ref="H338:H343">G338*1.055</f>
        <v>143.53310448</v>
      </c>
      <c r="I338" s="63">
        <f>F337+F344+F352+F357+F359+F363+F367+F369+F371+F373</f>
        <v>8907.765</v>
      </c>
      <c r="J338" s="61"/>
    </row>
    <row r="339" spans="1:8" ht="12.75" customHeight="1">
      <c r="A339" s="235"/>
      <c r="B339" s="36" t="s">
        <v>125</v>
      </c>
      <c r="C339" s="202"/>
      <c r="D339" s="202"/>
      <c r="E339" s="38">
        <f t="shared" si="36"/>
        <v>157.32297638</v>
      </c>
      <c r="F339" s="38">
        <v>48.836</v>
      </c>
      <c r="G339" s="38">
        <f t="shared" si="37"/>
        <v>52.791715999999994</v>
      </c>
      <c r="H339" s="38">
        <f t="shared" si="38"/>
        <v>55.69526037999999</v>
      </c>
    </row>
    <row r="340" spans="1:8" ht="12.75" customHeight="1">
      <c r="A340" s="235"/>
      <c r="B340" s="36" t="s">
        <v>158</v>
      </c>
      <c r="C340" s="202"/>
      <c r="D340" s="202"/>
      <c r="E340" s="38">
        <f t="shared" si="36"/>
        <v>190.50718433499998</v>
      </c>
      <c r="F340" s="38">
        <v>59.137</v>
      </c>
      <c r="G340" s="38">
        <f t="shared" si="37"/>
        <v>63.927096999999996</v>
      </c>
      <c r="H340" s="38">
        <f t="shared" si="38"/>
        <v>67.44308733499999</v>
      </c>
    </row>
    <row r="341" spans="1:8" ht="38.25">
      <c r="A341" s="235"/>
      <c r="B341" s="36" t="s">
        <v>108</v>
      </c>
      <c r="C341" s="202"/>
      <c r="D341" s="202"/>
      <c r="E341" s="38">
        <f t="shared" si="36"/>
        <v>254.06649148500003</v>
      </c>
      <c r="F341" s="38">
        <v>78.867</v>
      </c>
      <c r="G341" s="38">
        <f t="shared" si="37"/>
        <v>85.255227</v>
      </c>
      <c r="H341" s="38">
        <f t="shared" si="38"/>
        <v>89.944264485</v>
      </c>
    </row>
    <row r="342" spans="1:8" ht="12.75">
      <c r="A342" s="235"/>
      <c r="B342" s="36" t="s">
        <v>193</v>
      </c>
      <c r="C342" s="202"/>
      <c r="D342" s="202"/>
      <c r="E342" s="38">
        <f t="shared" si="36"/>
        <v>166.57177368499998</v>
      </c>
      <c r="F342" s="38">
        <v>51.707</v>
      </c>
      <c r="G342" s="38">
        <f t="shared" si="37"/>
        <v>55.895267</v>
      </c>
      <c r="H342" s="38">
        <f t="shared" si="38"/>
        <v>58.96950668499999</v>
      </c>
    </row>
    <row r="343" spans="1:8" ht="25.5">
      <c r="A343" s="225"/>
      <c r="B343" s="36" t="s">
        <v>314</v>
      </c>
      <c r="C343" s="198"/>
      <c r="D343" s="198"/>
      <c r="E343" s="38">
        <f t="shared" si="36"/>
        <v>914.290807915</v>
      </c>
      <c r="F343" s="38">
        <f>87+196.813</f>
        <v>283.813</v>
      </c>
      <c r="G343" s="38">
        <f t="shared" si="37"/>
        <v>306.801853</v>
      </c>
      <c r="H343" s="38">
        <f t="shared" si="38"/>
        <v>323.675954915</v>
      </c>
    </row>
    <row r="344" spans="1:8" ht="12.75">
      <c r="A344" s="204" t="s">
        <v>70</v>
      </c>
      <c r="B344" s="36"/>
      <c r="C344" s="197" t="s">
        <v>38</v>
      </c>
      <c r="D344" s="197" t="s">
        <v>17</v>
      </c>
      <c r="E344" s="39">
        <f>F344+G344+H344</f>
        <v>2254.3742089999996</v>
      </c>
      <c r="F344" s="39">
        <f>SUM(F345:F351)</f>
        <v>699.8</v>
      </c>
      <c r="G344" s="39">
        <f>SUM(G345:G351)</f>
        <v>756.4838</v>
      </c>
      <c r="H344" s="39">
        <f>SUM(H345:H351)</f>
        <v>798.0904089999999</v>
      </c>
    </row>
    <row r="345" spans="1:8" ht="25.5" customHeight="1">
      <c r="A345" s="209"/>
      <c r="B345" s="36" t="s">
        <v>37</v>
      </c>
      <c r="C345" s="202"/>
      <c r="D345" s="202"/>
      <c r="E345" s="38">
        <f aca="true" t="shared" si="39" ref="E345:E362">F345+G345+H345</f>
        <v>1018.3244756849999</v>
      </c>
      <c r="F345" s="38">
        <f>99.05+81.312+135.745</f>
        <v>316.10699999999997</v>
      </c>
      <c r="G345" s="38">
        <f>F345*1.081</f>
        <v>341.711667</v>
      </c>
      <c r="H345" s="38">
        <f>G345*1.055</f>
        <v>360.505808685</v>
      </c>
    </row>
    <row r="346" spans="1:8" ht="38.25">
      <c r="A346" s="209"/>
      <c r="B346" s="36" t="s">
        <v>315</v>
      </c>
      <c r="C346" s="202"/>
      <c r="D346" s="202"/>
      <c r="E346" s="38">
        <f t="shared" si="39"/>
        <v>172.80528911000002</v>
      </c>
      <c r="F346" s="38">
        <v>53.642</v>
      </c>
      <c r="G346" s="38">
        <f aca="true" t="shared" si="40" ref="G346:G351">F346*1.081</f>
        <v>57.987002000000004</v>
      </c>
      <c r="H346" s="38">
        <f aca="true" t="shared" si="41" ref="H346:H351">G346*1.055</f>
        <v>61.176287110000004</v>
      </c>
    </row>
    <row r="347" spans="1:8" ht="25.5">
      <c r="A347" s="209"/>
      <c r="B347" s="36" t="s">
        <v>26</v>
      </c>
      <c r="C347" s="202"/>
      <c r="D347" s="202"/>
      <c r="E347" s="38">
        <f t="shared" si="39"/>
        <v>171.27831944</v>
      </c>
      <c r="F347" s="38">
        <v>53.168</v>
      </c>
      <c r="G347" s="38">
        <f t="shared" si="40"/>
        <v>57.474607999999996</v>
      </c>
      <c r="H347" s="38">
        <f t="shared" si="41"/>
        <v>60.635711439999994</v>
      </c>
    </row>
    <row r="348" spans="1:8" ht="25.5">
      <c r="A348" s="209"/>
      <c r="B348" s="36" t="s">
        <v>27</v>
      </c>
      <c r="C348" s="202"/>
      <c r="D348" s="202"/>
      <c r="E348" s="38">
        <f t="shared" si="39"/>
        <v>511.9536285999999</v>
      </c>
      <c r="F348" s="38">
        <f>100.258+58.662</f>
        <v>158.92</v>
      </c>
      <c r="G348" s="38">
        <f>F348*1.081</f>
        <v>171.79251999999997</v>
      </c>
      <c r="H348" s="38">
        <f>G348*1.055</f>
        <v>181.24110859999996</v>
      </c>
    </row>
    <row r="349" spans="1:8" ht="25.5">
      <c r="A349" s="209"/>
      <c r="B349" s="36" t="s">
        <v>165</v>
      </c>
      <c r="C349" s="202"/>
      <c r="D349" s="202"/>
      <c r="E349" s="38">
        <f t="shared" si="39"/>
        <v>123.65232871999999</v>
      </c>
      <c r="F349" s="38">
        <v>38.384</v>
      </c>
      <c r="G349" s="38">
        <f t="shared" si="40"/>
        <v>41.493103999999995</v>
      </c>
      <c r="H349" s="38">
        <f t="shared" si="41"/>
        <v>43.77522471999999</v>
      </c>
    </row>
    <row r="350" spans="1:8" ht="25.5">
      <c r="A350" s="209"/>
      <c r="B350" s="36" t="s">
        <v>120</v>
      </c>
      <c r="C350" s="202"/>
      <c r="D350" s="202"/>
      <c r="E350" s="38">
        <f t="shared" si="39"/>
        <v>101.4758325</v>
      </c>
      <c r="F350" s="38">
        <v>31.5</v>
      </c>
      <c r="G350" s="38">
        <f t="shared" si="40"/>
        <v>34.0515</v>
      </c>
      <c r="H350" s="38">
        <f t="shared" si="41"/>
        <v>35.9243325</v>
      </c>
    </row>
    <row r="351" spans="1:8" ht="12.75">
      <c r="A351" s="205"/>
      <c r="B351" s="36" t="s">
        <v>155</v>
      </c>
      <c r="C351" s="202"/>
      <c r="D351" s="202"/>
      <c r="E351" s="38">
        <f t="shared" si="39"/>
        <v>154.884334945</v>
      </c>
      <c r="F351" s="38">
        <v>48.079</v>
      </c>
      <c r="G351" s="38">
        <f t="shared" si="40"/>
        <v>51.973399</v>
      </c>
      <c r="H351" s="38">
        <f t="shared" si="41"/>
        <v>54.831935945</v>
      </c>
    </row>
    <row r="352" spans="1:8" ht="12.75">
      <c r="A352" s="204" t="s">
        <v>77</v>
      </c>
      <c r="B352" s="133"/>
      <c r="C352" s="197" t="s">
        <v>38</v>
      </c>
      <c r="D352" s="197" t="s">
        <v>17</v>
      </c>
      <c r="E352" s="39">
        <f t="shared" si="39"/>
        <v>1652.2133974899998</v>
      </c>
      <c r="F352" s="39">
        <f>SUM(F353:F356)</f>
        <v>512.878</v>
      </c>
      <c r="G352" s="39">
        <f>SUM(G353:G356)</f>
        <v>554.421118</v>
      </c>
      <c r="H352" s="39">
        <f>SUM(H353:H356)</f>
        <v>584.9142794899999</v>
      </c>
    </row>
    <row r="353" spans="1:8" ht="12.75" customHeight="1">
      <c r="A353" s="209"/>
      <c r="B353" s="36" t="s">
        <v>41</v>
      </c>
      <c r="C353" s="202"/>
      <c r="D353" s="202"/>
      <c r="E353" s="38">
        <f t="shared" si="39"/>
        <v>9.545171165</v>
      </c>
      <c r="F353" s="38">
        <v>2.963</v>
      </c>
      <c r="G353" s="38">
        <f>F353*1.081</f>
        <v>3.203003</v>
      </c>
      <c r="H353" s="38">
        <f>G353*1.055</f>
        <v>3.379168165</v>
      </c>
    </row>
    <row r="354" spans="1:8" ht="12.75">
      <c r="A354" s="209"/>
      <c r="B354" s="36" t="s">
        <v>28</v>
      </c>
      <c r="C354" s="202"/>
      <c r="D354" s="202"/>
      <c r="E354" s="38">
        <f t="shared" si="39"/>
        <v>20.601204724999995</v>
      </c>
      <c r="F354" s="38">
        <v>6.395</v>
      </c>
      <c r="G354" s="38">
        <f>F354*1.081</f>
        <v>6.912995</v>
      </c>
      <c r="H354" s="38">
        <f>G354*1.055</f>
        <v>7.293209724999999</v>
      </c>
    </row>
    <row r="355" spans="1:8" ht="12.75">
      <c r="A355" s="209"/>
      <c r="B355" s="36" t="s">
        <v>29</v>
      </c>
      <c r="C355" s="202"/>
      <c r="D355" s="202"/>
      <c r="E355" s="38">
        <f t="shared" si="39"/>
        <v>337.16714466499997</v>
      </c>
      <c r="F355" s="38">
        <v>104.663</v>
      </c>
      <c r="G355" s="38">
        <f>F355*1.081</f>
        <v>113.14070299999999</v>
      </c>
      <c r="H355" s="38">
        <f>G355*1.055</f>
        <v>119.36344166499998</v>
      </c>
    </row>
    <row r="356" spans="1:8" ht="18.75" customHeight="1">
      <c r="A356" s="205"/>
      <c r="B356" s="144" t="s">
        <v>353</v>
      </c>
      <c r="C356" s="198"/>
      <c r="D356" s="198"/>
      <c r="E356" s="38">
        <f t="shared" si="39"/>
        <v>1284.899876935</v>
      </c>
      <c r="F356" s="38">
        <f>100+298.857</f>
        <v>398.857</v>
      </c>
      <c r="G356" s="38">
        <f>F356*1.081</f>
        <v>431.164417</v>
      </c>
      <c r="H356" s="38">
        <f>G356*1.055</f>
        <v>454.87845993499997</v>
      </c>
    </row>
    <row r="357" spans="1:8" ht="37.5" customHeight="1">
      <c r="A357" s="203" t="s">
        <v>65</v>
      </c>
      <c r="B357" s="133"/>
      <c r="C357" s="201" t="s">
        <v>38</v>
      </c>
      <c r="D357" s="201" t="s">
        <v>17</v>
      </c>
      <c r="E357" s="39">
        <f t="shared" si="39"/>
        <v>3.1119255299999997</v>
      </c>
      <c r="F357" s="39">
        <f>SUM(F358)</f>
        <v>0.966</v>
      </c>
      <c r="G357" s="39">
        <f>SUM(G358)</f>
        <v>1.044246</v>
      </c>
      <c r="H357" s="39">
        <f>SUM(H358)</f>
        <v>1.10167953</v>
      </c>
    </row>
    <row r="358" spans="1:8" ht="25.5">
      <c r="A358" s="203"/>
      <c r="B358" s="133" t="s">
        <v>42</v>
      </c>
      <c r="C358" s="201"/>
      <c r="D358" s="201"/>
      <c r="E358" s="38">
        <f t="shared" si="39"/>
        <v>3.1119255299999997</v>
      </c>
      <c r="F358" s="38">
        <v>0.966</v>
      </c>
      <c r="G358" s="38">
        <f>F358*1.081</f>
        <v>1.044246</v>
      </c>
      <c r="H358" s="38">
        <f>G358*1.055</f>
        <v>1.10167953</v>
      </c>
    </row>
    <row r="359" spans="1:8" ht="12.75">
      <c r="A359" s="204" t="s">
        <v>76</v>
      </c>
      <c r="B359" s="36"/>
      <c r="C359" s="197" t="s">
        <v>38</v>
      </c>
      <c r="D359" s="197" t="s">
        <v>17</v>
      </c>
      <c r="E359" s="39">
        <f>F359+G359+H359</f>
        <v>637.7514463499999</v>
      </c>
      <c r="F359" s="39">
        <f>SUM(F360:F362)</f>
        <v>197.97</v>
      </c>
      <c r="G359" s="39">
        <f>SUM(G360:G362)</f>
        <v>214.00556999999998</v>
      </c>
      <c r="H359" s="39">
        <f>SUM(H360:H362)</f>
        <v>225.77587634999998</v>
      </c>
    </row>
    <row r="360" spans="1:8" ht="15.75" customHeight="1">
      <c r="A360" s="209"/>
      <c r="B360" s="147" t="s">
        <v>126</v>
      </c>
      <c r="C360" s="202"/>
      <c r="D360" s="202"/>
      <c r="E360" s="38">
        <f t="shared" si="39"/>
        <v>148.138608175</v>
      </c>
      <c r="F360" s="79">
        <v>45.985</v>
      </c>
      <c r="G360" s="38">
        <f>F360*1.081</f>
        <v>49.709785</v>
      </c>
      <c r="H360" s="38">
        <f>G360*1.055</f>
        <v>52.44382317499999</v>
      </c>
    </row>
    <row r="361" spans="1:8" ht="12.75">
      <c r="A361" s="209"/>
      <c r="B361" s="147" t="s">
        <v>166</v>
      </c>
      <c r="C361" s="202"/>
      <c r="D361" s="202"/>
      <c r="E361" s="38">
        <f t="shared" si="39"/>
        <v>470.992828275</v>
      </c>
      <c r="F361" s="79">
        <v>146.205</v>
      </c>
      <c r="G361" s="38">
        <f>F361*1.081</f>
        <v>158.047605</v>
      </c>
      <c r="H361" s="38">
        <f>G361*1.055</f>
        <v>166.740223275</v>
      </c>
    </row>
    <row r="362" spans="1:8" ht="12.75">
      <c r="A362" s="205"/>
      <c r="B362" s="147" t="s">
        <v>167</v>
      </c>
      <c r="C362" s="198"/>
      <c r="D362" s="198"/>
      <c r="E362" s="38">
        <f t="shared" si="39"/>
        <v>18.6200099</v>
      </c>
      <c r="F362" s="79">
        <v>5.78</v>
      </c>
      <c r="G362" s="38">
        <f>F362*1.081</f>
        <v>6.24818</v>
      </c>
      <c r="H362" s="38">
        <f>G362*1.055</f>
        <v>6.5918299</v>
      </c>
    </row>
    <row r="363" spans="1:8" ht="12.75">
      <c r="A363" s="250" t="s">
        <v>244</v>
      </c>
      <c r="B363" s="72"/>
      <c r="C363" s="230" t="s">
        <v>38</v>
      </c>
      <c r="D363" s="230" t="s">
        <v>17</v>
      </c>
      <c r="E363" s="81">
        <f>E364+E365+E366</f>
        <v>4701.539613929999</v>
      </c>
      <c r="F363" s="81">
        <f>F364+F365+F366</f>
        <v>1459.4460000000001</v>
      </c>
      <c r="G363" s="81">
        <f>G364+G365+G366</f>
        <v>1577.661126</v>
      </c>
      <c r="H363" s="81">
        <f>H364+H365+H366</f>
        <v>1664.4324879299998</v>
      </c>
    </row>
    <row r="364" spans="1:9" ht="24.75" customHeight="1">
      <c r="A364" s="250"/>
      <c r="B364" s="72" t="s">
        <v>40</v>
      </c>
      <c r="C364" s="230"/>
      <c r="D364" s="230"/>
      <c r="E364" s="82">
        <f aca="true" t="shared" si="42" ref="E364:E372">F364+G364+H364</f>
        <v>583.1735557399999</v>
      </c>
      <c r="F364" s="82">
        <v>181.028</v>
      </c>
      <c r="G364" s="82">
        <f>F364*1.081</f>
        <v>195.69126799999998</v>
      </c>
      <c r="H364" s="82">
        <f>G364*1.055</f>
        <v>206.45428773999996</v>
      </c>
      <c r="I364" s="56"/>
    </row>
    <row r="365" spans="1:9" ht="24.75" customHeight="1">
      <c r="A365" s="250"/>
      <c r="B365" s="72" t="s">
        <v>125</v>
      </c>
      <c r="C365" s="230"/>
      <c r="D365" s="230"/>
      <c r="E365" s="82">
        <f t="shared" si="42"/>
        <v>2698.2262788999997</v>
      </c>
      <c r="F365" s="82">
        <v>837.58</v>
      </c>
      <c r="G365" s="82">
        <f>F365*1.081</f>
        <v>905.42398</v>
      </c>
      <c r="H365" s="82">
        <f>G365*1.055</f>
        <v>955.2222988999999</v>
      </c>
      <c r="I365" s="56"/>
    </row>
    <row r="366" spans="1:9" ht="47.25" customHeight="1">
      <c r="A366" s="250"/>
      <c r="B366" s="73" t="s">
        <v>29</v>
      </c>
      <c r="C366" s="230"/>
      <c r="D366" s="230"/>
      <c r="E366" s="82">
        <f t="shared" si="42"/>
        <v>1420.1397792900002</v>
      </c>
      <c r="F366" s="82">
        <f>243.621+197.217</f>
        <v>440.838</v>
      </c>
      <c r="G366" s="82">
        <f>F366*1.081</f>
        <v>476.545878</v>
      </c>
      <c r="H366" s="82">
        <f>G366*1.055</f>
        <v>502.75590129</v>
      </c>
      <c r="I366" s="56"/>
    </row>
    <row r="367" spans="1:9" ht="30" customHeight="1">
      <c r="A367" s="233" t="s">
        <v>224</v>
      </c>
      <c r="B367" s="83"/>
      <c r="C367" s="238" t="s">
        <v>38</v>
      </c>
      <c r="D367" s="231" t="s">
        <v>17</v>
      </c>
      <c r="E367" s="81">
        <f t="shared" si="42"/>
        <v>243.887</v>
      </c>
      <c r="F367" s="81">
        <f>F368</f>
        <v>243.887</v>
      </c>
      <c r="G367" s="81">
        <f>G368</f>
        <v>0</v>
      </c>
      <c r="H367" s="81">
        <f>H368</f>
        <v>0</v>
      </c>
      <c r="I367" s="56"/>
    </row>
    <row r="368" spans="1:9" ht="12.75" customHeight="1">
      <c r="A368" s="234"/>
      <c r="B368" s="83" t="s">
        <v>225</v>
      </c>
      <c r="C368" s="239"/>
      <c r="D368" s="232"/>
      <c r="E368" s="82">
        <f t="shared" si="42"/>
        <v>243.887</v>
      </c>
      <c r="F368" s="82">
        <v>243.887</v>
      </c>
      <c r="G368" s="82"/>
      <c r="H368" s="82"/>
      <c r="I368" s="56"/>
    </row>
    <row r="369" spans="1:9" ht="80.25" customHeight="1">
      <c r="A369" s="233" t="s">
        <v>368</v>
      </c>
      <c r="B369" s="84"/>
      <c r="C369" s="230" t="s">
        <v>38</v>
      </c>
      <c r="D369" s="230" t="s">
        <v>17</v>
      </c>
      <c r="E369" s="81">
        <f t="shared" si="42"/>
        <v>4960.2675508</v>
      </c>
      <c r="F369" s="81">
        <f>F370</f>
        <v>1539.7600000000002</v>
      </c>
      <c r="G369" s="81">
        <f>G370</f>
        <v>1664.4805600000002</v>
      </c>
      <c r="H369" s="81">
        <f>H370</f>
        <v>1756.0269908</v>
      </c>
      <c r="I369" s="56"/>
    </row>
    <row r="370" spans="1:9" ht="12.75" customHeight="1">
      <c r="A370" s="234"/>
      <c r="B370" s="85" t="s">
        <v>226</v>
      </c>
      <c r="C370" s="249"/>
      <c r="D370" s="230"/>
      <c r="E370" s="82">
        <f t="shared" si="42"/>
        <v>4960.2675508</v>
      </c>
      <c r="F370" s="82">
        <f>2092.59-552.83</f>
        <v>1539.7600000000002</v>
      </c>
      <c r="G370" s="82">
        <f>F370*1.081</f>
        <v>1664.4805600000002</v>
      </c>
      <c r="H370" s="82">
        <f>G370*1.055</f>
        <v>1756.0269908</v>
      </c>
      <c r="I370" s="56"/>
    </row>
    <row r="371" spans="1:9" ht="65.25" customHeight="1">
      <c r="A371" s="251" t="s">
        <v>369</v>
      </c>
      <c r="B371" s="86"/>
      <c r="C371" s="230" t="s">
        <v>38</v>
      </c>
      <c r="D371" s="230" t="s">
        <v>17</v>
      </c>
      <c r="E371" s="81">
        <f t="shared" si="42"/>
        <v>626.228301815</v>
      </c>
      <c r="F371" s="81">
        <f>F372</f>
        <v>194.393</v>
      </c>
      <c r="G371" s="81">
        <f>G372</f>
        <v>210.138833</v>
      </c>
      <c r="H371" s="81">
        <f>H372</f>
        <v>221.696468815</v>
      </c>
      <c r="I371" s="56"/>
    </row>
    <row r="372" spans="1:9" ht="25.5">
      <c r="A372" s="252"/>
      <c r="B372" s="72" t="s">
        <v>227</v>
      </c>
      <c r="C372" s="231"/>
      <c r="D372" s="231"/>
      <c r="E372" s="87">
        <f t="shared" si="42"/>
        <v>626.228301815</v>
      </c>
      <c r="F372" s="87">
        <v>194.393</v>
      </c>
      <c r="G372" s="87">
        <f>F372*1.081</f>
        <v>210.138833</v>
      </c>
      <c r="H372" s="87">
        <f>G372*1.055</f>
        <v>221.696468815</v>
      </c>
      <c r="I372" s="56"/>
    </row>
    <row r="373" spans="1:9" ht="30" customHeight="1">
      <c r="A373" s="226" t="s">
        <v>75</v>
      </c>
      <c r="B373" s="88"/>
      <c r="C373" s="236" t="s">
        <v>38</v>
      </c>
      <c r="D373" s="236" t="s">
        <v>17</v>
      </c>
      <c r="E373" s="81">
        <f>E374</f>
        <v>1012.7549999999999</v>
      </c>
      <c r="F373" s="81">
        <f>F374</f>
        <v>3410.4489999999996</v>
      </c>
      <c r="G373" s="81">
        <f>G374</f>
        <v>634.1312469999999</v>
      </c>
      <c r="H373" s="81">
        <f>H374</f>
        <v>669.0088005849999</v>
      </c>
      <c r="I373" s="56"/>
    </row>
    <row r="374" spans="1:9" ht="39" customHeight="1">
      <c r="A374" s="227"/>
      <c r="B374" s="89" t="s">
        <v>253</v>
      </c>
      <c r="C374" s="236"/>
      <c r="D374" s="236"/>
      <c r="E374" s="82">
        <f>E375+E377</f>
        <v>1012.7549999999999</v>
      </c>
      <c r="F374" s="82">
        <f>F375+F376+F377</f>
        <v>3410.4489999999996</v>
      </c>
      <c r="G374" s="82">
        <f>G375+G376+G377</f>
        <v>634.1312469999999</v>
      </c>
      <c r="H374" s="82">
        <f>H375+H376+H377</f>
        <v>669.0088005849999</v>
      </c>
      <c r="I374" s="56"/>
    </row>
    <row r="375" spans="1:9" ht="12.75">
      <c r="A375" s="227"/>
      <c r="B375" s="46" t="s">
        <v>344</v>
      </c>
      <c r="C375" s="236"/>
      <c r="D375" s="236"/>
      <c r="E375" s="87">
        <v>663.78</v>
      </c>
      <c r="F375" s="87">
        <f>663.78-185.493</f>
        <v>478.287</v>
      </c>
      <c r="G375" s="87">
        <f>F375*1.081</f>
        <v>517.028247</v>
      </c>
      <c r="H375" s="87">
        <f>G375*1.055</f>
        <v>545.4648005849999</v>
      </c>
      <c r="I375" s="56"/>
    </row>
    <row r="376" spans="1:9" ht="25.5">
      <c r="A376" s="228"/>
      <c r="B376" s="90" t="s">
        <v>298</v>
      </c>
      <c r="C376" s="237"/>
      <c r="D376" s="237"/>
      <c r="E376" s="91" t="s">
        <v>371</v>
      </c>
      <c r="F376" s="38">
        <f>1737.51+1086.324</f>
        <v>2823.834</v>
      </c>
      <c r="G376" s="38"/>
      <c r="H376" s="38"/>
      <c r="I376" s="56"/>
    </row>
    <row r="377" spans="1:10" ht="12.75">
      <c r="A377" s="229"/>
      <c r="B377" s="90" t="s">
        <v>345</v>
      </c>
      <c r="C377" s="237"/>
      <c r="D377" s="237"/>
      <c r="E377" s="91">
        <f>F377+G377+H377</f>
        <v>348.97499999999997</v>
      </c>
      <c r="F377" s="38">
        <v>108.328</v>
      </c>
      <c r="G377" s="38">
        <v>117.103</v>
      </c>
      <c r="H377" s="38">
        <v>123.544</v>
      </c>
      <c r="J377" s="56">
        <v>100203</v>
      </c>
    </row>
    <row r="378" spans="1:8" ht="12.75">
      <c r="A378" s="222" t="s">
        <v>80</v>
      </c>
      <c r="B378" s="222"/>
      <c r="C378" s="222"/>
      <c r="D378" s="222"/>
      <c r="E378" s="222"/>
      <c r="F378" s="222"/>
      <c r="G378" s="222"/>
      <c r="H378" s="222"/>
    </row>
    <row r="379" spans="1:8" ht="12.75">
      <c r="A379" s="206" t="s">
        <v>81</v>
      </c>
      <c r="B379" s="131"/>
      <c r="C379" s="197" t="s">
        <v>286</v>
      </c>
      <c r="D379" s="197" t="s">
        <v>17</v>
      </c>
      <c r="E379" s="39">
        <f>F379+G379+H379</f>
        <v>1247.0026803150001</v>
      </c>
      <c r="F379" s="39">
        <f>F380</f>
        <v>387.093</v>
      </c>
      <c r="G379" s="39">
        <f>G380</f>
        <v>418.447533</v>
      </c>
      <c r="H379" s="39">
        <f>H380</f>
        <v>441.462147315</v>
      </c>
    </row>
    <row r="380" spans="1:8" ht="56.25" customHeight="1">
      <c r="A380" s="213"/>
      <c r="B380" s="134" t="s">
        <v>82</v>
      </c>
      <c r="C380" s="202"/>
      <c r="D380" s="202"/>
      <c r="E380" s="128">
        <f>F380+G380+H380</f>
        <v>1247.0026803150001</v>
      </c>
      <c r="F380" s="128">
        <f>308.836+78.257</f>
        <v>387.093</v>
      </c>
      <c r="G380" s="128">
        <f>F380*1.081</f>
        <v>418.447533</v>
      </c>
      <c r="H380" s="128">
        <f>G380*1.055</f>
        <v>441.462147315</v>
      </c>
    </row>
    <row r="381" spans="1:8" ht="15.75" customHeight="1">
      <c r="A381" s="215" t="s">
        <v>309</v>
      </c>
      <c r="B381" s="216"/>
      <c r="C381" s="216"/>
      <c r="D381" s="216"/>
      <c r="E381" s="216"/>
      <c r="F381" s="216"/>
      <c r="G381" s="216"/>
      <c r="H381" s="217"/>
    </row>
    <row r="382" spans="1:8" ht="12.75" customHeight="1">
      <c r="A382" s="224" t="s">
        <v>310</v>
      </c>
      <c r="B382" s="131"/>
      <c r="C382" s="197" t="s">
        <v>286</v>
      </c>
      <c r="D382" s="197" t="s">
        <v>17</v>
      </c>
      <c r="E382" s="39">
        <f>F382+G382+H382</f>
        <v>3370.57</v>
      </c>
      <c r="F382" s="39">
        <f>SUM(F383:F384)</f>
        <v>3370.57</v>
      </c>
      <c r="G382" s="39">
        <f>SUM(G383:G383)</f>
        <v>0</v>
      </c>
      <c r="H382" s="39">
        <f>SUM(H383:H383)</f>
        <v>0</v>
      </c>
    </row>
    <row r="383" spans="1:8" ht="38.25">
      <c r="A383" s="235"/>
      <c r="B383" s="133" t="s">
        <v>311</v>
      </c>
      <c r="C383" s="202"/>
      <c r="D383" s="202"/>
      <c r="E383" s="38">
        <f>F383</f>
        <v>3187</v>
      </c>
      <c r="F383" s="38">
        <f>87+3100</f>
        <v>3187</v>
      </c>
      <c r="G383" s="38"/>
      <c r="H383" s="38"/>
    </row>
    <row r="384" spans="1:8" ht="53.25" customHeight="1">
      <c r="A384" s="235"/>
      <c r="B384" s="133" t="s">
        <v>376</v>
      </c>
      <c r="C384" s="202"/>
      <c r="D384" s="202"/>
      <c r="E384" s="38">
        <f>F384</f>
        <v>183.57</v>
      </c>
      <c r="F384" s="38">
        <v>183.57</v>
      </c>
      <c r="G384" s="38"/>
      <c r="H384" s="38"/>
    </row>
    <row r="385" spans="1:8" ht="12.75">
      <c r="A385" s="222" t="s">
        <v>148</v>
      </c>
      <c r="B385" s="222"/>
      <c r="C385" s="222"/>
      <c r="D385" s="222"/>
      <c r="E385" s="222"/>
      <c r="F385" s="222"/>
      <c r="G385" s="222"/>
      <c r="H385" s="222"/>
    </row>
    <row r="386" spans="1:9" ht="12.75">
      <c r="A386" s="204" t="s">
        <v>79</v>
      </c>
      <c r="B386" s="131"/>
      <c r="C386" s="197" t="s">
        <v>286</v>
      </c>
      <c r="D386" s="197" t="s">
        <v>17</v>
      </c>
      <c r="E386" s="39">
        <f>F386+G386+H386</f>
        <v>918.114675</v>
      </c>
      <c r="F386" s="39">
        <f>F387</f>
        <v>285</v>
      </c>
      <c r="G386" s="39">
        <f>G387</f>
        <v>308.085</v>
      </c>
      <c r="H386" s="39">
        <f>H387</f>
        <v>325.02967499999994</v>
      </c>
      <c r="I386" s="56"/>
    </row>
    <row r="387" spans="1:9" ht="67.5" customHeight="1">
      <c r="A387" s="209"/>
      <c r="B387" s="133" t="s">
        <v>78</v>
      </c>
      <c r="C387" s="202"/>
      <c r="D387" s="202"/>
      <c r="E387" s="38">
        <f>F387+G387+H387</f>
        <v>918.114675</v>
      </c>
      <c r="F387" s="38">
        <v>285</v>
      </c>
      <c r="G387" s="38">
        <f>F387*1.081</f>
        <v>308.085</v>
      </c>
      <c r="H387" s="38">
        <f>G387*1.055</f>
        <v>325.02967499999994</v>
      </c>
      <c r="I387" s="56"/>
    </row>
    <row r="388" spans="1:8" ht="12.75">
      <c r="A388" s="222" t="s">
        <v>149</v>
      </c>
      <c r="B388" s="222"/>
      <c r="C388" s="222"/>
      <c r="D388" s="222"/>
      <c r="E388" s="222"/>
      <c r="F388" s="222"/>
      <c r="G388" s="222"/>
      <c r="H388" s="222"/>
    </row>
    <row r="389" spans="1:8" ht="12.75">
      <c r="A389" s="208" t="s">
        <v>146</v>
      </c>
      <c r="B389" s="133"/>
      <c r="C389" s="201" t="s">
        <v>286</v>
      </c>
      <c r="D389" s="201" t="s">
        <v>17</v>
      </c>
      <c r="E389" s="39">
        <f>F389+G389+H389</f>
        <v>220.40076500000004</v>
      </c>
      <c r="F389" s="39">
        <f>F390</f>
        <v>68.9</v>
      </c>
      <c r="G389" s="39">
        <f>G390</f>
        <v>73.72300000000001</v>
      </c>
      <c r="H389" s="39">
        <f>H390</f>
        <v>77.777765</v>
      </c>
    </row>
    <row r="390" spans="1:8" ht="42" customHeight="1">
      <c r="A390" s="208"/>
      <c r="B390" s="133" t="s">
        <v>118</v>
      </c>
      <c r="C390" s="201"/>
      <c r="D390" s="201"/>
      <c r="E390" s="38">
        <f>F390+G390+H390</f>
        <v>220.40076500000004</v>
      </c>
      <c r="F390" s="38">
        <v>68.9</v>
      </c>
      <c r="G390" s="38">
        <f>F390*1.07</f>
        <v>73.72300000000001</v>
      </c>
      <c r="H390" s="38">
        <f>G390*1.055</f>
        <v>77.777765</v>
      </c>
    </row>
    <row r="391" spans="1:8" ht="19.5" customHeight="1">
      <c r="A391" s="146" t="s">
        <v>90</v>
      </c>
      <c r="B391" s="146"/>
      <c r="C391" s="131"/>
      <c r="D391" s="131"/>
      <c r="E391" s="39">
        <f>F391+G391+H391</f>
        <v>1455366.6736445185</v>
      </c>
      <c r="F391" s="39">
        <f>F18+F22+F32+F34+F36+F40+F41+F43+F50+F53+F70+F76+F82+F96+F108+F110+F115+F117+F124+F128+F130+F132+F134+F137+F142+F144+F149+F151+F154+F167+F172+F174+F182+F184+F187+F189+F191+F193+F195+F197+F199+F215+F221+F223+F227+F231+F234+F242+F244+F249+F254+F259+F262+F265+F270+F273+F275+F279+F281+F288+F292+F294+F298+F300+F306+F308+F311+F317+F321+F323+F326+F329+F332+F337+F344+F352+F357+F359+F363+F367+F369+F371+F373+F379+F382+F386+F389+F239+F304</f>
        <v>659954.1450000004</v>
      </c>
      <c r="G391" s="39">
        <f>G18+G22+G32+G34+G36+G40+G41+G43+G50+G53+G70+G76+G82+G96+G108+G110+G115+G117+G124+G128+G130+G132+G134+G137+G142+G144+G149+G151+G154+G167+G172+G174+G182+G184+G187+G189+G191+G193+G195+G197+G199+G215+G221+G223+G227+G231+G234+G242+G244+G249+G254+G259+G262+G265+G270+G273+G275+G279+G281+G288+G292+G294+G298+G300+G306+G308+G311+G317+G321+G323+G326+G329+G332+G337+G344+G352+G357+G359+G363+G367+G369+G371+G373+G379+G382+G386+G389+G239+G304</f>
        <v>399173.75244099984</v>
      </c>
      <c r="H391" s="39">
        <f>H18+H22+H32+H34+H36+H40+H41+H43+H50+H53+H70+H76+H82+H96+H108+H110+H115+H117+H124+H128+H130+H132+H134+H137+H142+H144+H149+H151+H154+H167+H172+H174+H182+H184+H187+H189+H191+H193+H195+H197+H199+H215+H221+H223+H227+H231+H234+H242+H244+H249+H254+H259+H262+H265+H270+H273+H275+H279+H281+H288+H292+H294+H298+H300+H306+H308+H311+H317+H321+H323+H326+H329+H332+H337+H344+H352+H357+H359+H363+H367+H369+H371+H373+H379+H382+H386+H389+H239+H304</f>
        <v>396238.77620351815</v>
      </c>
    </row>
    <row r="392" spans="1:8" ht="12.75">
      <c r="A392" s="215" t="s">
        <v>377</v>
      </c>
      <c r="B392" s="216"/>
      <c r="C392" s="216"/>
      <c r="D392" s="216"/>
      <c r="E392" s="216"/>
      <c r="F392" s="216"/>
      <c r="G392" s="216"/>
      <c r="H392" s="217"/>
    </row>
    <row r="393" spans="1:8" ht="12.75">
      <c r="A393" s="204" t="s">
        <v>378</v>
      </c>
      <c r="B393" s="146"/>
      <c r="C393" s="131"/>
      <c r="D393" s="131"/>
      <c r="E393" s="39">
        <f>E394</f>
        <v>248.622</v>
      </c>
      <c r="F393" s="39">
        <f>F394</f>
        <v>248.622</v>
      </c>
      <c r="G393" s="39">
        <f>G394</f>
        <v>0</v>
      </c>
      <c r="H393" s="39">
        <f>H394</f>
        <v>0</v>
      </c>
    </row>
    <row r="394" spans="1:8" ht="143.25" customHeight="1">
      <c r="A394" s="205"/>
      <c r="B394" s="186" t="s">
        <v>390</v>
      </c>
      <c r="C394" s="131"/>
      <c r="D394" s="131"/>
      <c r="E394" s="38">
        <f>F394</f>
        <v>248.622</v>
      </c>
      <c r="F394" s="38">
        <v>248.622</v>
      </c>
      <c r="G394" s="38">
        <v>0</v>
      </c>
      <c r="H394" s="38">
        <v>0</v>
      </c>
    </row>
    <row r="395" spans="1:8" ht="12.75">
      <c r="A395" s="27"/>
      <c r="B395" s="27"/>
      <c r="C395" s="28"/>
      <c r="D395" s="28"/>
      <c r="E395" s="28"/>
      <c r="F395" s="29"/>
      <c r="G395" s="28"/>
      <c r="H395" s="28"/>
    </row>
    <row r="396" spans="1:8" ht="23.25">
      <c r="A396" s="240" t="s">
        <v>91</v>
      </c>
      <c r="B396" s="240"/>
      <c r="C396" s="167"/>
      <c r="D396" s="167"/>
      <c r="E396" s="167"/>
      <c r="F396" s="169"/>
      <c r="G396" s="240" t="s">
        <v>168</v>
      </c>
      <c r="H396" s="240"/>
    </row>
    <row r="397" spans="1:9" s="4" customFormat="1" ht="18.75">
      <c r="A397" s="56"/>
      <c r="B397" s="56"/>
      <c r="C397" s="53"/>
      <c r="D397" s="53"/>
      <c r="E397" s="53"/>
      <c r="F397" s="63"/>
      <c r="G397" s="53"/>
      <c r="H397" s="53"/>
      <c r="I397" s="25"/>
    </row>
    <row r="400" ht="12.75">
      <c r="F400" s="63"/>
    </row>
    <row r="402" ht="12.75">
      <c r="F402" s="63"/>
    </row>
  </sheetData>
  <sheetProtection/>
  <mergeCells count="289">
    <mergeCell ref="A117:A123"/>
    <mergeCell ref="C117:C123"/>
    <mergeCell ref="A124:A127"/>
    <mergeCell ref="A128:A129"/>
    <mergeCell ref="C124:C126"/>
    <mergeCell ref="C134:C136"/>
    <mergeCell ref="C132:C133"/>
    <mergeCell ref="C130:C131"/>
    <mergeCell ref="A130:A131"/>
    <mergeCell ref="F6:H6"/>
    <mergeCell ref="D76:D81"/>
    <mergeCell ref="D96:D107"/>
    <mergeCell ref="D22:D30"/>
    <mergeCell ref="D41:D42"/>
    <mergeCell ref="H46:H47"/>
    <mergeCell ref="D18:D20"/>
    <mergeCell ref="A115:A116"/>
    <mergeCell ref="C108:C109"/>
    <mergeCell ref="A96:A107"/>
    <mergeCell ref="C110:C114"/>
    <mergeCell ref="C115:C116"/>
    <mergeCell ref="A53:A69"/>
    <mergeCell ref="A76:A81"/>
    <mergeCell ref="C96:C107"/>
    <mergeCell ref="D117:D123"/>
    <mergeCell ref="D115:D116"/>
    <mergeCell ref="D108:D109"/>
    <mergeCell ref="D32:D33"/>
    <mergeCell ref="C39:C40"/>
    <mergeCell ref="C34:C35"/>
    <mergeCell ref="C32:C33"/>
    <mergeCell ref="C36:C37"/>
    <mergeCell ref="C50:C51"/>
    <mergeCell ref="B46:B47"/>
    <mergeCell ref="F46:F47"/>
    <mergeCell ref="D43:D49"/>
    <mergeCell ref="C22:C30"/>
    <mergeCell ref="C18:C20"/>
    <mergeCell ref="D132:D133"/>
    <mergeCell ref="A43:A49"/>
    <mergeCell ref="C41:C42"/>
    <mergeCell ref="D134:D136"/>
    <mergeCell ref="D110:D114"/>
    <mergeCell ref="D130:D131"/>
    <mergeCell ref="C128:C129"/>
    <mergeCell ref="D128:D129"/>
    <mergeCell ref="D124:D126"/>
    <mergeCell ref="C76:C81"/>
    <mergeCell ref="B132:B133"/>
    <mergeCell ref="A144:A148"/>
    <mergeCell ref="A132:A133"/>
    <mergeCell ref="A134:A136"/>
    <mergeCell ref="A149:A150"/>
    <mergeCell ref="C154:C166"/>
    <mergeCell ref="A151:A153"/>
    <mergeCell ref="D311:D316"/>
    <mergeCell ref="C281:C287"/>
    <mergeCell ref="B309:B310"/>
    <mergeCell ref="C304:C305"/>
    <mergeCell ref="C308:C310"/>
    <mergeCell ref="C292:C293"/>
    <mergeCell ref="C311:C316"/>
    <mergeCell ref="C300:C303"/>
    <mergeCell ref="C288:C290"/>
    <mergeCell ref="A254:A258"/>
    <mergeCell ref="A227:A230"/>
    <mergeCell ref="A231:A233"/>
    <mergeCell ref="A288:A291"/>
    <mergeCell ref="A281:A287"/>
    <mergeCell ref="D308:D310"/>
    <mergeCell ref="D259:D261"/>
    <mergeCell ref="C223:C226"/>
    <mergeCell ref="A197:A198"/>
    <mergeCell ref="A234:A238"/>
    <mergeCell ref="A249:A253"/>
    <mergeCell ref="C227:C230"/>
    <mergeCell ref="A244:A248"/>
    <mergeCell ref="A193:A194"/>
    <mergeCell ref="C187:C188"/>
    <mergeCell ref="C191:C192"/>
    <mergeCell ref="C189:C190"/>
    <mergeCell ref="C199:C214"/>
    <mergeCell ref="A187:A188"/>
    <mergeCell ref="D215:D220"/>
    <mergeCell ref="F1:H1"/>
    <mergeCell ref="F2:H2"/>
    <mergeCell ref="F3:H3"/>
    <mergeCell ref="F5:H5"/>
    <mergeCell ref="D144:D148"/>
    <mergeCell ref="D151:D153"/>
    <mergeCell ref="E46:E47"/>
    <mergeCell ref="D39:D40"/>
    <mergeCell ref="D70:D75"/>
    <mergeCell ref="D184:D186"/>
    <mergeCell ref="D175:D181"/>
    <mergeCell ref="D182:D183"/>
    <mergeCell ref="C193:C194"/>
    <mergeCell ref="D193:D194"/>
    <mergeCell ref="C182:C183"/>
    <mergeCell ref="D189:D190"/>
    <mergeCell ref="C175:C181"/>
    <mergeCell ref="A329:A331"/>
    <mergeCell ref="D379:D380"/>
    <mergeCell ref="C369:C370"/>
    <mergeCell ref="D357:D358"/>
    <mergeCell ref="C359:C362"/>
    <mergeCell ref="A378:H378"/>
    <mergeCell ref="A359:A362"/>
    <mergeCell ref="A363:A366"/>
    <mergeCell ref="A371:A372"/>
    <mergeCell ref="C371:C372"/>
    <mergeCell ref="D344:D351"/>
    <mergeCell ref="C344:C351"/>
    <mergeCell ref="A337:A343"/>
    <mergeCell ref="C332:C336"/>
    <mergeCell ref="D332:D336"/>
    <mergeCell ref="A344:A351"/>
    <mergeCell ref="D337:D343"/>
    <mergeCell ref="C337:C343"/>
    <mergeCell ref="A332:A336"/>
    <mergeCell ref="D321:D322"/>
    <mergeCell ref="A167:A171"/>
    <mergeCell ref="C43:C49"/>
    <mergeCell ref="D82:D95"/>
    <mergeCell ref="D50:D51"/>
    <mergeCell ref="D53:D69"/>
    <mergeCell ref="C53:C69"/>
    <mergeCell ref="C82:C95"/>
    <mergeCell ref="A108:A109"/>
    <mergeCell ref="A82:A95"/>
    <mergeCell ref="D34:D35"/>
    <mergeCell ref="D36:D37"/>
    <mergeCell ref="C244:C248"/>
    <mergeCell ref="C195:C196"/>
    <mergeCell ref="C239:C243"/>
    <mergeCell ref="D191:D192"/>
    <mergeCell ref="D167:D170"/>
    <mergeCell ref="D154:D166"/>
    <mergeCell ref="D187:D188"/>
    <mergeCell ref="D234:D238"/>
    <mergeCell ref="D294:D297"/>
    <mergeCell ref="C275:C278"/>
    <mergeCell ref="C249:C253"/>
    <mergeCell ref="C265:C269"/>
    <mergeCell ref="C259:C261"/>
    <mergeCell ref="C254:C257"/>
    <mergeCell ref="D275:D278"/>
    <mergeCell ref="D249:D253"/>
    <mergeCell ref="D254:D257"/>
    <mergeCell ref="C262:C264"/>
    <mergeCell ref="D317:D319"/>
    <mergeCell ref="D199:D214"/>
    <mergeCell ref="D195:D196"/>
    <mergeCell ref="D197:D198"/>
    <mergeCell ref="D300:D303"/>
    <mergeCell ref="D231:D233"/>
    <mergeCell ref="D271:D272"/>
    <mergeCell ref="D227:D230"/>
    <mergeCell ref="D221:D222"/>
    <mergeCell ref="D223:D226"/>
    <mergeCell ref="A8:H8"/>
    <mergeCell ref="D12:D14"/>
    <mergeCell ref="A12:A14"/>
    <mergeCell ref="A16:H16"/>
    <mergeCell ref="E12:H12"/>
    <mergeCell ref="A9:H9"/>
    <mergeCell ref="B12:B14"/>
    <mergeCell ref="E13:E14"/>
    <mergeCell ref="C12:C14"/>
    <mergeCell ref="F13:H13"/>
    <mergeCell ref="G396:H396"/>
    <mergeCell ref="C382:C384"/>
    <mergeCell ref="C386:C387"/>
    <mergeCell ref="C363:C366"/>
    <mergeCell ref="D363:D366"/>
    <mergeCell ref="A392:H392"/>
    <mergeCell ref="A393:A394"/>
    <mergeCell ref="A396:B396"/>
    <mergeCell ref="D389:D390"/>
    <mergeCell ref="C389:C390"/>
    <mergeCell ref="D359:D362"/>
    <mergeCell ref="D369:D370"/>
    <mergeCell ref="A381:H381"/>
    <mergeCell ref="C373:C377"/>
    <mergeCell ref="C367:C368"/>
    <mergeCell ref="D373:D377"/>
    <mergeCell ref="A379:A380"/>
    <mergeCell ref="A382:A384"/>
    <mergeCell ref="C379:C380"/>
    <mergeCell ref="A388:H388"/>
    <mergeCell ref="D386:D387"/>
    <mergeCell ref="A386:A387"/>
    <mergeCell ref="A385:H385"/>
    <mergeCell ref="A389:A390"/>
    <mergeCell ref="D352:D356"/>
    <mergeCell ref="C352:C356"/>
    <mergeCell ref="A373:A377"/>
    <mergeCell ref="D371:D372"/>
    <mergeCell ref="A352:A356"/>
    <mergeCell ref="D367:D368"/>
    <mergeCell ref="A369:A370"/>
    <mergeCell ref="A367:A368"/>
    <mergeCell ref="A357:A358"/>
    <mergeCell ref="C357:C358"/>
    <mergeCell ref="G46:G47"/>
    <mergeCell ref="A239:A240"/>
    <mergeCell ref="A265:A269"/>
    <mergeCell ref="A195:A196"/>
    <mergeCell ref="A306:A307"/>
    <mergeCell ref="A292:A293"/>
    <mergeCell ref="A242:A243"/>
    <mergeCell ref="A110:A114"/>
    <mergeCell ref="A273:A274"/>
    <mergeCell ref="A215:A220"/>
    <mergeCell ref="A223:A226"/>
    <mergeCell ref="A221:A222"/>
    <mergeCell ref="A279:A280"/>
    <mergeCell ref="C215:C220"/>
    <mergeCell ref="C231:C233"/>
    <mergeCell ref="C221:C222"/>
    <mergeCell ref="A259:A261"/>
    <mergeCell ref="C271:C272"/>
    <mergeCell ref="C234:C238"/>
    <mergeCell ref="A18:A19"/>
    <mergeCell ref="A70:A75"/>
    <mergeCell ref="A50:A51"/>
    <mergeCell ref="A32:A33"/>
    <mergeCell ref="A36:A37"/>
    <mergeCell ref="A39:A40"/>
    <mergeCell ref="A34:A35"/>
    <mergeCell ref="A22:A31"/>
    <mergeCell ref="A52:H52"/>
    <mergeCell ref="C70:C75"/>
    <mergeCell ref="A270:A272"/>
    <mergeCell ref="A275:A278"/>
    <mergeCell ref="A300:A303"/>
    <mergeCell ref="A41:A42"/>
    <mergeCell ref="A21:H21"/>
    <mergeCell ref="A262:A264"/>
    <mergeCell ref="A294:A297"/>
    <mergeCell ref="D292:D293"/>
    <mergeCell ref="D279:D280"/>
    <mergeCell ref="C197:C198"/>
    <mergeCell ref="C279:C280"/>
    <mergeCell ref="A326:A328"/>
    <mergeCell ref="A321:A322"/>
    <mergeCell ref="A317:A320"/>
    <mergeCell ref="A323:A325"/>
    <mergeCell ref="A304:A305"/>
    <mergeCell ref="A298:A299"/>
    <mergeCell ref="C298:C299"/>
    <mergeCell ref="C294:C297"/>
    <mergeCell ref="C317:C319"/>
    <mergeCell ref="H309:H310"/>
    <mergeCell ref="D242:D243"/>
    <mergeCell ref="D298:D299"/>
    <mergeCell ref="D281:D287"/>
    <mergeCell ref="G309:G310"/>
    <mergeCell ref="F309:F310"/>
    <mergeCell ref="E309:E310"/>
    <mergeCell ref="D244:D248"/>
    <mergeCell ref="D262:D264"/>
    <mergeCell ref="D265:D269"/>
    <mergeCell ref="C144:C148"/>
    <mergeCell ref="A182:A183"/>
    <mergeCell ref="A189:A190"/>
    <mergeCell ref="C172:C173"/>
    <mergeCell ref="A184:A186"/>
    <mergeCell ref="A174:A181"/>
    <mergeCell ref="C167:C170"/>
    <mergeCell ref="C184:C186"/>
    <mergeCell ref="A172:A173"/>
    <mergeCell ref="A154:A166"/>
    <mergeCell ref="C151:C153"/>
    <mergeCell ref="D382:D384"/>
    <mergeCell ref="D288:D290"/>
    <mergeCell ref="D304:D305"/>
    <mergeCell ref="D172:D173"/>
    <mergeCell ref="A199:A214"/>
    <mergeCell ref="A191:A192"/>
    <mergeCell ref="C321:C322"/>
    <mergeCell ref="A308:A310"/>
    <mergeCell ref="A311:A316"/>
    <mergeCell ref="C137:C140"/>
    <mergeCell ref="A137:A141"/>
    <mergeCell ref="D137:D141"/>
    <mergeCell ref="D142:D143"/>
    <mergeCell ref="C142:C143"/>
    <mergeCell ref="A142:A143"/>
  </mergeCells>
  <printOptions horizontalCentered="1"/>
  <pageMargins left="1.1811023622047245" right="0.5905511811023623" top="1.1811023622047245" bottom="0.7874015748031497" header="0.1968503937007874" footer="0.1968503937007874"/>
  <pageSetup fitToHeight="8" horizontalDpi="600" verticalDpi="600" orientation="landscape" paperSize="9" scale="76" r:id="rId1"/>
  <rowBreaks count="18" manualBreakCount="18">
    <brk id="20" max="7" man="1"/>
    <brk id="31" max="7" man="1"/>
    <brk id="51" max="7" man="1"/>
    <brk id="75" max="7" man="1"/>
    <brk id="94" max="7" man="1"/>
    <brk id="107" max="7" man="1"/>
    <brk id="127" max="7" man="1"/>
    <brk id="146" max="7" man="1"/>
    <brk id="170" max="7" man="1"/>
    <brk id="194" max="7" man="1"/>
    <brk id="218" max="7" man="1"/>
    <brk id="264" max="7" man="1"/>
    <brk id="280" max="7" man="1"/>
    <brk id="303" max="7" man="1"/>
    <brk id="320" max="7" man="1"/>
    <brk id="341" max="7" man="1"/>
    <brk id="362" max="7" man="1"/>
    <brk id="3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view="pageBreakPreview" zoomScale="75" zoomScaleSheetLayoutView="75" zoomScalePageLayoutView="0" workbookViewId="0" topLeftCell="A1">
      <selection activeCell="A48" sqref="A48"/>
    </sheetView>
  </sheetViews>
  <sheetFormatPr defaultColWidth="9.140625" defaultRowHeight="12.75"/>
  <cols>
    <col min="1" max="1" width="41.421875" style="11" customWidth="1"/>
    <col min="2" max="2" width="27.28125" style="11" customWidth="1"/>
    <col min="3" max="3" width="20.140625" style="11" customWidth="1"/>
    <col min="4" max="4" width="27.28125" style="11" customWidth="1"/>
    <col min="5" max="5" width="34.421875" style="11" customWidth="1"/>
    <col min="6" max="6" width="9.57421875" style="1" bestFit="1" customWidth="1"/>
    <col min="7" max="16384" width="9.140625" style="1" customWidth="1"/>
  </cols>
  <sheetData>
    <row r="1" spans="4:5" ht="23.25">
      <c r="D1" s="272" t="s">
        <v>153</v>
      </c>
      <c r="E1" s="272"/>
    </row>
    <row r="2" spans="4:5" ht="23.25">
      <c r="D2" s="272" t="s">
        <v>154</v>
      </c>
      <c r="E2" s="272"/>
    </row>
    <row r="3" spans="4:5" ht="22.5">
      <c r="D3" s="309" t="s">
        <v>391</v>
      </c>
      <c r="E3" s="309"/>
    </row>
    <row r="4" spans="4:5" ht="23.25">
      <c r="D4" s="170"/>
      <c r="E4" s="170"/>
    </row>
    <row r="5" spans="2:6" ht="18.75" customHeight="1">
      <c r="B5" s="12"/>
      <c r="D5" s="276" t="s">
        <v>367</v>
      </c>
      <c r="E5" s="276"/>
      <c r="F5" s="4"/>
    </row>
    <row r="6" spans="2:6" ht="94.5" customHeight="1">
      <c r="B6" s="12"/>
      <c r="C6" s="12"/>
      <c r="D6" s="276" t="s">
        <v>365</v>
      </c>
      <c r="E6" s="276"/>
      <c r="F6" s="4"/>
    </row>
    <row r="8" spans="1:5" s="5" customFormat="1" ht="22.5">
      <c r="A8" s="274" t="s">
        <v>19</v>
      </c>
      <c r="B8" s="274"/>
      <c r="C8" s="274"/>
      <c r="D8" s="274"/>
      <c r="E8" s="274"/>
    </row>
    <row r="9" spans="1:5" s="5" customFormat="1" ht="24" customHeight="1">
      <c r="A9" s="275" t="s">
        <v>296</v>
      </c>
      <c r="B9" s="275"/>
      <c r="C9" s="275"/>
      <c r="D9" s="275"/>
      <c r="E9" s="275"/>
    </row>
    <row r="10" spans="1:5" s="5" customFormat="1" ht="9.75" customHeight="1">
      <c r="A10" s="13"/>
      <c r="B10" s="13"/>
      <c r="C10" s="13"/>
      <c r="D10" s="13"/>
      <c r="E10" s="13"/>
    </row>
    <row r="11" spans="1:5" ht="12.75">
      <c r="A11" s="14"/>
      <c r="B11" s="14"/>
      <c r="C11" s="14"/>
      <c r="D11" s="14"/>
      <c r="E11" s="14"/>
    </row>
    <row r="12" spans="1:5" ht="12.75">
      <c r="A12" s="273"/>
      <c r="B12" s="273" t="s">
        <v>7</v>
      </c>
      <c r="C12" s="273" t="s">
        <v>8</v>
      </c>
      <c r="D12" s="273"/>
      <c r="E12" s="273"/>
    </row>
    <row r="13" spans="1:5" ht="12.75">
      <c r="A13" s="273"/>
      <c r="B13" s="273"/>
      <c r="C13" s="15">
        <v>2016</v>
      </c>
      <c r="D13" s="15">
        <v>2017</v>
      </c>
      <c r="E13" s="15">
        <v>2018</v>
      </c>
    </row>
    <row r="14" spans="1:5" s="2" customFormat="1" ht="12.75">
      <c r="A14" s="15">
        <v>1</v>
      </c>
      <c r="B14" s="15">
        <v>2</v>
      </c>
      <c r="C14" s="15">
        <v>3</v>
      </c>
      <c r="D14" s="15">
        <v>4</v>
      </c>
      <c r="E14" s="15">
        <v>5</v>
      </c>
    </row>
    <row r="15" spans="1:6" ht="12.75">
      <c r="A15" s="16" t="s">
        <v>97</v>
      </c>
      <c r="B15" s="17">
        <f>C15+D15+E15</f>
        <v>1455366.6736445185</v>
      </c>
      <c r="C15" s="17">
        <f>'додаток 1'!F391</f>
        <v>659954.1450000004</v>
      </c>
      <c r="D15" s="17">
        <f>'додаток 1'!G391</f>
        <v>399173.75244099984</v>
      </c>
      <c r="E15" s="17">
        <f>'додаток 1'!H391</f>
        <v>396238.77620351815</v>
      </c>
      <c r="F15" s="3"/>
    </row>
    <row r="16" spans="1:6" ht="12.75">
      <c r="A16" s="16" t="s">
        <v>98</v>
      </c>
      <c r="B16" s="17"/>
      <c r="C16" s="17"/>
      <c r="D16" s="17"/>
      <c r="E16" s="17"/>
      <c r="F16" s="3"/>
    </row>
    <row r="17" spans="1:6" s="7" customFormat="1" ht="12.75">
      <c r="A17" s="18" t="s">
        <v>99</v>
      </c>
      <c r="B17" s="19">
        <f>C17+D17+E17</f>
        <v>917.6507854799999</v>
      </c>
      <c r="C17" s="19">
        <f>'додаток 1'!F180+'додаток 1'!F176+'додаток 1'!F316</f>
        <v>284.856</v>
      </c>
      <c r="D17" s="19">
        <f>C17*1.081</f>
        <v>307.929336</v>
      </c>
      <c r="E17" s="19">
        <f>D17*1.055</f>
        <v>324.86544947999994</v>
      </c>
      <c r="F17" s="6"/>
    </row>
    <row r="18" spans="1:5" ht="12.75">
      <c r="A18" s="16" t="s">
        <v>9</v>
      </c>
      <c r="B18" s="17">
        <f>C18+D18+E18</f>
        <v>0</v>
      </c>
      <c r="C18" s="17"/>
      <c r="D18" s="17"/>
      <c r="E18" s="17"/>
    </row>
    <row r="19" spans="1:5" ht="12.75">
      <c r="A19" s="16" t="s">
        <v>10</v>
      </c>
      <c r="B19" s="17">
        <f>C19+D19+E19</f>
        <v>0</v>
      </c>
      <c r="C19" s="15"/>
      <c r="D19" s="17"/>
      <c r="E19" s="17"/>
    </row>
    <row r="20" spans="1:5" ht="12.75" customHeight="1">
      <c r="A20" s="16" t="s">
        <v>55</v>
      </c>
      <c r="B20" s="17">
        <f>C20+D20+E20</f>
        <v>0</v>
      </c>
      <c r="C20" s="15"/>
      <c r="D20" s="20"/>
      <c r="E20" s="20"/>
    </row>
    <row r="21" spans="1:5" ht="19.5" customHeight="1">
      <c r="A21" s="16" t="s">
        <v>11</v>
      </c>
      <c r="B21" s="17">
        <f>B15+B18+B19+B20</f>
        <v>1455366.6736445185</v>
      </c>
      <c r="C21" s="17">
        <f>C15+C18+C19+C20</f>
        <v>659954.1450000004</v>
      </c>
      <c r="D21" s="17">
        <f>D15+D18+D19+D20</f>
        <v>399173.75244099984</v>
      </c>
      <c r="E21" s="17">
        <f>E15+E18+E19+E20</f>
        <v>396238.77620351815</v>
      </c>
    </row>
    <row r="24" spans="1:5" s="5" customFormat="1" ht="23.25">
      <c r="A24" s="170" t="s">
        <v>91</v>
      </c>
      <c r="B24" s="170"/>
      <c r="C24" s="170"/>
      <c r="D24" s="272" t="s">
        <v>375</v>
      </c>
      <c r="E24" s="272"/>
    </row>
  </sheetData>
  <sheetProtection/>
  <mergeCells count="11">
    <mergeCell ref="D6:E6"/>
    <mergeCell ref="D1:E1"/>
    <mergeCell ref="D2:E2"/>
    <mergeCell ref="D3:E3"/>
    <mergeCell ref="D5:E5"/>
    <mergeCell ref="D24:E24"/>
    <mergeCell ref="A12:A13"/>
    <mergeCell ref="C12:E12"/>
    <mergeCell ref="A8:E8"/>
    <mergeCell ref="A9:E9"/>
    <mergeCell ref="B12:B13"/>
  </mergeCells>
  <printOptions horizontalCentered="1"/>
  <pageMargins left="1.1811023622047245" right="0.5905511811023623" top="1.1811023622047245" bottom="0.7874015748031497" header="0.1968503937007874" footer="0.1968503937007874"/>
  <pageSetup fitToHeight="7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415"/>
  <sheetViews>
    <sheetView view="pageBreakPreview" zoomScaleSheetLayoutView="100" zoomScalePageLayoutView="0" workbookViewId="0" topLeftCell="A1">
      <selection activeCell="E3" sqref="E3:F3"/>
    </sheetView>
  </sheetViews>
  <sheetFormatPr defaultColWidth="9.140625" defaultRowHeight="12.75"/>
  <cols>
    <col min="1" max="1" width="36.7109375" style="22" customWidth="1"/>
    <col min="2" max="2" width="49.421875" style="92" customWidth="1"/>
    <col min="3" max="3" width="14.421875" style="41" bestFit="1" customWidth="1"/>
    <col min="4" max="4" width="16.421875" style="92" customWidth="1"/>
    <col min="5" max="5" width="16.7109375" style="92" customWidth="1"/>
    <col min="6" max="6" width="17.140625" style="92" customWidth="1"/>
    <col min="7" max="7" width="19.00390625" style="92" customWidth="1"/>
    <col min="8" max="8" width="0.13671875" style="92" customWidth="1"/>
    <col min="9" max="9" width="11.140625" style="92" customWidth="1"/>
    <col min="10" max="16384" width="9.140625" style="92" customWidth="1"/>
  </cols>
  <sheetData>
    <row r="1" spans="5:7" ht="23.25">
      <c r="E1" s="240" t="s">
        <v>153</v>
      </c>
      <c r="F1" s="240"/>
      <c r="G1" s="173"/>
    </row>
    <row r="2" spans="5:7" ht="23.25">
      <c r="E2" s="240" t="s">
        <v>154</v>
      </c>
      <c r="F2" s="240"/>
      <c r="G2" s="173"/>
    </row>
    <row r="3" spans="5:7" ht="23.25">
      <c r="E3" s="307" t="s">
        <v>391</v>
      </c>
      <c r="F3" s="307"/>
      <c r="G3" s="173"/>
    </row>
    <row r="4" spans="5:7" ht="23.25">
      <c r="E4" s="173"/>
      <c r="F4" s="173"/>
      <c r="G4" s="173"/>
    </row>
    <row r="5" spans="1:7" ht="23.25">
      <c r="A5" s="92"/>
      <c r="B5" s="8"/>
      <c r="C5" s="23"/>
      <c r="E5" s="268" t="s">
        <v>52</v>
      </c>
      <c r="F5" s="268"/>
      <c r="G5" s="173"/>
    </row>
    <row r="6" spans="1:7" ht="88.5" customHeight="1">
      <c r="A6" s="92"/>
      <c r="B6" s="8"/>
      <c r="C6" s="8"/>
      <c r="D6" s="8"/>
      <c r="E6" s="268" t="s">
        <v>365</v>
      </c>
      <c r="F6" s="268"/>
      <c r="G6" s="268"/>
    </row>
    <row r="7" ht="16.5" customHeight="1">
      <c r="A7" s="92"/>
    </row>
    <row r="8" spans="1:7" s="8" customFormat="1" ht="22.5">
      <c r="A8" s="289" t="s">
        <v>18</v>
      </c>
      <c r="B8" s="289"/>
      <c r="C8" s="289"/>
      <c r="D8" s="289"/>
      <c r="E8" s="289"/>
      <c r="F8" s="289"/>
      <c r="G8" s="289"/>
    </row>
    <row r="9" spans="1:7" s="8" customFormat="1" ht="24" customHeight="1">
      <c r="A9" s="288" t="s">
        <v>297</v>
      </c>
      <c r="B9" s="288"/>
      <c r="C9" s="288"/>
      <c r="D9" s="288"/>
      <c r="E9" s="288"/>
      <c r="F9" s="288"/>
      <c r="G9" s="288"/>
    </row>
    <row r="10" spans="1:7" s="8" customFormat="1" ht="10.5" customHeight="1">
      <c r="A10" s="23"/>
      <c r="B10" s="23"/>
      <c r="C10" s="23"/>
      <c r="D10" s="23"/>
      <c r="E10" s="23"/>
      <c r="F10" s="23"/>
      <c r="G10" s="23"/>
    </row>
    <row r="12" spans="1:8" ht="12.75">
      <c r="A12" s="236" t="s">
        <v>0</v>
      </c>
      <c r="B12" s="236" t="s">
        <v>12</v>
      </c>
      <c r="C12" s="236" t="s">
        <v>13</v>
      </c>
      <c r="D12" s="236" t="s">
        <v>16</v>
      </c>
      <c r="E12" s="236"/>
      <c r="F12" s="236"/>
      <c r="G12" s="236"/>
      <c r="H12" s="44"/>
    </row>
    <row r="13" spans="1:8" ht="12.75">
      <c r="A13" s="236"/>
      <c r="B13" s="236"/>
      <c r="C13" s="236"/>
      <c r="D13" s="236" t="s">
        <v>14</v>
      </c>
      <c r="E13" s="236" t="s">
        <v>15</v>
      </c>
      <c r="F13" s="236"/>
      <c r="G13" s="236"/>
      <c r="H13" s="44"/>
    </row>
    <row r="14" spans="1:8" ht="24" customHeight="1">
      <c r="A14" s="236"/>
      <c r="B14" s="236"/>
      <c r="C14" s="236"/>
      <c r="D14" s="236"/>
      <c r="E14" s="149">
        <v>2016</v>
      </c>
      <c r="F14" s="149">
        <v>2017</v>
      </c>
      <c r="G14" s="149">
        <v>2018</v>
      </c>
      <c r="H14" s="44"/>
    </row>
    <row r="15" spans="1:8" s="41" customFormat="1" ht="12.75">
      <c r="A15" s="149">
        <v>1</v>
      </c>
      <c r="B15" s="149">
        <v>2</v>
      </c>
      <c r="C15" s="149">
        <v>3</v>
      </c>
      <c r="D15" s="149">
        <v>4</v>
      </c>
      <c r="E15" s="149">
        <v>5</v>
      </c>
      <c r="F15" s="149">
        <v>6</v>
      </c>
      <c r="G15" s="149">
        <v>7</v>
      </c>
      <c r="H15" s="149"/>
    </row>
    <row r="16" spans="1:8" s="41" customFormat="1" ht="12.75">
      <c r="A16" s="242" t="s">
        <v>304</v>
      </c>
      <c r="B16" s="243"/>
      <c r="C16" s="243"/>
      <c r="D16" s="243"/>
      <c r="E16" s="243"/>
      <c r="F16" s="243"/>
      <c r="G16" s="244"/>
      <c r="H16" s="149"/>
    </row>
    <row r="17" spans="1:8" s="41" customFormat="1" ht="12.75">
      <c r="A17" s="201" t="s">
        <v>287</v>
      </c>
      <c r="B17" s="201"/>
      <c r="C17" s="201"/>
      <c r="D17" s="201"/>
      <c r="E17" s="201"/>
      <c r="F17" s="201"/>
      <c r="G17" s="201"/>
      <c r="H17" s="149"/>
    </row>
    <row r="18" spans="1:8" s="41" customFormat="1" ht="12.75">
      <c r="A18" s="208" t="s">
        <v>305</v>
      </c>
      <c r="B18" s="149"/>
      <c r="C18" s="149"/>
      <c r="D18" s="149"/>
      <c r="E18" s="149"/>
      <c r="F18" s="149"/>
      <c r="G18" s="149"/>
      <c r="H18" s="149"/>
    </row>
    <row r="19" spans="1:8" s="41" customFormat="1" ht="12.75">
      <c r="A19" s="208"/>
      <c r="B19" s="70" t="s">
        <v>300</v>
      </c>
      <c r="C19" s="149" t="s">
        <v>43</v>
      </c>
      <c r="D19" s="149">
        <f>E19+F19+G19</f>
        <v>30</v>
      </c>
      <c r="E19" s="149">
        <f>6+21+3</f>
        <v>30</v>
      </c>
      <c r="F19" s="149"/>
      <c r="G19" s="149"/>
      <c r="H19" s="149"/>
    </row>
    <row r="20" spans="1:8" s="41" customFormat="1" ht="12.75">
      <c r="A20" s="208"/>
      <c r="B20" s="44" t="s">
        <v>301</v>
      </c>
      <c r="C20" s="149" t="s">
        <v>43</v>
      </c>
      <c r="D20" s="149">
        <f>E20+F20+G20</f>
        <v>1</v>
      </c>
      <c r="E20" s="149">
        <v>1</v>
      </c>
      <c r="F20" s="149"/>
      <c r="G20" s="149"/>
      <c r="H20" s="149"/>
    </row>
    <row r="21" spans="1:8" s="41" customFormat="1" ht="12.75">
      <c r="A21" s="208"/>
      <c r="B21" s="44" t="s">
        <v>302</v>
      </c>
      <c r="C21" s="149" t="s">
        <v>43</v>
      </c>
      <c r="D21" s="149">
        <f>E21+F21+G21</f>
        <v>8</v>
      </c>
      <c r="E21" s="149">
        <v>8</v>
      </c>
      <c r="F21" s="149"/>
      <c r="G21" s="149"/>
      <c r="H21" s="149"/>
    </row>
    <row r="22" spans="1:8" s="41" customFormat="1" ht="12.75">
      <c r="A22" s="208" t="s">
        <v>306</v>
      </c>
      <c r="B22" s="44"/>
      <c r="C22" s="149"/>
      <c r="D22" s="149"/>
      <c r="E22" s="149"/>
      <c r="F22" s="149"/>
      <c r="G22" s="149"/>
      <c r="H22" s="149"/>
    </row>
    <row r="23" spans="1:8" s="41" customFormat="1" ht="25.5">
      <c r="A23" s="208"/>
      <c r="B23" s="44" t="s">
        <v>303</v>
      </c>
      <c r="C23" s="149" t="s">
        <v>21</v>
      </c>
      <c r="D23" s="149">
        <f>E23+F23+G23</f>
        <v>417.66</v>
      </c>
      <c r="E23" s="149">
        <v>417.66</v>
      </c>
      <c r="F23" s="149"/>
      <c r="G23" s="149"/>
      <c r="H23" s="149"/>
    </row>
    <row r="24" spans="1:8" s="41" customFormat="1" ht="12.75" customHeight="1">
      <c r="A24" s="215" t="s">
        <v>88</v>
      </c>
      <c r="B24" s="216"/>
      <c r="C24" s="216"/>
      <c r="D24" s="216"/>
      <c r="E24" s="216"/>
      <c r="F24" s="216"/>
      <c r="G24" s="217"/>
      <c r="H24" s="154"/>
    </row>
    <row r="25" spans="1:8" s="41" customFormat="1" ht="12.75">
      <c r="A25" s="201" t="s">
        <v>287</v>
      </c>
      <c r="B25" s="201"/>
      <c r="C25" s="201"/>
      <c r="D25" s="201"/>
      <c r="E25" s="201"/>
      <c r="F25" s="201"/>
      <c r="G25" s="201"/>
      <c r="H25" s="149"/>
    </row>
    <row r="26" spans="1:8" s="41" customFormat="1" ht="12.75" customHeight="1">
      <c r="A26" s="204" t="s">
        <v>89</v>
      </c>
      <c r="B26" s="148"/>
      <c r="C26" s="148"/>
      <c r="D26" s="148"/>
      <c r="E26" s="148"/>
      <c r="F26" s="148"/>
      <c r="G26" s="148"/>
      <c r="H26" s="149"/>
    </row>
    <row r="27" spans="1:10" s="41" customFormat="1" ht="25.5">
      <c r="A27" s="209"/>
      <c r="B27" s="133" t="s">
        <v>103</v>
      </c>
      <c r="C27" s="148" t="s">
        <v>187</v>
      </c>
      <c r="D27" s="93">
        <f>E27+F27+G27</f>
        <v>285</v>
      </c>
      <c r="E27" s="148">
        <v>285</v>
      </c>
      <c r="F27" s="148"/>
      <c r="G27" s="148"/>
      <c r="H27" s="149"/>
      <c r="I27" s="41">
        <v>45</v>
      </c>
      <c r="J27" s="41">
        <f>E27-I27</f>
        <v>240</v>
      </c>
    </row>
    <row r="28" spans="1:8" s="41" customFormat="1" ht="25.5">
      <c r="A28" s="205"/>
      <c r="B28" s="133" t="s">
        <v>195</v>
      </c>
      <c r="C28" s="148" t="s">
        <v>93</v>
      </c>
      <c r="D28" s="93">
        <v>5</v>
      </c>
      <c r="E28" s="148">
        <v>5</v>
      </c>
      <c r="F28" s="148"/>
      <c r="G28" s="148"/>
      <c r="H28" s="149"/>
    </row>
    <row r="29" spans="1:8" s="41" customFormat="1" ht="12.75">
      <c r="A29" s="222" t="s">
        <v>88</v>
      </c>
      <c r="B29" s="290"/>
      <c r="C29" s="290"/>
      <c r="D29" s="290"/>
      <c r="E29" s="290"/>
      <c r="F29" s="290"/>
      <c r="G29" s="290"/>
      <c r="H29" s="290"/>
    </row>
    <row r="30" spans="1:8" s="41" customFormat="1" ht="12.75">
      <c r="A30" s="201" t="s">
        <v>242</v>
      </c>
      <c r="B30" s="201"/>
      <c r="C30" s="201"/>
      <c r="D30" s="201"/>
      <c r="E30" s="201"/>
      <c r="F30" s="201"/>
      <c r="G30" s="201"/>
      <c r="H30" s="149"/>
    </row>
    <row r="31" spans="1:8" s="41" customFormat="1" ht="12.75" customHeight="1">
      <c r="A31" s="204" t="s">
        <v>89</v>
      </c>
      <c r="B31" s="148"/>
      <c r="C31" s="148"/>
      <c r="D31" s="148"/>
      <c r="E31" s="148"/>
      <c r="F31" s="148"/>
      <c r="G31" s="148"/>
      <c r="H31" s="149"/>
    </row>
    <row r="32" spans="1:8" s="41" customFormat="1" ht="25.5">
      <c r="A32" s="209"/>
      <c r="B32" s="133" t="s">
        <v>103</v>
      </c>
      <c r="C32" s="148" t="s">
        <v>187</v>
      </c>
      <c r="D32" s="93">
        <f>E32+F32+G32</f>
        <v>5</v>
      </c>
      <c r="E32" s="148">
        <f>28-23</f>
        <v>5</v>
      </c>
      <c r="F32" s="148"/>
      <c r="G32" s="148"/>
      <c r="H32" s="149"/>
    </row>
    <row r="33" spans="1:8" s="41" customFormat="1" ht="12.75">
      <c r="A33" s="222" t="s">
        <v>88</v>
      </c>
      <c r="B33" s="290"/>
      <c r="C33" s="290"/>
      <c r="D33" s="290"/>
      <c r="E33" s="290"/>
      <c r="F33" s="290"/>
      <c r="G33" s="290"/>
      <c r="H33" s="290"/>
    </row>
    <row r="34" spans="1:8" s="41" customFormat="1" ht="12.75">
      <c r="A34" s="201" t="s">
        <v>245</v>
      </c>
      <c r="B34" s="201"/>
      <c r="C34" s="201"/>
      <c r="D34" s="201"/>
      <c r="E34" s="201"/>
      <c r="F34" s="201"/>
      <c r="G34" s="201"/>
      <c r="H34" s="149"/>
    </row>
    <row r="35" spans="1:8" s="41" customFormat="1" ht="12.75" customHeight="1">
      <c r="A35" s="204" t="s">
        <v>89</v>
      </c>
      <c r="B35" s="148"/>
      <c r="C35" s="148"/>
      <c r="D35" s="148"/>
      <c r="E35" s="148"/>
      <c r="F35" s="148"/>
      <c r="G35" s="148"/>
      <c r="H35" s="149"/>
    </row>
    <row r="36" spans="1:8" s="41" customFormat="1" ht="25.5">
      <c r="A36" s="209"/>
      <c r="B36" s="133" t="s">
        <v>103</v>
      </c>
      <c r="C36" s="148" t="s">
        <v>187</v>
      </c>
      <c r="D36" s="93">
        <f>E36+F36+G36</f>
        <v>2</v>
      </c>
      <c r="E36" s="148">
        <v>2</v>
      </c>
      <c r="F36" s="148"/>
      <c r="G36" s="148"/>
      <c r="H36" s="149"/>
    </row>
    <row r="37" spans="1:8" s="41" customFormat="1" ht="12.75">
      <c r="A37" s="222" t="s">
        <v>88</v>
      </c>
      <c r="B37" s="290"/>
      <c r="C37" s="290"/>
      <c r="D37" s="290"/>
      <c r="E37" s="290"/>
      <c r="F37" s="290"/>
      <c r="G37" s="290"/>
      <c r="H37" s="290"/>
    </row>
    <row r="38" spans="1:8" s="41" customFormat="1" ht="12.75">
      <c r="A38" s="201" t="s">
        <v>246</v>
      </c>
      <c r="B38" s="201"/>
      <c r="C38" s="201"/>
      <c r="D38" s="201"/>
      <c r="E38" s="201"/>
      <c r="F38" s="201"/>
      <c r="G38" s="201"/>
      <c r="H38" s="149"/>
    </row>
    <row r="39" spans="1:8" s="41" customFormat="1" ht="12.75" customHeight="1">
      <c r="A39" s="204" t="s">
        <v>89</v>
      </c>
      <c r="B39" s="148"/>
      <c r="C39" s="148"/>
      <c r="D39" s="148"/>
      <c r="E39" s="148"/>
      <c r="F39" s="148"/>
      <c r="G39" s="148"/>
      <c r="H39" s="149"/>
    </row>
    <row r="40" spans="1:8" s="41" customFormat="1" ht="25.5">
      <c r="A40" s="209"/>
      <c r="B40" s="133" t="s">
        <v>103</v>
      </c>
      <c r="C40" s="148" t="s">
        <v>187</v>
      </c>
      <c r="D40" s="93">
        <f>E40+F40+G40</f>
        <v>4</v>
      </c>
      <c r="E40" s="148">
        <f>3+1</f>
        <v>4</v>
      </c>
      <c r="F40" s="148"/>
      <c r="G40" s="148"/>
      <c r="H40" s="149"/>
    </row>
    <row r="41" spans="1:8" s="41" customFormat="1" ht="12.75">
      <c r="A41" s="222" t="s">
        <v>88</v>
      </c>
      <c r="B41" s="290"/>
      <c r="C41" s="290"/>
      <c r="D41" s="290"/>
      <c r="E41" s="290"/>
      <c r="F41" s="290"/>
      <c r="G41" s="290"/>
      <c r="H41" s="290"/>
    </row>
    <row r="42" spans="1:8" s="41" customFormat="1" ht="12.75">
      <c r="A42" s="201" t="s">
        <v>281</v>
      </c>
      <c r="B42" s="201"/>
      <c r="C42" s="201"/>
      <c r="D42" s="201"/>
      <c r="E42" s="201"/>
      <c r="F42" s="201"/>
      <c r="G42" s="201"/>
      <c r="H42" s="149"/>
    </row>
    <row r="43" spans="1:8" s="41" customFormat="1" ht="12.75" customHeight="1">
      <c r="A43" s="204" t="s">
        <v>89</v>
      </c>
      <c r="B43" s="148"/>
      <c r="C43" s="148"/>
      <c r="D43" s="148"/>
      <c r="E43" s="148"/>
      <c r="F43" s="148"/>
      <c r="G43" s="148"/>
      <c r="H43" s="149"/>
    </row>
    <row r="44" spans="1:8" s="41" customFormat="1" ht="25.5">
      <c r="A44" s="209"/>
      <c r="B44" s="133" t="s">
        <v>103</v>
      </c>
      <c r="C44" s="148" t="s">
        <v>187</v>
      </c>
      <c r="D44" s="93">
        <f>E44+F44+G44</f>
        <v>2</v>
      </c>
      <c r="E44" s="148">
        <f>29-27</f>
        <v>2</v>
      </c>
      <c r="F44" s="148"/>
      <c r="G44" s="148"/>
      <c r="H44" s="149"/>
    </row>
    <row r="45" spans="1:8" s="41" customFormat="1" ht="12.75">
      <c r="A45" s="222" t="s">
        <v>88</v>
      </c>
      <c r="B45" s="290"/>
      <c r="C45" s="290"/>
      <c r="D45" s="290"/>
      <c r="E45" s="290"/>
      <c r="F45" s="290"/>
      <c r="G45" s="290"/>
      <c r="H45" s="290"/>
    </row>
    <row r="46" spans="1:8" s="41" customFormat="1" ht="12.75">
      <c r="A46" s="201" t="s">
        <v>276</v>
      </c>
      <c r="B46" s="201"/>
      <c r="C46" s="201"/>
      <c r="D46" s="201"/>
      <c r="E46" s="201"/>
      <c r="F46" s="201"/>
      <c r="G46" s="201"/>
      <c r="H46" s="149"/>
    </row>
    <row r="47" spans="1:8" s="41" customFormat="1" ht="12.75" customHeight="1">
      <c r="A47" s="204" t="s">
        <v>89</v>
      </c>
      <c r="B47" s="148"/>
      <c r="C47" s="148"/>
      <c r="D47" s="148"/>
      <c r="E47" s="148"/>
      <c r="F47" s="148"/>
      <c r="G47" s="148"/>
      <c r="H47" s="149"/>
    </row>
    <row r="48" spans="1:8" s="41" customFormat="1" ht="25.5">
      <c r="A48" s="209"/>
      <c r="B48" s="134" t="s">
        <v>103</v>
      </c>
      <c r="C48" s="140" t="s">
        <v>187</v>
      </c>
      <c r="D48" s="160">
        <f>E48+F48+G48</f>
        <v>5</v>
      </c>
      <c r="E48" s="140">
        <f>3+1+1</f>
        <v>5</v>
      </c>
      <c r="F48" s="140"/>
      <c r="G48" s="140"/>
      <c r="H48" s="149"/>
    </row>
    <row r="49" spans="1:8" s="41" customFormat="1" ht="12.75">
      <c r="A49" s="222" t="s">
        <v>88</v>
      </c>
      <c r="B49" s="298"/>
      <c r="C49" s="298"/>
      <c r="D49" s="298"/>
      <c r="E49" s="298"/>
      <c r="F49" s="298"/>
      <c r="G49" s="298"/>
      <c r="H49" s="149"/>
    </row>
    <row r="50" spans="1:8" s="41" customFormat="1" ht="12.75">
      <c r="A50" s="201" t="s">
        <v>318</v>
      </c>
      <c r="B50" s="298"/>
      <c r="C50" s="298"/>
      <c r="D50" s="298"/>
      <c r="E50" s="298"/>
      <c r="F50" s="298"/>
      <c r="G50" s="298"/>
      <c r="H50" s="149"/>
    </row>
    <row r="51" spans="1:8" s="41" customFormat="1" ht="18" customHeight="1">
      <c r="A51" s="224" t="s">
        <v>89</v>
      </c>
      <c r="B51" s="140"/>
      <c r="C51" s="148"/>
      <c r="D51" s="93"/>
      <c r="E51" s="148"/>
      <c r="F51" s="148"/>
      <c r="G51" s="148"/>
      <c r="H51" s="149"/>
    </row>
    <row r="52" spans="1:8" s="41" customFormat="1" ht="48.75" customHeight="1">
      <c r="A52" s="225"/>
      <c r="B52" s="134" t="s">
        <v>103</v>
      </c>
      <c r="C52" s="171" t="s">
        <v>338</v>
      </c>
      <c r="D52" s="160">
        <v>2</v>
      </c>
      <c r="E52" s="140">
        <v>2</v>
      </c>
      <c r="F52" s="171"/>
      <c r="G52" s="171"/>
      <c r="H52" s="149"/>
    </row>
    <row r="53" spans="1:8" s="41" customFormat="1" ht="13.5" customHeight="1">
      <c r="A53" s="222" t="s">
        <v>88</v>
      </c>
      <c r="B53" s="298"/>
      <c r="C53" s="298"/>
      <c r="D53" s="298"/>
      <c r="E53" s="298"/>
      <c r="F53" s="298"/>
      <c r="G53" s="298"/>
      <c r="H53" s="149"/>
    </row>
    <row r="54" spans="1:8" s="41" customFormat="1" ht="12.75">
      <c r="A54" s="201" t="s">
        <v>279</v>
      </c>
      <c r="B54" s="201"/>
      <c r="C54" s="201"/>
      <c r="D54" s="201"/>
      <c r="E54" s="201"/>
      <c r="F54" s="201"/>
      <c r="G54" s="201"/>
      <c r="H54" s="149"/>
    </row>
    <row r="55" spans="1:8" s="41" customFormat="1" ht="12.75" customHeight="1">
      <c r="A55" s="204" t="s">
        <v>89</v>
      </c>
      <c r="B55" s="148"/>
      <c r="C55" s="148"/>
      <c r="D55" s="148"/>
      <c r="E55" s="148"/>
      <c r="F55" s="148"/>
      <c r="G55" s="148"/>
      <c r="H55" s="149"/>
    </row>
    <row r="56" spans="1:8" s="41" customFormat="1" ht="25.5">
      <c r="A56" s="209"/>
      <c r="B56" s="133" t="s">
        <v>103</v>
      </c>
      <c r="C56" s="148" t="s">
        <v>187</v>
      </c>
      <c r="D56" s="93">
        <f>E56+F56+G56</f>
        <v>1</v>
      </c>
      <c r="E56" s="148">
        <f>28+1-28</f>
        <v>1</v>
      </c>
      <c r="F56" s="148"/>
      <c r="G56" s="148"/>
      <c r="H56" s="149"/>
    </row>
    <row r="57" spans="1:8" s="41" customFormat="1" ht="12.75" hidden="1">
      <c r="A57" s="222" t="s">
        <v>88</v>
      </c>
      <c r="B57" s="290"/>
      <c r="C57" s="290"/>
      <c r="D57" s="290"/>
      <c r="E57" s="290"/>
      <c r="F57" s="290"/>
      <c r="G57" s="290"/>
      <c r="H57" s="290"/>
    </row>
    <row r="58" spans="1:8" s="41" customFormat="1" ht="12.75" hidden="1">
      <c r="A58" s="201" t="s">
        <v>86</v>
      </c>
      <c r="B58" s="201"/>
      <c r="C58" s="201"/>
      <c r="D58" s="201"/>
      <c r="E58" s="201"/>
      <c r="F58" s="201"/>
      <c r="G58" s="201"/>
      <c r="H58" s="149"/>
    </row>
    <row r="59" spans="1:8" s="41" customFormat="1" ht="12.75" customHeight="1" hidden="1">
      <c r="A59" s="204" t="s">
        <v>89</v>
      </c>
      <c r="B59" s="148"/>
      <c r="C59" s="148"/>
      <c r="D59" s="148"/>
      <c r="E59" s="148"/>
      <c r="F59" s="148"/>
      <c r="G59" s="148"/>
      <c r="H59" s="149"/>
    </row>
    <row r="60" spans="1:8" s="41" customFormat="1" ht="25.5" hidden="1">
      <c r="A60" s="209"/>
      <c r="B60" s="134" t="s">
        <v>103</v>
      </c>
      <c r="C60" s="140" t="s">
        <v>187</v>
      </c>
      <c r="D60" s="160">
        <f>E60+F60+G60</f>
        <v>0</v>
      </c>
      <c r="E60" s="140">
        <f>24-24</f>
        <v>0</v>
      </c>
      <c r="F60" s="140">
        <v>0</v>
      </c>
      <c r="G60" s="140"/>
      <c r="H60" s="149"/>
    </row>
    <row r="61" spans="1:8" s="41" customFormat="1" ht="25.5">
      <c r="A61" s="132"/>
      <c r="B61" s="133" t="s">
        <v>195</v>
      </c>
      <c r="C61" s="148" t="s">
        <v>93</v>
      </c>
      <c r="D61" s="93">
        <v>1</v>
      </c>
      <c r="E61" s="148">
        <v>1</v>
      </c>
      <c r="F61" s="148"/>
      <c r="G61" s="148"/>
      <c r="H61" s="149"/>
    </row>
    <row r="62" spans="1:8" s="41" customFormat="1" ht="12.75" customHeight="1">
      <c r="A62" s="242" t="s">
        <v>94</v>
      </c>
      <c r="B62" s="243"/>
      <c r="C62" s="243"/>
      <c r="D62" s="243"/>
      <c r="E62" s="243"/>
      <c r="F62" s="243"/>
      <c r="G62" s="244"/>
      <c r="H62" s="149"/>
    </row>
    <row r="63" spans="1:8" s="41" customFormat="1" ht="12.75" customHeight="1">
      <c r="A63" s="292" t="s">
        <v>287</v>
      </c>
      <c r="B63" s="293"/>
      <c r="C63" s="293"/>
      <c r="D63" s="293"/>
      <c r="E63" s="293"/>
      <c r="F63" s="293"/>
      <c r="G63" s="294"/>
      <c r="H63" s="149"/>
    </row>
    <row r="64" spans="1:8" s="41" customFormat="1" ht="12.75" customHeight="1">
      <c r="A64" s="204" t="s">
        <v>60</v>
      </c>
      <c r="B64" s="148"/>
      <c r="C64" s="149"/>
      <c r="D64" s="149"/>
      <c r="E64" s="149"/>
      <c r="F64" s="149"/>
      <c r="G64" s="149"/>
      <c r="H64" s="149"/>
    </row>
    <row r="65" spans="1:8" s="41" customFormat="1" ht="15" customHeight="1">
      <c r="A65" s="209"/>
      <c r="B65" s="133" t="s">
        <v>382</v>
      </c>
      <c r="C65" s="148" t="s">
        <v>92</v>
      </c>
      <c r="D65" s="37">
        <v>5323.3</v>
      </c>
      <c r="E65" s="94">
        <f>5323.3</f>
        <v>5323.3</v>
      </c>
      <c r="F65" s="94">
        <v>5323.3</v>
      </c>
      <c r="G65" s="94">
        <v>5323.3</v>
      </c>
      <c r="H65" s="94">
        <v>5323.3</v>
      </c>
    </row>
    <row r="66" spans="1:8" s="41" customFormat="1" ht="12.75">
      <c r="A66" s="209"/>
      <c r="B66" s="133" t="s">
        <v>161</v>
      </c>
      <c r="C66" s="148" t="s">
        <v>43</v>
      </c>
      <c r="D66" s="93">
        <v>37</v>
      </c>
      <c r="E66" s="93">
        <v>37</v>
      </c>
      <c r="F66" s="93">
        <v>37</v>
      </c>
      <c r="G66" s="93">
        <v>37</v>
      </c>
      <c r="H66" s="94"/>
    </row>
    <row r="67" spans="1:11" s="41" customFormat="1" ht="25.5">
      <c r="A67" s="209"/>
      <c r="B67" s="36" t="s">
        <v>116</v>
      </c>
      <c r="C67" s="149" t="s">
        <v>43</v>
      </c>
      <c r="D67" s="93">
        <f>E67</f>
        <v>7008</v>
      </c>
      <c r="E67" s="93">
        <v>7008</v>
      </c>
      <c r="F67" s="93">
        <v>7008</v>
      </c>
      <c r="G67" s="93">
        <v>7008</v>
      </c>
      <c r="H67" s="149"/>
      <c r="I67" s="41">
        <v>6828</v>
      </c>
      <c r="J67" s="41">
        <v>180</v>
      </c>
      <c r="K67" s="41">
        <f>I67+J67</f>
        <v>7008</v>
      </c>
    </row>
    <row r="68" spans="1:8" s="41" customFormat="1" ht="12.75">
      <c r="A68" s="209"/>
      <c r="B68" s="36" t="s">
        <v>56</v>
      </c>
      <c r="C68" s="148" t="s">
        <v>43</v>
      </c>
      <c r="D68" s="148">
        <v>21413</v>
      </c>
      <c r="E68" s="148">
        <v>21413</v>
      </c>
      <c r="F68" s="148">
        <v>21413</v>
      </c>
      <c r="G68" s="148">
        <v>21413</v>
      </c>
      <c r="H68" s="149"/>
    </row>
    <row r="69" spans="1:8" s="41" customFormat="1" ht="12.75">
      <c r="A69" s="209"/>
      <c r="B69" s="36" t="s">
        <v>57</v>
      </c>
      <c r="C69" s="148" t="s">
        <v>45</v>
      </c>
      <c r="D69" s="95">
        <v>41.16</v>
      </c>
      <c r="E69" s="95">
        <v>41.16</v>
      </c>
      <c r="F69" s="95">
        <v>41.16</v>
      </c>
      <c r="G69" s="95">
        <v>41.16</v>
      </c>
      <c r="H69" s="149"/>
    </row>
    <row r="70" spans="1:8" s="41" customFormat="1" ht="12.75">
      <c r="A70" s="209"/>
      <c r="B70" s="36" t="s">
        <v>58</v>
      </c>
      <c r="C70" s="148" t="s">
        <v>45</v>
      </c>
      <c r="D70" s="148">
        <v>8.9</v>
      </c>
      <c r="E70" s="148">
        <v>8.9</v>
      </c>
      <c r="F70" s="148">
        <v>8.9</v>
      </c>
      <c r="G70" s="148">
        <v>8.9</v>
      </c>
      <c r="H70" s="149"/>
    </row>
    <row r="71" spans="1:8" s="41" customFormat="1" ht="12.75">
      <c r="A71" s="209"/>
      <c r="B71" s="36" t="s">
        <v>189</v>
      </c>
      <c r="C71" s="148" t="s">
        <v>45</v>
      </c>
      <c r="D71" s="148">
        <v>54.2</v>
      </c>
      <c r="E71" s="148">
        <v>54.2</v>
      </c>
      <c r="F71" s="148">
        <v>54.2</v>
      </c>
      <c r="G71" s="148">
        <v>54.2</v>
      </c>
      <c r="H71" s="149"/>
    </row>
    <row r="72" spans="1:8" s="41" customFormat="1" ht="12.75">
      <c r="A72" s="209"/>
      <c r="B72" s="36" t="s">
        <v>25</v>
      </c>
      <c r="C72" s="148" t="s">
        <v>43</v>
      </c>
      <c r="D72" s="148">
        <v>34</v>
      </c>
      <c r="E72" s="148">
        <v>34</v>
      </c>
      <c r="F72" s="148">
        <v>34</v>
      </c>
      <c r="G72" s="148">
        <v>34</v>
      </c>
      <c r="H72" s="149"/>
    </row>
    <row r="73" spans="1:8" s="41" customFormat="1" ht="25.5">
      <c r="A73" s="209"/>
      <c r="B73" s="36" t="s">
        <v>59</v>
      </c>
      <c r="C73" s="148" t="s">
        <v>43</v>
      </c>
      <c r="D73" s="148">
        <v>14</v>
      </c>
      <c r="E73" s="148">
        <v>14</v>
      </c>
      <c r="F73" s="148">
        <v>14</v>
      </c>
      <c r="G73" s="148">
        <v>14</v>
      </c>
      <c r="H73" s="149"/>
    </row>
    <row r="74" spans="1:8" s="41" customFormat="1" ht="12.75">
      <c r="A74" s="209"/>
      <c r="B74" s="36" t="s">
        <v>188</v>
      </c>
      <c r="C74" s="148" t="s">
        <v>43</v>
      </c>
      <c r="D74" s="148">
        <v>96</v>
      </c>
      <c r="E74" s="148">
        <v>96</v>
      </c>
      <c r="F74" s="148">
        <v>96</v>
      </c>
      <c r="G74" s="148">
        <v>96</v>
      </c>
      <c r="H74" s="149"/>
    </row>
    <row r="75" spans="1:8" s="41" customFormat="1" ht="12.75">
      <c r="A75" s="209"/>
      <c r="B75" s="36" t="s">
        <v>74</v>
      </c>
      <c r="C75" s="148" t="s">
        <v>45</v>
      </c>
      <c r="D75" s="148">
        <v>280</v>
      </c>
      <c r="E75" s="148">
        <v>280</v>
      </c>
      <c r="F75" s="148">
        <v>280</v>
      </c>
      <c r="G75" s="148">
        <v>280</v>
      </c>
      <c r="H75" s="149"/>
    </row>
    <row r="76" spans="1:8" s="41" customFormat="1" ht="38.25">
      <c r="A76" s="209"/>
      <c r="B76" s="36" t="s">
        <v>249</v>
      </c>
      <c r="C76" s="148" t="s">
        <v>92</v>
      </c>
      <c r="D76" s="148">
        <v>4.34</v>
      </c>
      <c r="E76" s="148">
        <v>4.34</v>
      </c>
      <c r="F76" s="148"/>
      <c r="G76" s="148"/>
      <c r="H76" s="149"/>
    </row>
    <row r="77" spans="1:8" s="41" customFormat="1" ht="25.5">
      <c r="A77" s="209"/>
      <c r="B77" s="36" t="s">
        <v>285</v>
      </c>
      <c r="C77" s="148" t="s">
        <v>21</v>
      </c>
      <c r="D77" s="79">
        <v>10.5</v>
      </c>
      <c r="E77" s="79">
        <v>10.5</v>
      </c>
      <c r="F77" s="148"/>
      <c r="G77" s="148"/>
      <c r="H77" s="149"/>
    </row>
    <row r="78" spans="1:8" s="41" customFormat="1" ht="27" customHeight="1">
      <c r="A78" s="209"/>
      <c r="B78" s="36" t="s">
        <v>284</v>
      </c>
      <c r="C78" s="148" t="s">
        <v>43</v>
      </c>
      <c r="D78" s="148">
        <v>7</v>
      </c>
      <c r="E78" s="148">
        <v>7</v>
      </c>
      <c r="F78" s="148"/>
      <c r="G78" s="148"/>
      <c r="H78" s="149"/>
    </row>
    <row r="79" spans="1:11" s="21" customFormat="1" ht="12.75">
      <c r="A79" s="209"/>
      <c r="B79" s="36" t="s">
        <v>343</v>
      </c>
      <c r="C79" s="148" t="s">
        <v>43</v>
      </c>
      <c r="D79" s="148">
        <v>2</v>
      </c>
      <c r="E79" s="148">
        <v>2</v>
      </c>
      <c r="F79" s="148"/>
      <c r="G79" s="148"/>
      <c r="H79" s="149"/>
      <c r="I79" s="41"/>
      <c r="J79" s="41"/>
      <c r="K79" s="41"/>
    </row>
    <row r="80" spans="1:8" s="41" customFormat="1" ht="12.75" customHeight="1">
      <c r="A80" s="208" t="s">
        <v>61</v>
      </c>
      <c r="B80" s="36"/>
      <c r="C80" s="149"/>
      <c r="D80" s="149"/>
      <c r="E80" s="149"/>
      <c r="F80" s="149"/>
      <c r="G80" s="149"/>
      <c r="H80" s="149"/>
    </row>
    <row r="81" spans="1:8" s="41" customFormat="1" ht="12.75">
      <c r="A81" s="208"/>
      <c r="B81" s="36" t="s">
        <v>110</v>
      </c>
      <c r="C81" s="148" t="s">
        <v>44</v>
      </c>
      <c r="D81" s="93">
        <f>E81+F81+G81</f>
        <v>38831634</v>
      </c>
      <c r="E81" s="93">
        <v>12943878</v>
      </c>
      <c r="F81" s="93">
        <v>12943878</v>
      </c>
      <c r="G81" s="93">
        <v>12943878</v>
      </c>
      <c r="H81" s="149"/>
    </row>
    <row r="82" spans="1:8" s="41" customFormat="1" ht="12.75">
      <c r="A82" s="208"/>
      <c r="B82" s="133" t="s">
        <v>24</v>
      </c>
      <c r="C82" s="148" t="s">
        <v>43</v>
      </c>
      <c r="D82" s="93">
        <v>179</v>
      </c>
      <c r="E82" s="93">
        <v>179</v>
      </c>
      <c r="F82" s="93">
        <v>179</v>
      </c>
      <c r="G82" s="93">
        <v>179</v>
      </c>
      <c r="H82" s="149"/>
    </row>
    <row r="83" spans="1:8" s="41" customFormat="1" ht="12.75">
      <c r="A83" s="208"/>
      <c r="B83" s="36" t="s">
        <v>62</v>
      </c>
      <c r="C83" s="148" t="s">
        <v>44</v>
      </c>
      <c r="D83" s="37">
        <f>E83+F83+G83</f>
        <v>308994</v>
      </c>
      <c r="E83" s="93">
        <v>102998</v>
      </c>
      <c r="F83" s="93">
        <v>102998</v>
      </c>
      <c r="G83" s="93">
        <v>102998</v>
      </c>
      <c r="H83" s="93">
        <v>98810</v>
      </c>
    </row>
    <row r="84" spans="1:8" s="41" customFormat="1" ht="12.75">
      <c r="A84" s="208"/>
      <c r="B84" s="36" t="s">
        <v>63</v>
      </c>
      <c r="C84" s="148" t="s">
        <v>44</v>
      </c>
      <c r="D84" s="37">
        <f>E84+F84+G84</f>
        <v>159921</v>
      </c>
      <c r="E84" s="93">
        <v>53307</v>
      </c>
      <c r="F84" s="93">
        <v>53307</v>
      </c>
      <c r="G84" s="93">
        <v>53307</v>
      </c>
      <c r="H84" s="93">
        <v>50956</v>
      </c>
    </row>
    <row r="85" spans="1:8" s="41" customFormat="1" ht="12.75">
      <c r="A85" s="208"/>
      <c r="B85" s="36" t="s">
        <v>64</v>
      </c>
      <c r="C85" s="148" t="s">
        <v>44</v>
      </c>
      <c r="D85" s="37">
        <f>E85+F85+G85</f>
        <v>1561107</v>
      </c>
      <c r="E85" s="93">
        <v>520369</v>
      </c>
      <c r="F85" s="93">
        <v>520369</v>
      </c>
      <c r="G85" s="93">
        <v>520369</v>
      </c>
      <c r="H85" s="93">
        <v>499200</v>
      </c>
    </row>
    <row r="86" spans="1:8" s="41" customFormat="1" ht="12.75">
      <c r="A86" s="208" t="s">
        <v>65</v>
      </c>
      <c r="B86" s="36"/>
      <c r="C86" s="149"/>
      <c r="D86" s="149"/>
      <c r="E86" s="149"/>
      <c r="F86" s="149"/>
      <c r="G86" s="149"/>
      <c r="H86" s="149"/>
    </row>
    <row r="87" spans="1:8" s="41" customFormat="1" ht="12.75">
      <c r="A87" s="208"/>
      <c r="B87" s="36" t="s">
        <v>66</v>
      </c>
      <c r="C87" s="148" t="s">
        <v>46</v>
      </c>
      <c r="D87" s="37">
        <f>E87+F87+G87</f>
        <v>4693.200000000001</v>
      </c>
      <c r="E87" s="37">
        <v>1564.4</v>
      </c>
      <c r="F87" s="37">
        <v>1564.4</v>
      </c>
      <c r="G87" s="37">
        <v>1564.4</v>
      </c>
      <c r="H87" s="149"/>
    </row>
    <row r="88" spans="1:8" s="41" customFormat="1" ht="12.75">
      <c r="A88" s="208"/>
      <c r="B88" s="36" t="s">
        <v>67</v>
      </c>
      <c r="C88" s="148" t="s">
        <v>46</v>
      </c>
      <c r="D88" s="37">
        <f>E88+F88+G88</f>
        <v>6432.299999999999</v>
      </c>
      <c r="E88" s="37">
        <v>2144.1</v>
      </c>
      <c r="F88" s="37">
        <v>2144.1</v>
      </c>
      <c r="G88" s="37">
        <v>2144.1</v>
      </c>
      <c r="H88" s="149"/>
    </row>
    <row r="89" spans="1:9" s="41" customFormat="1" ht="12.75">
      <c r="A89" s="208"/>
      <c r="B89" s="36" t="s">
        <v>68</v>
      </c>
      <c r="C89" s="148" t="s">
        <v>46</v>
      </c>
      <c r="D89" s="37">
        <f>E89+F89+G89</f>
        <v>21573.6</v>
      </c>
      <c r="E89" s="37">
        <v>7191.2</v>
      </c>
      <c r="F89" s="37">
        <v>7191.2</v>
      </c>
      <c r="G89" s="37">
        <v>7191.2</v>
      </c>
      <c r="H89" s="149"/>
      <c r="I89" s="96"/>
    </row>
    <row r="90" spans="1:8" s="41" customFormat="1" ht="25.5">
      <c r="A90" s="208"/>
      <c r="B90" s="36" t="s">
        <v>69</v>
      </c>
      <c r="C90" s="148" t="s">
        <v>46</v>
      </c>
      <c r="D90" s="37">
        <f>E90+F90+G90</f>
        <v>2949.6000000000004</v>
      </c>
      <c r="E90" s="37">
        <v>983.2</v>
      </c>
      <c r="F90" s="37">
        <v>983.2</v>
      </c>
      <c r="G90" s="37">
        <v>983.2</v>
      </c>
      <c r="H90" s="149"/>
    </row>
    <row r="91" spans="1:8" s="41" customFormat="1" ht="25.5">
      <c r="A91" s="137"/>
      <c r="B91" s="36" t="s">
        <v>283</v>
      </c>
      <c r="C91" s="148" t="s">
        <v>43</v>
      </c>
      <c r="D91" s="148">
        <v>7</v>
      </c>
      <c r="E91" s="148">
        <v>7</v>
      </c>
      <c r="F91" s="148"/>
      <c r="G91" s="148"/>
      <c r="H91" s="149"/>
    </row>
    <row r="92" spans="1:8" s="41" customFormat="1" ht="12.75" customHeight="1">
      <c r="A92" s="224" t="s">
        <v>70</v>
      </c>
      <c r="B92" s="36"/>
      <c r="C92" s="149"/>
      <c r="D92" s="149"/>
      <c r="E92" s="149"/>
      <c r="F92" s="149"/>
      <c r="G92" s="149"/>
      <c r="H92" s="149"/>
    </row>
    <row r="93" spans="1:8" s="41" customFormat="1" ht="12.75">
      <c r="A93" s="235"/>
      <c r="B93" s="36" t="s">
        <v>112</v>
      </c>
      <c r="C93" s="148" t="s">
        <v>92</v>
      </c>
      <c r="D93" s="37">
        <f>E93+F93+G93</f>
        <v>949.504</v>
      </c>
      <c r="E93" s="38">
        <f>215.9+137.72</f>
        <v>353.62</v>
      </c>
      <c r="F93" s="37">
        <v>259.08</v>
      </c>
      <c r="G93" s="38">
        <v>336.804</v>
      </c>
      <c r="H93" s="149"/>
    </row>
    <row r="94" spans="1:8" s="41" customFormat="1" ht="12.75">
      <c r="A94" s="235"/>
      <c r="B94" s="36" t="s">
        <v>282</v>
      </c>
      <c r="C94" s="148" t="s">
        <v>92</v>
      </c>
      <c r="D94" s="37">
        <f>E94+F94+G94</f>
        <v>249.43200000000002</v>
      </c>
      <c r="E94" s="38">
        <f>31.22</f>
        <v>31.22</v>
      </c>
      <c r="F94" s="37">
        <v>127.672</v>
      </c>
      <c r="G94" s="38">
        <v>90.54</v>
      </c>
      <c r="H94" s="149"/>
    </row>
    <row r="95" spans="1:8" s="41" customFormat="1" ht="12.75">
      <c r="A95" s="235"/>
      <c r="B95" s="36" t="s">
        <v>160</v>
      </c>
      <c r="C95" s="148" t="s">
        <v>92</v>
      </c>
      <c r="D95" s="148">
        <f>E95</f>
        <v>133.33</v>
      </c>
      <c r="E95" s="95">
        <v>133.33</v>
      </c>
      <c r="F95" s="148">
        <v>133.33</v>
      </c>
      <c r="G95" s="148">
        <v>133.33</v>
      </c>
      <c r="H95" s="149"/>
    </row>
    <row r="96" spans="1:8" s="41" customFormat="1" ht="12.75">
      <c r="A96" s="235"/>
      <c r="B96" s="36" t="s">
        <v>114</v>
      </c>
      <c r="C96" s="148" t="s">
        <v>43</v>
      </c>
      <c r="D96" s="93">
        <f>E96+F96+G96</f>
        <v>45</v>
      </c>
      <c r="E96" s="148">
        <v>15</v>
      </c>
      <c r="F96" s="148">
        <v>15</v>
      </c>
      <c r="G96" s="148">
        <v>15</v>
      </c>
      <c r="H96" s="149"/>
    </row>
    <row r="97" spans="1:8" s="41" customFormat="1" ht="12.75">
      <c r="A97" s="235"/>
      <c r="B97" s="36" t="s">
        <v>20</v>
      </c>
      <c r="C97" s="148" t="s">
        <v>21</v>
      </c>
      <c r="D97" s="93">
        <f>E97+F97+G97</f>
        <v>186195</v>
      </c>
      <c r="E97" s="93">
        <v>62065</v>
      </c>
      <c r="F97" s="93">
        <v>62065</v>
      </c>
      <c r="G97" s="93">
        <v>62065</v>
      </c>
      <c r="H97" s="149"/>
    </row>
    <row r="98" spans="1:8" s="41" customFormat="1" ht="12.75">
      <c r="A98" s="235"/>
      <c r="B98" s="36" t="s">
        <v>71</v>
      </c>
      <c r="C98" s="148" t="s">
        <v>122</v>
      </c>
      <c r="D98" s="148">
        <v>614</v>
      </c>
      <c r="E98" s="148">
        <v>614</v>
      </c>
      <c r="F98" s="148">
        <v>614</v>
      </c>
      <c r="G98" s="148">
        <v>614</v>
      </c>
      <c r="H98" s="149"/>
    </row>
    <row r="99" spans="1:8" s="41" customFormat="1" ht="50.25" customHeight="1">
      <c r="A99" s="235"/>
      <c r="B99" s="36" t="s">
        <v>164</v>
      </c>
      <c r="C99" s="148" t="s">
        <v>43</v>
      </c>
      <c r="D99" s="97">
        <v>694</v>
      </c>
      <c r="E99" s="97">
        <v>694</v>
      </c>
      <c r="F99" s="97">
        <v>694</v>
      </c>
      <c r="G99" s="97">
        <v>694</v>
      </c>
      <c r="H99" s="149"/>
    </row>
    <row r="100" spans="1:8" s="41" customFormat="1" ht="12.75" customHeight="1">
      <c r="A100" s="235"/>
      <c r="B100" s="144" t="s">
        <v>40</v>
      </c>
      <c r="C100" s="148" t="s">
        <v>45</v>
      </c>
      <c r="D100" s="148">
        <v>387.26</v>
      </c>
      <c r="E100" s="148">
        <f>346.1+41.16</f>
        <v>387.26</v>
      </c>
      <c r="F100" s="148">
        <f>346.1+41.16</f>
        <v>387.26</v>
      </c>
      <c r="G100" s="148">
        <f>346.1+41.16</f>
        <v>387.26</v>
      </c>
      <c r="H100" s="149"/>
    </row>
    <row r="101" spans="1:8" s="41" customFormat="1" ht="12.75">
      <c r="A101" s="235"/>
      <c r="B101" s="36" t="s">
        <v>72</v>
      </c>
      <c r="C101" s="148" t="s">
        <v>43</v>
      </c>
      <c r="D101" s="148">
        <v>34</v>
      </c>
      <c r="E101" s="148">
        <v>34</v>
      </c>
      <c r="F101" s="148">
        <v>34</v>
      </c>
      <c r="G101" s="148">
        <v>34</v>
      </c>
      <c r="H101" s="149"/>
    </row>
    <row r="102" spans="1:8" s="41" customFormat="1" ht="12.75">
      <c r="A102" s="235"/>
      <c r="B102" s="36" t="s">
        <v>73</v>
      </c>
      <c r="C102" s="148" t="s">
        <v>43</v>
      </c>
      <c r="D102" s="148">
        <v>9</v>
      </c>
      <c r="E102" s="148">
        <v>9</v>
      </c>
      <c r="F102" s="148">
        <v>9</v>
      </c>
      <c r="G102" s="148">
        <v>9</v>
      </c>
      <c r="H102" s="149"/>
    </row>
    <row r="103" spans="1:8" s="41" customFormat="1" ht="12.75">
      <c r="A103" s="235"/>
      <c r="B103" s="133" t="s">
        <v>53</v>
      </c>
      <c r="C103" s="148" t="s">
        <v>43</v>
      </c>
      <c r="D103" s="148">
        <f>E103+F103+G103</f>
        <v>9246</v>
      </c>
      <c r="E103" s="148">
        <f>2882+600</f>
        <v>3482</v>
      </c>
      <c r="F103" s="148">
        <v>2882</v>
      </c>
      <c r="G103" s="148">
        <v>2882</v>
      </c>
      <c r="H103" s="149"/>
    </row>
    <row r="104" spans="1:8" s="41" customFormat="1" ht="51">
      <c r="A104" s="235"/>
      <c r="B104" s="133" t="s">
        <v>236</v>
      </c>
      <c r="C104" s="148" t="s">
        <v>21</v>
      </c>
      <c r="D104" s="148">
        <f>E104+F104+G104</f>
        <v>3744.5</v>
      </c>
      <c r="E104" s="148">
        <v>3744.5</v>
      </c>
      <c r="F104" s="148"/>
      <c r="G104" s="148"/>
      <c r="H104" s="149"/>
    </row>
    <row r="105" spans="1:8" s="41" customFormat="1" ht="38.25">
      <c r="A105" s="225"/>
      <c r="B105" s="133" t="s">
        <v>288</v>
      </c>
      <c r="C105" s="148" t="s">
        <v>43</v>
      </c>
      <c r="D105" s="148">
        <f>E105+F105+G105</f>
        <v>25</v>
      </c>
      <c r="E105" s="148">
        <v>25</v>
      </c>
      <c r="F105" s="148"/>
      <c r="G105" s="148"/>
      <c r="H105" s="149"/>
    </row>
    <row r="106" spans="1:8" s="41" customFormat="1" ht="12.75" customHeight="1">
      <c r="A106" s="204" t="s">
        <v>75</v>
      </c>
      <c r="B106" s="133"/>
      <c r="C106" s="149"/>
      <c r="D106" s="149"/>
      <c r="E106" s="149"/>
      <c r="F106" s="149"/>
      <c r="G106" s="149">
        <v>5</v>
      </c>
      <c r="H106" s="149"/>
    </row>
    <row r="107" spans="1:8" s="41" customFormat="1" ht="54" customHeight="1">
      <c r="A107" s="209"/>
      <c r="B107" s="36" t="s">
        <v>150</v>
      </c>
      <c r="C107" s="149" t="s">
        <v>43</v>
      </c>
      <c r="D107" s="93">
        <f>E107</f>
        <v>37</v>
      </c>
      <c r="E107" s="148">
        <f>5+5-3+10+13+1+7-1</f>
        <v>37</v>
      </c>
      <c r="F107" s="148"/>
      <c r="G107" s="148"/>
      <c r="H107" s="149"/>
    </row>
    <row r="108" spans="1:8" s="41" customFormat="1" ht="12.75" customHeight="1">
      <c r="A108" s="209"/>
      <c r="B108" s="260" t="s">
        <v>54</v>
      </c>
      <c r="C108" s="197" t="s">
        <v>43</v>
      </c>
      <c r="D108" s="295">
        <f aca="true" t="shared" si="0" ref="D108:D114">E108+F108+G108</f>
        <v>107</v>
      </c>
      <c r="E108" s="295">
        <f>25+4+3+2+2+6+1</f>
        <v>43</v>
      </c>
      <c r="F108" s="295">
        <v>32</v>
      </c>
      <c r="G108" s="295">
        <v>32</v>
      </c>
      <c r="H108" s="149"/>
    </row>
    <row r="109" spans="1:8" s="41" customFormat="1" ht="12.75" customHeight="1">
      <c r="A109" s="209"/>
      <c r="B109" s="299"/>
      <c r="C109" s="202"/>
      <c r="D109" s="296"/>
      <c r="E109" s="296"/>
      <c r="F109" s="296"/>
      <c r="G109" s="296"/>
      <c r="H109" s="149"/>
    </row>
    <row r="110" spans="1:8" s="41" customFormat="1" ht="12.75">
      <c r="A110" s="209"/>
      <c r="B110" s="261"/>
      <c r="C110" s="198"/>
      <c r="D110" s="297"/>
      <c r="E110" s="297"/>
      <c r="F110" s="297"/>
      <c r="G110" s="297"/>
      <c r="H110" s="149"/>
    </row>
    <row r="111" spans="1:8" s="41" customFormat="1" ht="12.75">
      <c r="A111" s="209"/>
      <c r="B111" s="36" t="s">
        <v>117</v>
      </c>
      <c r="C111" s="148" t="s">
        <v>43</v>
      </c>
      <c r="D111" s="93">
        <f t="shared" si="0"/>
        <v>1927</v>
      </c>
      <c r="E111" s="93">
        <f>165+81+1001+350</f>
        <v>1597</v>
      </c>
      <c r="F111" s="93">
        <v>165</v>
      </c>
      <c r="G111" s="93">
        <v>165</v>
      </c>
      <c r="H111" s="149"/>
    </row>
    <row r="112" spans="1:8" s="41" customFormat="1" ht="12.75">
      <c r="A112" s="209"/>
      <c r="B112" s="36" t="s">
        <v>351</v>
      </c>
      <c r="C112" s="148" t="s">
        <v>43</v>
      </c>
      <c r="D112" s="93">
        <f t="shared" si="0"/>
        <v>1</v>
      </c>
      <c r="E112" s="93">
        <v>1</v>
      </c>
      <c r="F112" s="93">
        <v>0</v>
      </c>
      <c r="G112" s="93">
        <v>0</v>
      </c>
      <c r="H112" s="149"/>
    </row>
    <row r="113" spans="1:8" s="41" customFormat="1" ht="12.75">
      <c r="A113" s="209"/>
      <c r="B113" s="36" t="s">
        <v>129</v>
      </c>
      <c r="C113" s="148" t="s">
        <v>43</v>
      </c>
      <c r="D113" s="93">
        <f t="shared" si="0"/>
        <v>1800</v>
      </c>
      <c r="E113" s="93">
        <v>600</v>
      </c>
      <c r="F113" s="93">
        <v>600</v>
      </c>
      <c r="G113" s="93">
        <v>600</v>
      </c>
      <c r="H113" s="93">
        <v>600</v>
      </c>
    </row>
    <row r="114" spans="1:8" s="41" customFormat="1" ht="12.75">
      <c r="A114" s="209"/>
      <c r="B114" s="36" t="s">
        <v>128</v>
      </c>
      <c r="C114" s="148" t="s">
        <v>21</v>
      </c>
      <c r="D114" s="93">
        <f t="shared" si="0"/>
        <v>10914</v>
      </c>
      <c r="E114" s="93">
        <v>3638</v>
      </c>
      <c r="F114" s="93">
        <v>3638</v>
      </c>
      <c r="G114" s="93">
        <v>3638</v>
      </c>
      <c r="H114" s="93">
        <v>3638</v>
      </c>
    </row>
    <row r="115" spans="1:8" s="41" customFormat="1" ht="26.25" customHeight="1">
      <c r="A115" s="209"/>
      <c r="B115" s="36" t="s">
        <v>151</v>
      </c>
      <c r="C115" s="148" t="s">
        <v>43</v>
      </c>
      <c r="D115" s="93">
        <v>111</v>
      </c>
      <c r="E115" s="93">
        <v>111</v>
      </c>
      <c r="F115" s="93">
        <v>111</v>
      </c>
      <c r="G115" s="93">
        <v>111</v>
      </c>
      <c r="H115" s="93"/>
    </row>
    <row r="116" spans="1:8" s="41" customFormat="1" ht="38.25">
      <c r="A116" s="209"/>
      <c r="B116" s="36" t="s">
        <v>233</v>
      </c>
      <c r="C116" s="148" t="s">
        <v>43</v>
      </c>
      <c r="D116" s="93">
        <f>E116</f>
        <v>119</v>
      </c>
      <c r="E116" s="93">
        <f>95+24</f>
        <v>119</v>
      </c>
      <c r="F116" s="93"/>
      <c r="G116" s="93"/>
      <c r="H116" s="93"/>
    </row>
    <row r="117" spans="1:11" s="30" customFormat="1" ht="63.75">
      <c r="A117" s="209"/>
      <c r="B117" s="36" t="s">
        <v>308</v>
      </c>
      <c r="C117" s="148" t="s">
        <v>43</v>
      </c>
      <c r="D117" s="93">
        <v>1</v>
      </c>
      <c r="E117" s="93">
        <v>1</v>
      </c>
      <c r="F117" s="93"/>
      <c r="G117" s="93"/>
      <c r="H117" s="93"/>
      <c r="I117" s="41"/>
      <c r="J117" s="41"/>
      <c r="K117" s="41"/>
    </row>
    <row r="118" spans="1:8" s="41" customFormat="1" ht="12.75">
      <c r="A118" s="201" t="s">
        <v>292</v>
      </c>
      <c r="B118" s="201"/>
      <c r="C118" s="201"/>
      <c r="D118" s="201"/>
      <c r="E118" s="201"/>
      <c r="F118" s="201"/>
      <c r="G118" s="201"/>
      <c r="H118" s="149"/>
    </row>
    <row r="119" spans="1:8" s="41" customFormat="1" ht="12.75">
      <c r="A119" s="208" t="s">
        <v>289</v>
      </c>
      <c r="B119" s="267" t="s">
        <v>291</v>
      </c>
      <c r="C119" s="148" t="s">
        <v>293</v>
      </c>
      <c r="D119" s="38">
        <f>E119</f>
        <v>6230.491</v>
      </c>
      <c r="E119" s="38">
        <v>6230.491</v>
      </c>
      <c r="F119" s="148"/>
      <c r="G119" s="148"/>
      <c r="H119" s="149"/>
    </row>
    <row r="120" spans="1:8" s="41" customFormat="1" ht="141" customHeight="1">
      <c r="A120" s="208"/>
      <c r="B120" s="262"/>
      <c r="C120" s="148" t="s">
        <v>43</v>
      </c>
      <c r="D120" s="93">
        <f>E120</f>
        <v>8</v>
      </c>
      <c r="E120" s="93">
        <v>8</v>
      </c>
      <c r="F120" s="148"/>
      <c r="G120" s="148"/>
      <c r="H120" s="149"/>
    </row>
    <row r="121" spans="1:8" s="41" customFormat="1" ht="12.75">
      <c r="A121" s="201" t="s">
        <v>281</v>
      </c>
      <c r="B121" s="201"/>
      <c r="C121" s="201"/>
      <c r="D121" s="201"/>
      <c r="E121" s="201"/>
      <c r="F121" s="201"/>
      <c r="G121" s="201"/>
      <c r="H121" s="149"/>
    </row>
    <row r="122" spans="1:8" s="41" customFormat="1" ht="12.75" customHeight="1">
      <c r="A122" s="204" t="s">
        <v>60</v>
      </c>
      <c r="B122" s="133"/>
      <c r="C122" s="149"/>
      <c r="D122" s="149"/>
      <c r="E122" s="149"/>
      <c r="F122" s="149"/>
      <c r="G122" s="149"/>
      <c r="H122" s="149"/>
    </row>
    <row r="123" spans="1:8" s="41" customFormat="1" ht="12.75">
      <c r="A123" s="209"/>
      <c r="B123" s="36" t="s">
        <v>359</v>
      </c>
      <c r="C123" s="148"/>
      <c r="D123" s="97"/>
      <c r="E123" s="97"/>
      <c r="F123" s="97"/>
      <c r="G123" s="97"/>
      <c r="H123" s="97">
        <v>150108</v>
      </c>
    </row>
    <row r="124" spans="1:8" s="41" customFormat="1" ht="12.75">
      <c r="A124" s="209"/>
      <c r="B124" s="64" t="s">
        <v>360</v>
      </c>
      <c r="C124" s="148" t="s">
        <v>21</v>
      </c>
      <c r="D124" s="97">
        <f>E124+F124+G124</f>
        <v>450324</v>
      </c>
      <c r="E124" s="97">
        <v>150108</v>
      </c>
      <c r="F124" s="97">
        <v>150108</v>
      </c>
      <c r="G124" s="97">
        <v>150108</v>
      </c>
      <c r="H124" s="97"/>
    </row>
    <row r="125" spans="1:8" s="41" customFormat="1" ht="12.75">
      <c r="A125" s="209"/>
      <c r="B125" s="64" t="s">
        <v>380</v>
      </c>
      <c r="C125" s="148" t="s">
        <v>43</v>
      </c>
      <c r="D125" s="97">
        <f>E125</f>
        <v>522</v>
      </c>
      <c r="E125" s="97">
        <v>522</v>
      </c>
      <c r="F125" s="97">
        <v>522</v>
      </c>
      <c r="G125" s="97">
        <v>522</v>
      </c>
      <c r="H125" s="97"/>
    </row>
    <row r="126" spans="1:8" s="41" customFormat="1" ht="12.75">
      <c r="A126" s="205"/>
      <c r="B126" s="36" t="s">
        <v>105</v>
      </c>
      <c r="C126" s="149" t="s">
        <v>43</v>
      </c>
      <c r="D126" s="97">
        <f>E126+F126+G126</f>
        <v>3</v>
      </c>
      <c r="E126" s="149">
        <v>1</v>
      </c>
      <c r="F126" s="149">
        <v>1</v>
      </c>
      <c r="G126" s="149">
        <v>1</v>
      </c>
      <c r="H126" s="149"/>
    </row>
    <row r="127" spans="1:8" s="41" customFormat="1" ht="12.75">
      <c r="A127" s="204" t="s">
        <v>104</v>
      </c>
      <c r="B127" s="36"/>
      <c r="C127" s="149"/>
      <c r="D127" s="97"/>
      <c r="E127" s="149"/>
      <c r="F127" s="149"/>
      <c r="G127" s="149"/>
      <c r="H127" s="149"/>
    </row>
    <row r="128" spans="1:8" s="41" customFormat="1" ht="12.75">
      <c r="A128" s="205"/>
      <c r="B128" s="36" t="s">
        <v>107</v>
      </c>
      <c r="C128" s="149" t="s">
        <v>50</v>
      </c>
      <c r="D128" s="98">
        <f>E128+F128+G128</f>
        <v>50682</v>
      </c>
      <c r="E128" s="149">
        <f>17593-699</f>
        <v>16894</v>
      </c>
      <c r="F128" s="149">
        <f>17593-699</f>
        <v>16894</v>
      </c>
      <c r="G128" s="149">
        <f>17593-699</f>
        <v>16894</v>
      </c>
      <c r="H128" s="149"/>
    </row>
    <row r="129" spans="1:8" s="41" customFormat="1" ht="12.75" customHeight="1">
      <c r="A129" s="224" t="s">
        <v>70</v>
      </c>
      <c r="B129" s="133"/>
      <c r="C129" s="149"/>
      <c r="D129" s="149"/>
      <c r="E129" s="149"/>
      <c r="F129" s="149"/>
      <c r="G129" s="149"/>
      <c r="H129" s="149"/>
    </row>
    <row r="130" spans="1:8" s="41" customFormat="1" ht="12.75">
      <c r="A130" s="235"/>
      <c r="B130" s="260" t="s">
        <v>23</v>
      </c>
      <c r="C130" s="149" t="s">
        <v>21</v>
      </c>
      <c r="D130" s="181">
        <f>E130+F130+G130</f>
        <v>11467.215</v>
      </c>
      <c r="E130" s="182">
        <f>3890.105-67.7</f>
        <v>3822.405</v>
      </c>
      <c r="F130" s="182">
        <f>3890.105-67.7</f>
        <v>3822.405</v>
      </c>
      <c r="G130" s="182">
        <f>3890.105-67.7</f>
        <v>3822.405</v>
      </c>
      <c r="H130" s="149"/>
    </row>
    <row r="131" spans="1:8" s="41" customFormat="1" ht="12.75">
      <c r="A131" s="235"/>
      <c r="B131" s="261"/>
      <c r="C131" s="148" t="s">
        <v>47</v>
      </c>
      <c r="D131" s="97">
        <f>E131+F131+G131</f>
        <v>2459.3999999999996</v>
      </c>
      <c r="E131" s="95">
        <v>819.8</v>
      </c>
      <c r="F131" s="95">
        <v>819.8</v>
      </c>
      <c r="G131" s="95">
        <v>819.8</v>
      </c>
      <c r="H131" s="149"/>
    </row>
    <row r="132" spans="1:8" s="41" customFormat="1" ht="12.75">
      <c r="A132" s="235"/>
      <c r="B132" s="36" t="s">
        <v>27</v>
      </c>
      <c r="C132" s="148" t="s">
        <v>21</v>
      </c>
      <c r="D132" s="97">
        <f>E132+F132+G132</f>
        <v>3120</v>
      </c>
      <c r="E132" s="97">
        <v>1040</v>
      </c>
      <c r="F132" s="97">
        <v>1040</v>
      </c>
      <c r="G132" s="97">
        <v>1040</v>
      </c>
      <c r="H132" s="149"/>
    </row>
    <row r="133" spans="1:8" s="41" customFormat="1" ht="25.5">
      <c r="A133" s="235"/>
      <c r="B133" s="36" t="s">
        <v>381</v>
      </c>
      <c r="C133" s="148" t="s">
        <v>43</v>
      </c>
      <c r="D133" s="97">
        <v>21</v>
      </c>
      <c r="E133" s="97">
        <v>7</v>
      </c>
      <c r="F133" s="97">
        <v>7</v>
      </c>
      <c r="G133" s="97">
        <v>7</v>
      </c>
      <c r="H133" s="149"/>
    </row>
    <row r="134" spans="1:8" s="41" customFormat="1" ht="12.75">
      <c r="A134" s="235"/>
      <c r="B134" s="36" t="s">
        <v>330</v>
      </c>
      <c r="C134" s="148" t="s">
        <v>21</v>
      </c>
      <c r="D134" s="97">
        <v>25</v>
      </c>
      <c r="E134" s="97">
        <v>25</v>
      </c>
      <c r="F134" s="97"/>
      <c r="G134" s="97"/>
      <c r="H134" s="149"/>
    </row>
    <row r="135" spans="1:8" s="41" customFormat="1" ht="12.75">
      <c r="A135" s="235"/>
      <c r="B135" s="36" t="s">
        <v>114</v>
      </c>
      <c r="C135" s="148" t="s">
        <v>21</v>
      </c>
      <c r="D135" s="97">
        <v>1585</v>
      </c>
      <c r="E135" s="97">
        <v>528.38</v>
      </c>
      <c r="F135" s="97">
        <v>528.38</v>
      </c>
      <c r="G135" s="97">
        <v>528.38</v>
      </c>
      <c r="H135" s="149"/>
    </row>
    <row r="136" spans="1:8" s="41" customFormat="1" ht="25.5">
      <c r="A136" s="225"/>
      <c r="B136" s="36" t="s">
        <v>389</v>
      </c>
      <c r="C136" s="148" t="s">
        <v>43</v>
      </c>
      <c r="D136" s="97">
        <f>SUM(E136:G136)</f>
        <v>90</v>
      </c>
      <c r="E136" s="97">
        <v>30</v>
      </c>
      <c r="F136" s="97">
        <v>30</v>
      </c>
      <c r="G136" s="97">
        <v>30</v>
      </c>
      <c r="H136" s="149"/>
    </row>
    <row r="137" spans="1:8" s="41" customFormat="1" ht="12.75">
      <c r="A137" s="204" t="s">
        <v>77</v>
      </c>
      <c r="B137" s="36"/>
      <c r="C137" s="149"/>
      <c r="D137" s="149"/>
      <c r="E137" s="149"/>
      <c r="F137" s="149"/>
      <c r="G137" s="149"/>
      <c r="H137" s="149"/>
    </row>
    <row r="138" spans="1:8" s="41" customFormat="1" ht="12.75">
      <c r="A138" s="209"/>
      <c r="B138" s="36" t="s">
        <v>28</v>
      </c>
      <c r="C138" s="148" t="s">
        <v>48</v>
      </c>
      <c r="D138" s="148">
        <f>E138+F138+G138</f>
        <v>180</v>
      </c>
      <c r="E138" s="148">
        <v>60</v>
      </c>
      <c r="F138" s="148">
        <v>60</v>
      </c>
      <c r="G138" s="148">
        <v>60</v>
      </c>
      <c r="H138" s="149"/>
    </row>
    <row r="139" spans="1:8" s="41" customFormat="1" ht="12.75">
      <c r="A139" s="209"/>
      <c r="B139" s="36" t="s">
        <v>29</v>
      </c>
      <c r="C139" s="148" t="s">
        <v>49</v>
      </c>
      <c r="D139" s="148">
        <f>E139+F139+G139</f>
        <v>1846.908</v>
      </c>
      <c r="E139" s="148">
        <v>615.636</v>
      </c>
      <c r="F139" s="148">
        <v>615.636</v>
      </c>
      <c r="G139" s="148">
        <v>615.636</v>
      </c>
      <c r="H139" s="149"/>
    </row>
    <row r="140" spans="1:8" s="41" customFormat="1" ht="12.75">
      <c r="A140" s="291"/>
      <c r="B140" s="36" t="s">
        <v>361</v>
      </c>
      <c r="C140" s="148" t="s">
        <v>21</v>
      </c>
      <c r="D140" s="148">
        <f>E140+F140+G140</f>
        <v>85200</v>
      </c>
      <c r="E140" s="148">
        <v>28400</v>
      </c>
      <c r="F140" s="148">
        <v>28400</v>
      </c>
      <c r="G140" s="148">
        <v>28400</v>
      </c>
      <c r="H140" s="149"/>
    </row>
    <row r="141" spans="1:8" s="41" customFormat="1" ht="12.75">
      <c r="A141" s="208" t="s">
        <v>76</v>
      </c>
      <c r="B141" s="36"/>
      <c r="C141" s="149"/>
      <c r="D141" s="149"/>
      <c r="E141" s="149"/>
      <c r="F141" s="149"/>
      <c r="G141" s="149"/>
      <c r="H141" s="149"/>
    </row>
    <row r="142" spans="1:8" s="41" customFormat="1" ht="12.75">
      <c r="A142" s="208"/>
      <c r="B142" s="36" t="s">
        <v>30</v>
      </c>
      <c r="C142" s="148" t="s">
        <v>22</v>
      </c>
      <c r="D142" s="95">
        <f>E142+F142+G142</f>
        <v>26.64</v>
      </c>
      <c r="E142" s="79">
        <v>8.88</v>
      </c>
      <c r="F142" s="95">
        <v>8.88</v>
      </c>
      <c r="G142" s="95">
        <v>8.88</v>
      </c>
      <c r="H142" s="149"/>
    </row>
    <row r="143" spans="1:8" s="41" customFormat="1" ht="12.75">
      <c r="A143" s="206" t="s">
        <v>185</v>
      </c>
      <c r="B143" s="36"/>
      <c r="C143" s="148"/>
      <c r="D143" s="95"/>
      <c r="E143" s="95"/>
      <c r="F143" s="95"/>
      <c r="G143" s="95"/>
      <c r="H143" s="149"/>
    </row>
    <row r="144" spans="1:8" s="41" customFormat="1" ht="17.25" customHeight="1">
      <c r="A144" s="207"/>
      <c r="B144" s="133" t="s">
        <v>186</v>
      </c>
      <c r="C144" s="148" t="s">
        <v>22</v>
      </c>
      <c r="D144" s="79">
        <v>11.168</v>
      </c>
      <c r="E144" s="183">
        <v>3.7225</v>
      </c>
      <c r="F144" s="184">
        <v>3.7225</v>
      </c>
      <c r="G144" s="184">
        <v>3.7225</v>
      </c>
      <c r="H144" s="149"/>
    </row>
    <row r="145" spans="1:8" s="41" customFormat="1" ht="21.75" customHeight="1">
      <c r="A145" s="206" t="s">
        <v>235</v>
      </c>
      <c r="B145" s="260" t="s">
        <v>346</v>
      </c>
      <c r="C145" s="197" t="s">
        <v>21</v>
      </c>
      <c r="D145" s="277">
        <f>E145+F146+G146</f>
        <v>46534.5</v>
      </c>
      <c r="E145" s="277">
        <v>46534.5</v>
      </c>
      <c r="F145" s="277">
        <v>46535.5</v>
      </c>
      <c r="G145" s="277">
        <v>46536.5</v>
      </c>
      <c r="H145" s="149"/>
    </row>
    <row r="146" spans="1:8" s="41" customFormat="1" ht="12.75" customHeight="1">
      <c r="A146" s="259"/>
      <c r="B146" s="262"/>
      <c r="C146" s="198"/>
      <c r="D146" s="259"/>
      <c r="E146" s="278"/>
      <c r="F146" s="278"/>
      <c r="G146" s="278"/>
      <c r="H146" s="149"/>
    </row>
    <row r="147" spans="1:8" s="41" customFormat="1" ht="12.75">
      <c r="A147" s="263" t="s">
        <v>228</v>
      </c>
      <c r="B147" s="178"/>
      <c r="C147" s="148"/>
      <c r="D147" s="79"/>
      <c r="E147" s="184"/>
      <c r="F147" s="184"/>
      <c r="G147" s="184"/>
      <c r="H147" s="149"/>
    </row>
    <row r="148" spans="1:9" s="56" customFormat="1" ht="12.75">
      <c r="A148" s="264"/>
      <c r="B148" s="44" t="s">
        <v>229</v>
      </c>
      <c r="C148" s="148" t="s">
        <v>21</v>
      </c>
      <c r="D148" s="97">
        <f aca="true" t="shared" si="1" ref="D148:D155">E148+F148+G148</f>
        <v>496299</v>
      </c>
      <c r="E148" s="97">
        <v>165433</v>
      </c>
      <c r="F148" s="97">
        <f>E148</f>
        <v>165433</v>
      </c>
      <c r="G148" s="97">
        <f>F148</f>
        <v>165433</v>
      </c>
      <c r="H148" s="39">
        <f>H149</f>
        <v>91.226</v>
      </c>
      <c r="I148" s="53"/>
    </row>
    <row r="149" spans="1:9" s="56" customFormat="1" ht="12.75">
      <c r="A149" s="300"/>
      <c r="B149" s="70" t="s">
        <v>247</v>
      </c>
      <c r="C149" s="148" t="s">
        <v>21</v>
      </c>
      <c r="D149" s="97">
        <f t="shared" si="1"/>
        <v>1390761</v>
      </c>
      <c r="E149" s="97">
        <v>463587</v>
      </c>
      <c r="F149" s="97">
        <f>E149</f>
        <v>463587</v>
      </c>
      <c r="G149" s="97">
        <f>F149</f>
        <v>463587</v>
      </c>
      <c r="H149" s="38">
        <v>91.226</v>
      </c>
      <c r="I149" s="53"/>
    </row>
    <row r="150" spans="1:8" s="41" customFormat="1" ht="15" customHeight="1">
      <c r="A150" s="191" t="s">
        <v>386</v>
      </c>
      <c r="B150" s="179"/>
      <c r="C150" s="148"/>
      <c r="D150" s="79"/>
      <c r="E150" s="184"/>
      <c r="F150" s="184"/>
      <c r="G150" s="184"/>
      <c r="H150" s="149"/>
    </row>
    <row r="151" spans="1:8" s="41" customFormat="1" ht="16.5" customHeight="1">
      <c r="A151" s="192"/>
      <c r="B151" s="36" t="s">
        <v>123</v>
      </c>
      <c r="C151" s="148" t="s">
        <v>45</v>
      </c>
      <c r="D151" s="95">
        <f t="shared" si="1"/>
        <v>336.84000000000003</v>
      </c>
      <c r="E151" s="95">
        <v>112.28</v>
      </c>
      <c r="F151" s="95">
        <f>E151</f>
        <v>112.28</v>
      </c>
      <c r="G151" s="95">
        <f>F151</f>
        <v>112.28</v>
      </c>
      <c r="H151" s="149"/>
    </row>
    <row r="152" spans="1:8" s="41" customFormat="1" ht="20.25" customHeight="1">
      <c r="A152" s="192"/>
      <c r="B152" s="36" t="s">
        <v>387</v>
      </c>
      <c r="C152" s="148" t="s">
        <v>45</v>
      </c>
      <c r="D152" s="95">
        <f t="shared" si="1"/>
        <v>336.84000000000003</v>
      </c>
      <c r="E152" s="95">
        <v>112.28</v>
      </c>
      <c r="F152" s="95">
        <f>E152</f>
        <v>112.28</v>
      </c>
      <c r="G152" s="95">
        <f>F152</f>
        <v>112.28</v>
      </c>
      <c r="H152" s="149"/>
    </row>
    <row r="153" spans="1:8" s="41" customFormat="1" ht="16.5" customHeight="1">
      <c r="A153" s="192"/>
      <c r="B153" s="36" t="s">
        <v>388</v>
      </c>
      <c r="C153" s="148" t="s">
        <v>49</v>
      </c>
      <c r="D153" s="97">
        <f t="shared" si="1"/>
        <v>2025</v>
      </c>
      <c r="E153" s="97">
        <v>675</v>
      </c>
      <c r="F153" s="97">
        <f aca="true" t="shared" si="2" ref="F153:G155">E153</f>
        <v>675</v>
      </c>
      <c r="G153" s="97">
        <f t="shared" si="2"/>
        <v>675</v>
      </c>
      <c r="H153" s="149"/>
    </row>
    <row r="154" spans="1:8" s="41" customFormat="1" ht="16.5" customHeight="1" hidden="1">
      <c r="A154" s="192"/>
      <c r="B154" s="36"/>
      <c r="C154" s="148"/>
      <c r="D154" s="95"/>
      <c r="E154" s="100"/>
      <c r="F154" s="95"/>
      <c r="G154" s="95"/>
      <c r="H154" s="99"/>
    </row>
    <row r="155" spans="1:7" ht="16.5" customHeight="1">
      <c r="A155" s="193"/>
      <c r="B155" s="36" t="s">
        <v>230</v>
      </c>
      <c r="C155" s="148" t="s">
        <v>49</v>
      </c>
      <c r="D155" s="95">
        <f t="shared" si="1"/>
        <v>16800</v>
      </c>
      <c r="E155" s="149">
        <v>5600</v>
      </c>
      <c r="F155" s="97">
        <f t="shared" si="2"/>
        <v>5600</v>
      </c>
      <c r="G155" s="97">
        <f t="shared" si="2"/>
        <v>5600</v>
      </c>
    </row>
    <row r="156" spans="1:7" ht="16.5" customHeight="1">
      <c r="A156" s="199" t="s">
        <v>231</v>
      </c>
      <c r="B156" s="147"/>
      <c r="C156" s="148"/>
      <c r="D156" s="79"/>
      <c r="E156" s="184"/>
      <c r="F156" s="184"/>
      <c r="G156" s="184"/>
    </row>
    <row r="157" spans="1:7" ht="16.5" customHeight="1">
      <c r="A157" s="200"/>
      <c r="B157" s="133" t="s">
        <v>232</v>
      </c>
      <c r="C157" s="148" t="s">
        <v>43</v>
      </c>
      <c r="D157" s="97">
        <f>E157+F157+G157</f>
        <v>1</v>
      </c>
      <c r="E157" s="97">
        <v>1</v>
      </c>
      <c r="F157" s="97">
        <v>0</v>
      </c>
      <c r="G157" s="97">
        <f>F157</f>
        <v>0</v>
      </c>
    </row>
    <row r="158" spans="1:7" ht="16.5" customHeight="1">
      <c r="A158" s="204" t="s">
        <v>75</v>
      </c>
      <c r="B158" s="133"/>
      <c r="C158" s="149"/>
      <c r="D158" s="149"/>
      <c r="E158" s="149"/>
      <c r="F158" s="149"/>
      <c r="G158" s="149"/>
    </row>
    <row r="159" spans="1:7" ht="30.75" customHeight="1">
      <c r="A159" s="209"/>
      <c r="B159" s="133" t="s">
        <v>253</v>
      </c>
      <c r="C159" s="148"/>
      <c r="D159" s="97"/>
      <c r="E159" s="97"/>
      <c r="F159" s="97"/>
      <c r="G159" s="185"/>
    </row>
    <row r="160" spans="1:7" ht="13.5" customHeight="1">
      <c r="A160" s="209"/>
      <c r="B160" s="36" t="s">
        <v>254</v>
      </c>
      <c r="C160" s="149" t="s">
        <v>43</v>
      </c>
      <c r="D160" s="97">
        <f>E160+F160+G160</f>
        <v>183</v>
      </c>
      <c r="E160" s="149">
        <f>152+31</f>
        <v>183</v>
      </c>
      <c r="F160" s="149"/>
      <c r="G160" s="149"/>
    </row>
    <row r="161" spans="1:8" s="41" customFormat="1" ht="12.75" customHeight="1">
      <c r="A161" s="209"/>
      <c r="B161" s="36" t="s">
        <v>255</v>
      </c>
      <c r="C161" s="148" t="s">
        <v>43</v>
      </c>
      <c r="D161" s="97">
        <f>E161+F161+G161</f>
        <v>54</v>
      </c>
      <c r="E161" s="148">
        <f>28+26</f>
        <v>54</v>
      </c>
      <c r="F161" s="148"/>
      <c r="G161" s="148"/>
      <c r="H161" s="149"/>
    </row>
    <row r="162" spans="1:8" s="41" customFormat="1" ht="25.5">
      <c r="A162" s="205"/>
      <c r="B162" s="48" t="s">
        <v>298</v>
      </c>
      <c r="C162" s="148" t="s">
        <v>43</v>
      </c>
      <c r="D162" s="97">
        <f>E162+F162+G162</f>
        <v>334</v>
      </c>
      <c r="E162" s="148">
        <v>334</v>
      </c>
      <c r="F162" s="148"/>
      <c r="G162" s="148"/>
      <c r="H162" s="97">
        <v>150108</v>
      </c>
    </row>
    <row r="163" spans="1:8" s="41" customFormat="1" ht="38.25">
      <c r="A163" s="139" t="s">
        <v>327</v>
      </c>
      <c r="B163" s="48" t="s">
        <v>331</v>
      </c>
      <c r="C163" s="148" t="s">
        <v>47</v>
      </c>
      <c r="D163" s="97">
        <v>1626</v>
      </c>
      <c r="E163" s="148">
        <v>542</v>
      </c>
      <c r="F163" s="148">
        <v>542</v>
      </c>
      <c r="G163" s="148">
        <v>542</v>
      </c>
      <c r="H163" s="97"/>
    </row>
    <row r="164" spans="1:8" s="41" customFormat="1" ht="12.75">
      <c r="A164" s="201" t="s">
        <v>276</v>
      </c>
      <c r="B164" s="201"/>
      <c r="C164" s="201"/>
      <c r="D164" s="201"/>
      <c r="E164" s="201"/>
      <c r="F164" s="201"/>
      <c r="G164" s="201"/>
      <c r="H164" s="149"/>
    </row>
    <row r="165" spans="1:8" s="41" customFormat="1" ht="12.75" customHeight="1">
      <c r="A165" s="204" t="s">
        <v>60</v>
      </c>
      <c r="B165" s="36"/>
      <c r="C165" s="149"/>
      <c r="D165" s="149"/>
      <c r="E165" s="149"/>
      <c r="F165" s="149"/>
      <c r="G165" s="149"/>
      <c r="H165" s="149"/>
    </row>
    <row r="166" spans="1:8" s="41" customFormat="1" ht="12.75">
      <c r="A166" s="209"/>
      <c r="B166" s="36" t="s">
        <v>31</v>
      </c>
      <c r="C166" s="148" t="s">
        <v>21</v>
      </c>
      <c r="D166" s="37">
        <f>E166+F166+G166</f>
        <v>292955.27999999997</v>
      </c>
      <c r="E166" s="37">
        <v>97651.76</v>
      </c>
      <c r="F166" s="37">
        <v>97651.76</v>
      </c>
      <c r="G166" s="37">
        <v>97651.76</v>
      </c>
      <c r="H166" s="149"/>
    </row>
    <row r="167" spans="1:8" s="41" customFormat="1" ht="12.75" customHeight="1">
      <c r="A167" s="209"/>
      <c r="B167" s="260" t="s">
        <v>139</v>
      </c>
      <c r="C167" s="148" t="s">
        <v>45</v>
      </c>
      <c r="D167" s="38">
        <f>E167+F167+G167</f>
        <v>24.9105</v>
      </c>
      <c r="E167" s="38">
        <v>8.3035</v>
      </c>
      <c r="F167" s="38">
        <v>8.3035</v>
      </c>
      <c r="G167" s="38">
        <v>8.3035</v>
      </c>
      <c r="H167" s="149"/>
    </row>
    <row r="168" spans="1:8" s="41" customFormat="1" ht="42" customHeight="1">
      <c r="A168" s="205"/>
      <c r="B168" s="261"/>
      <c r="C168" s="148" t="s">
        <v>43</v>
      </c>
      <c r="D168" s="93">
        <f>E168+F168+G168</f>
        <v>639</v>
      </c>
      <c r="E168" s="93">
        <f>39+174</f>
        <v>213</v>
      </c>
      <c r="F168" s="93">
        <f>39+174</f>
        <v>213</v>
      </c>
      <c r="G168" s="93">
        <f>39+174</f>
        <v>213</v>
      </c>
      <c r="H168" s="149"/>
    </row>
    <row r="169" spans="1:8" s="41" customFormat="1" ht="12.75" customHeight="1">
      <c r="A169" s="204" t="s">
        <v>70</v>
      </c>
      <c r="B169" s="36"/>
      <c r="C169" s="148"/>
      <c r="D169" s="93"/>
      <c r="E169" s="93"/>
      <c r="F169" s="93"/>
      <c r="G169" s="93"/>
      <c r="H169" s="149"/>
    </row>
    <row r="170" spans="1:8" s="41" customFormat="1" ht="30" customHeight="1">
      <c r="A170" s="209"/>
      <c r="B170" s="36" t="s">
        <v>23</v>
      </c>
      <c r="C170" s="148" t="s">
        <v>21</v>
      </c>
      <c r="D170" s="37">
        <f>E170+F170+G170</f>
        <v>1511.19</v>
      </c>
      <c r="E170" s="37">
        <f>251.23+252.5</f>
        <v>503.73</v>
      </c>
      <c r="F170" s="37">
        <f>251.23+252.5</f>
        <v>503.73</v>
      </c>
      <c r="G170" s="37">
        <f>251.23+252.5</f>
        <v>503.73</v>
      </c>
      <c r="H170" s="149"/>
    </row>
    <row r="171" spans="1:8" s="41" customFormat="1" ht="22.5" customHeight="1">
      <c r="A171" s="209"/>
      <c r="B171" s="36" t="s">
        <v>140</v>
      </c>
      <c r="C171" s="148" t="s">
        <v>21</v>
      </c>
      <c r="D171" s="37">
        <f aca="true" t="shared" si="3" ref="D171:D181">E171+F171+G171</f>
        <v>422.04</v>
      </c>
      <c r="E171" s="37">
        <v>140.68</v>
      </c>
      <c r="F171" s="37">
        <v>140.68</v>
      </c>
      <c r="G171" s="37">
        <v>140.68</v>
      </c>
      <c r="H171" s="149"/>
    </row>
    <row r="172" spans="1:8" s="41" customFormat="1" ht="12.75">
      <c r="A172" s="209"/>
      <c r="B172" s="36" t="s">
        <v>184</v>
      </c>
      <c r="C172" s="148" t="s">
        <v>43</v>
      </c>
      <c r="D172" s="93">
        <f t="shared" si="3"/>
        <v>114</v>
      </c>
      <c r="E172" s="93">
        <f>38</f>
        <v>38</v>
      </c>
      <c r="F172" s="93">
        <v>38</v>
      </c>
      <c r="G172" s="93">
        <v>38</v>
      </c>
      <c r="H172" s="149"/>
    </row>
    <row r="173" spans="1:8" s="41" customFormat="1" ht="25.5">
      <c r="A173" s="209"/>
      <c r="B173" s="36" t="s">
        <v>299</v>
      </c>
      <c r="C173" s="148" t="s">
        <v>43</v>
      </c>
      <c r="D173" s="93">
        <v>35</v>
      </c>
      <c r="E173" s="93">
        <v>35</v>
      </c>
      <c r="F173" s="93"/>
      <c r="G173" s="93"/>
      <c r="H173" s="37">
        <v>545.35</v>
      </c>
    </row>
    <row r="174" spans="1:8" s="41" customFormat="1" ht="12.75">
      <c r="A174" s="209"/>
      <c r="B174" s="36" t="s">
        <v>372</v>
      </c>
      <c r="C174" s="148" t="s">
        <v>21</v>
      </c>
      <c r="D174" s="93">
        <f t="shared" si="3"/>
        <v>1133.8799999999999</v>
      </c>
      <c r="E174" s="37">
        <v>377.96</v>
      </c>
      <c r="F174" s="37">
        <v>377.96</v>
      </c>
      <c r="G174" s="37">
        <v>377.96</v>
      </c>
      <c r="H174" s="37">
        <v>190</v>
      </c>
    </row>
    <row r="175" spans="1:8" s="41" customFormat="1" ht="12.75">
      <c r="A175" s="209"/>
      <c r="B175" s="36" t="s">
        <v>141</v>
      </c>
      <c r="C175" s="148" t="s">
        <v>21</v>
      </c>
      <c r="D175" s="37">
        <f t="shared" si="3"/>
        <v>1075.829</v>
      </c>
      <c r="E175" s="37">
        <f>59.02+898.769</f>
        <v>957.789</v>
      </c>
      <c r="F175" s="37">
        <v>59.02</v>
      </c>
      <c r="G175" s="37">
        <v>59.02</v>
      </c>
      <c r="H175" s="93">
        <v>38</v>
      </c>
    </row>
    <row r="176" spans="1:8" s="41" customFormat="1" ht="12.75">
      <c r="A176" s="209"/>
      <c r="B176" s="36" t="s">
        <v>142</v>
      </c>
      <c r="C176" s="148" t="s">
        <v>21</v>
      </c>
      <c r="D176" s="37">
        <f t="shared" si="3"/>
        <v>754.9739999999999</v>
      </c>
      <c r="E176" s="38">
        <v>251.658</v>
      </c>
      <c r="F176" s="38">
        <v>251.658</v>
      </c>
      <c r="G176" s="38">
        <v>251.658</v>
      </c>
      <c r="H176" s="93"/>
    </row>
    <row r="177" spans="1:8" s="41" customFormat="1" ht="12.75">
      <c r="A177" s="209"/>
      <c r="B177" s="36" t="s">
        <v>136</v>
      </c>
      <c r="C177" s="148" t="s">
        <v>21</v>
      </c>
      <c r="D177" s="38">
        <f t="shared" si="3"/>
        <v>182.22</v>
      </c>
      <c r="E177" s="38">
        <v>60.74</v>
      </c>
      <c r="F177" s="38">
        <v>60.74</v>
      </c>
      <c r="G177" s="38">
        <v>60.74</v>
      </c>
      <c r="H177" s="93"/>
    </row>
    <row r="178" spans="1:8" s="41" customFormat="1" ht="12.75">
      <c r="A178" s="209"/>
      <c r="B178" s="36" t="s">
        <v>180</v>
      </c>
      <c r="C178" s="148" t="s">
        <v>43</v>
      </c>
      <c r="D178" s="93">
        <f t="shared" si="3"/>
        <v>12</v>
      </c>
      <c r="E178" s="93">
        <v>8</v>
      </c>
      <c r="F178" s="93">
        <v>2</v>
      </c>
      <c r="G178" s="93">
        <v>2</v>
      </c>
      <c r="H178" s="37">
        <v>59.02</v>
      </c>
    </row>
    <row r="179" spans="1:8" s="41" customFormat="1" ht="12.75">
      <c r="A179" s="209"/>
      <c r="B179" s="36" t="s">
        <v>183</v>
      </c>
      <c r="C179" s="148" t="s">
        <v>43</v>
      </c>
      <c r="D179" s="93">
        <f t="shared" si="3"/>
        <v>3</v>
      </c>
      <c r="E179" s="93">
        <v>1</v>
      </c>
      <c r="F179" s="93">
        <v>1</v>
      </c>
      <c r="G179" s="93">
        <v>1</v>
      </c>
      <c r="H179" s="37">
        <v>420.29</v>
      </c>
    </row>
    <row r="180" spans="1:8" s="41" customFormat="1" ht="37.5" customHeight="1">
      <c r="A180" s="209"/>
      <c r="B180" s="36" t="s">
        <v>354</v>
      </c>
      <c r="C180" s="148" t="s">
        <v>43</v>
      </c>
      <c r="D180" s="93">
        <v>1</v>
      </c>
      <c r="E180" s="93">
        <v>1</v>
      </c>
      <c r="F180" s="93"/>
      <c r="G180" s="93"/>
      <c r="H180" s="37"/>
    </row>
    <row r="181" spans="1:8" s="41" customFormat="1" ht="12.75">
      <c r="A181" s="205"/>
      <c r="B181" s="36" t="s">
        <v>143</v>
      </c>
      <c r="C181" s="148" t="s">
        <v>43</v>
      </c>
      <c r="D181" s="101">
        <f t="shared" si="3"/>
        <v>3</v>
      </c>
      <c r="E181" s="93">
        <v>1</v>
      </c>
      <c r="F181" s="93">
        <v>1</v>
      </c>
      <c r="G181" s="93">
        <v>1</v>
      </c>
      <c r="H181" s="38">
        <v>175.185</v>
      </c>
    </row>
    <row r="182" spans="1:8" s="102" customFormat="1" ht="12.75" customHeight="1">
      <c r="A182" s="204" t="s">
        <v>77</v>
      </c>
      <c r="B182" s="133"/>
      <c r="C182" s="149"/>
      <c r="D182" s="149"/>
      <c r="E182" s="149"/>
      <c r="F182" s="149"/>
      <c r="G182" s="149"/>
      <c r="H182" s="101"/>
    </row>
    <row r="183" spans="1:8" s="102" customFormat="1" ht="12.75">
      <c r="A183" s="209"/>
      <c r="B183" s="36" t="s">
        <v>28</v>
      </c>
      <c r="C183" s="148" t="s">
        <v>48</v>
      </c>
      <c r="D183" s="148">
        <f>E183+F183+G183</f>
        <v>144</v>
      </c>
      <c r="E183" s="148">
        <v>48</v>
      </c>
      <c r="F183" s="148">
        <v>48</v>
      </c>
      <c r="G183" s="148">
        <v>48</v>
      </c>
      <c r="H183" s="101"/>
    </row>
    <row r="184" spans="1:8" s="102" customFormat="1" ht="12.75">
      <c r="A184" s="209"/>
      <c r="B184" s="36" t="s">
        <v>101</v>
      </c>
      <c r="C184" s="148" t="s">
        <v>49</v>
      </c>
      <c r="D184" s="148">
        <f>E184+F184+G184</f>
        <v>651.042</v>
      </c>
      <c r="E184" s="148">
        <v>217.014</v>
      </c>
      <c r="F184" s="148">
        <v>217.014</v>
      </c>
      <c r="G184" s="148">
        <v>217.014</v>
      </c>
      <c r="H184" s="101"/>
    </row>
    <row r="185" spans="1:8" s="41" customFormat="1" ht="25.5">
      <c r="A185" s="205"/>
      <c r="B185" s="36" t="s">
        <v>102</v>
      </c>
      <c r="C185" s="148" t="s">
        <v>21</v>
      </c>
      <c r="D185" s="148">
        <f>E185+F185+G185</f>
        <v>233250</v>
      </c>
      <c r="E185" s="148">
        <v>77750</v>
      </c>
      <c r="F185" s="148">
        <v>77750</v>
      </c>
      <c r="G185" s="148">
        <v>77750</v>
      </c>
      <c r="H185" s="149"/>
    </row>
    <row r="186" spans="1:8" s="41" customFormat="1" ht="12.75">
      <c r="A186" s="138"/>
      <c r="B186" s="144" t="s">
        <v>353</v>
      </c>
      <c r="C186" s="148" t="s">
        <v>21</v>
      </c>
      <c r="D186" s="148">
        <f>E186+F186+G186</f>
        <v>97200</v>
      </c>
      <c r="E186" s="148">
        <f>30000+2400</f>
        <v>32400</v>
      </c>
      <c r="F186" s="148">
        <f>30000+2400</f>
        <v>32400</v>
      </c>
      <c r="G186" s="148">
        <f>30000+2400</f>
        <v>32400</v>
      </c>
      <c r="H186" s="149"/>
    </row>
    <row r="187" spans="1:8" s="41" customFormat="1" ht="12.75" customHeight="1">
      <c r="A187" s="206" t="s">
        <v>144</v>
      </c>
      <c r="B187" s="36"/>
      <c r="C187" s="148"/>
      <c r="D187" s="148"/>
      <c r="E187" s="148"/>
      <c r="F187" s="148"/>
      <c r="G187" s="148"/>
      <c r="H187" s="149"/>
    </row>
    <row r="188" spans="1:8" s="41" customFormat="1" ht="12.75">
      <c r="A188" s="207"/>
      <c r="B188" s="66" t="s">
        <v>145</v>
      </c>
      <c r="C188" s="148" t="s">
        <v>43</v>
      </c>
      <c r="D188" s="148">
        <v>4</v>
      </c>
      <c r="E188" s="148">
        <v>3</v>
      </c>
      <c r="F188" s="148">
        <v>8</v>
      </c>
      <c r="G188" s="148">
        <v>8</v>
      </c>
      <c r="H188" s="149"/>
    </row>
    <row r="189" spans="1:8" s="41" customFormat="1" ht="12.75">
      <c r="A189" s="224" t="s">
        <v>339</v>
      </c>
      <c r="B189" s="68"/>
      <c r="C189" s="148"/>
      <c r="D189" s="148"/>
      <c r="E189" s="148"/>
      <c r="F189" s="148"/>
      <c r="G189" s="148"/>
      <c r="H189" s="149"/>
    </row>
    <row r="190" spans="1:8" s="41" customFormat="1" ht="51" customHeight="1">
      <c r="A190" s="225"/>
      <c r="B190" s="103" t="s">
        <v>347</v>
      </c>
      <c r="C190" s="148" t="s">
        <v>316</v>
      </c>
      <c r="D190" s="148">
        <f>SUM(E190:G190)</f>
        <v>1251</v>
      </c>
      <c r="E190" s="148">
        <f>204+1047</f>
        <v>1251</v>
      </c>
      <c r="F190" s="148">
        <v>0</v>
      </c>
      <c r="G190" s="148">
        <v>0</v>
      </c>
      <c r="H190" s="149"/>
    </row>
    <row r="191" spans="1:8" s="41" customFormat="1" ht="12.75" customHeight="1">
      <c r="A191" s="204" t="s">
        <v>75</v>
      </c>
      <c r="B191" s="36"/>
      <c r="C191" s="148"/>
      <c r="D191" s="148"/>
      <c r="E191" s="148"/>
      <c r="F191" s="148"/>
      <c r="G191" s="148"/>
      <c r="H191" s="149"/>
    </row>
    <row r="192" spans="1:8" s="41" customFormat="1" ht="12.75">
      <c r="A192" s="209"/>
      <c r="B192" s="36" t="s">
        <v>181</v>
      </c>
      <c r="C192" s="148" t="s">
        <v>43</v>
      </c>
      <c r="D192" s="148">
        <f>E192</f>
        <v>10</v>
      </c>
      <c r="E192" s="93">
        <v>10</v>
      </c>
      <c r="F192" s="148">
        <v>10</v>
      </c>
      <c r="G192" s="148">
        <v>10</v>
      </c>
      <c r="H192" s="149"/>
    </row>
    <row r="193" spans="1:8" s="41" customFormat="1" ht="12.75">
      <c r="A193" s="209"/>
      <c r="B193" s="64" t="s">
        <v>182</v>
      </c>
      <c r="C193" s="104" t="s">
        <v>43</v>
      </c>
      <c r="D193" s="101">
        <f>E193</f>
        <v>10</v>
      </c>
      <c r="E193" s="101">
        <v>10</v>
      </c>
      <c r="F193" s="104">
        <v>10</v>
      </c>
      <c r="G193" s="104">
        <v>10</v>
      </c>
      <c r="H193" s="149"/>
    </row>
    <row r="194" spans="1:8" s="41" customFormat="1" ht="12.75">
      <c r="A194" s="209"/>
      <c r="B194" s="36" t="s">
        <v>356</v>
      </c>
      <c r="C194" s="148" t="s">
        <v>43</v>
      </c>
      <c r="D194" s="93">
        <v>1</v>
      </c>
      <c r="E194" s="93">
        <v>1</v>
      </c>
      <c r="F194" s="104"/>
      <c r="G194" s="104"/>
      <c r="H194" s="149"/>
    </row>
    <row r="195" spans="1:8" s="41" customFormat="1" ht="26.25" customHeight="1">
      <c r="A195" s="209"/>
      <c r="B195" s="36" t="s">
        <v>253</v>
      </c>
      <c r="C195" s="104"/>
      <c r="D195" s="101"/>
      <c r="E195" s="101"/>
      <c r="F195" s="104"/>
      <c r="G195" s="104"/>
      <c r="H195" s="149"/>
    </row>
    <row r="196" spans="1:8" s="102" customFormat="1" ht="25.5">
      <c r="A196" s="209"/>
      <c r="B196" s="48" t="s">
        <v>298</v>
      </c>
      <c r="C196" s="148" t="s">
        <v>43</v>
      </c>
      <c r="D196" s="97">
        <f>E196+F196+G196</f>
        <v>284</v>
      </c>
      <c r="E196" s="148">
        <f>144+140</f>
        <v>284</v>
      </c>
      <c r="F196" s="148"/>
      <c r="G196" s="148"/>
      <c r="H196" s="105"/>
    </row>
    <row r="197" spans="1:8" s="102" customFormat="1" ht="12.75" customHeight="1" hidden="1">
      <c r="A197" s="209"/>
      <c r="B197" s="36" t="s">
        <v>120</v>
      </c>
      <c r="C197" s="148" t="s">
        <v>43</v>
      </c>
      <c r="D197" s="97">
        <f>E197+F197+G197</f>
        <v>180</v>
      </c>
      <c r="E197" s="93">
        <f>E198</f>
        <v>60</v>
      </c>
      <c r="F197" s="93">
        <v>60</v>
      </c>
      <c r="G197" s="93">
        <v>60</v>
      </c>
      <c r="H197" s="105"/>
    </row>
    <row r="198" spans="1:8" s="102" customFormat="1" ht="12.75" customHeight="1" hidden="1">
      <c r="A198" s="209"/>
      <c r="B198" s="64" t="s">
        <v>157</v>
      </c>
      <c r="C198" s="104" t="s">
        <v>43</v>
      </c>
      <c r="D198" s="97">
        <f>E198+F198+G198</f>
        <v>180</v>
      </c>
      <c r="E198" s="101">
        <f>13+47</f>
        <v>60</v>
      </c>
      <c r="F198" s="101">
        <v>60</v>
      </c>
      <c r="G198" s="101">
        <v>60</v>
      </c>
      <c r="H198" s="105"/>
    </row>
    <row r="199" spans="1:8" s="102" customFormat="1" ht="12.75" customHeight="1">
      <c r="A199" s="209"/>
      <c r="B199" s="36" t="s">
        <v>344</v>
      </c>
      <c r="C199" s="148" t="s">
        <v>43</v>
      </c>
      <c r="D199" s="97">
        <f>E199+F199+G199</f>
        <v>484</v>
      </c>
      <c r="E199" s="93">
        <f>364</f>
        <v>364</v>
      </c>
      <c r="F199" s="93">
        <v>60</v>
      </c>
      <c r="G199" s="93">
        <v>60</v>
      </c>
      <c r="H199" s="105"/>
    </row>
    <row r="200" spans="1:8" s="102" customFormat="1" ht="12.75" customHeight="1">
      <c r="A200" s="205"/>
      <c r="B200" s="64" t="s">
        <v>157</v>
      </c>
      <c r="C200" s="104" t="s">
        <v>43</v>
      </c>
      <c r="D200" s="101">
        <v>180</v>
      </c>
      <c r="E200" s="101">
        <v>60</v>
      </c>
      <c r="F200" s="101">
        <v>60</v>
      </c>
      <c r="G200" s="101">
        <v>60</v>
      </c>
      <c r="H200" s="105"/>
    </row>
    <row r="201" spans="1:8" s="41" customFormat="1" ht="12.75">
      <c r="A201" s="132" t="s">
        <v>198</v>
      </c>
      <c r="B201" s="68" t="s">
        <v>199</v>
      </c>
      <c r="C201" s="149" t="s">
        <v>43</v>
      </c>
      <c r="D201" s="106">
        <f>E201</f>
        <v>1</v>
      </c>
      <c r="E201" s="106">
        <v>1</v>
      </c>
      <c r="F201" s="107"/>
      <c r="G201" s="40"/>
      <c r="H201" s="149"/>
    </row>
    <row r="202" spans="1:8" s="41" customFormat="1" ht="12.75">
      <c r="A202" s="204" t="s">
        <v>203</v>
      </c>
      <c r="B202" s="36" t="s">
        <v>123</v>
      </c>
      <c r="C202" s="149" t="s">
        <v>178</v>
      </c>
      <c r="D202" s="43">
        <f>E202</f>
        <v>38.45</v>
      </c>
      <c r="E202" s="43">
        <v>38.45</v>
      </c>
      <c r="F202" s="43">
        <v>38.45</v>
      </c>
      <c r="G202" s="43">
        <v>38.45</v>
      </c>
      <c r="H202" s="149"/>
    </row>
    <row r="203" spans="1:8" s="41" customFormat="1" ht="12.75">
      <c r="A203" s="205"/>
      <c r="B203" s="44" t="s">
        <v>29</v>
      </c>
      <c r="C203" s="149" t="s">
        <v>49</v>
      </c>
      <c r="D203" s="106">
        <f>E203</f>
        <v>4224</v>
      </c>
      <c r="E203" s="106">
        <f>528*8</f>
        <v>4224</v>
      </c>
      <c r="F203" s="106">
        <f>528*8</f>
        <v>4224</v>
      </c>
      <c r="G203" s="106">
        <f>528*8</f>
        <v>4224</v>
      </c>
      <c r="H203" s="149"/>
    </row>
    <row r="204" spans="1:8" s="4" customFormat="1" ht="49.5" customHeight="1">
      <c r="A204" s="132" t="s">
        <v>204</v>
      </c>
      <c r="B204" s="44" t="s">
        <v>202</v>
      </c>
      <c r="C204" s="149" t="s">
        <v>21</v>
      </c>
      <c r="D204" s="43">
        <f>E204</f>
        <v>133.767</v>
      </c>
      <c r="E204" s="43">
        <v>133.767</v>
      </c>
      <c r="F204" s="43">
        <v>38.45</v>
      </c>
      <c r="G204" s="43">
        <v>38.45</v>
      </c>
      <c r="H204" s="40"/>
    </row>
    <row r="205" spans="1:9" s="4" customFormat="1" ht="31.5" customHeight="1">
      <c r="A205" s="132" t="s">
        <v>205</v>
      </c>
      <c r="B205" s="44" t="s">
        <v>206</v>
      </c>
      <c r="C205" s="149" t="s">
        <v>21</v>
      </c>
      <c r="D205" s="106">
        <f>E205</f>
        <v>423942</v>
      </c>
      <c r="E205" s="106">
        <f>359287+64655</f>
        <v>423942</v>
      </c>
      <c r="F205" s="106">
        <f>359287+64655</f>
        <v>423942</v>
      </c>
      <c r="G205" s="106">
        <f>359287+64655</f>
        <v>423942</v>
      </c>
      <c r="H205" s="43"/>
      <c r="I205" s="69"/>
    </row>
    <row r="206" spans="1:8" s="4" customFormat="1" ht="15.75" customHeight="1">
      <c r="A206" s="201" t="s">
        <v>278</v>
      </c>
      <c r="B206" s="201"/>
      <c r="C206" s="201"/>
      <c r="D206" s="201"/>
      <c r="E206" s="201"/>
      <c r="F206" s="201"/>
      <c r="G206" s="201"/>
      <c r="H206" s="43"/>
    </row>
    <row r="207" spans="1:8" s="4" customFormat="1" ht="42.75" customHeight="1">
      <c r="A207" s="204" t="s">
        <v>176</v>
      </c>
      <c r="B207" s="36"/>
      <c r="C207" s="149"/>
      <c r="D207" s="149"/>
      <c r="E207" s="149"/>
      <c r="F207" s="149"/>
      <c r="G207" s="149"/>
      <c r="H207" s="43"/>
    </row>
    <row r="208" spans="1:8" s="4" customFormat="1" ht="44.25" customHeight="1">
      <c r="A208" s="209"/>
      <c r="B208" s="36" t="s">
        <v>31</v>
      </c>
      <c r="C208" s="148" t="s">
        <v>47</v>
      </c>
      <c r="D208" s="93">
        <f>E208+F208+G208</f>
        <v>103917</v>
      </c>
      <c r="E208" s="93">
        <v>34639</v>
      </c>
      <c r="F208" s="93">
        <v>34639</v>
      </c>
      <c r="G208" s="93">
        <v>34639</v>
      </c>
      <c r="H208" s="43"/>
    </row>
    <row r="209" spans="1:8" s="41" customFormat="1" ht="12.75">
      <c r="A209" s="138"/>
      <c r="B209" s="36"/>
      <c r="C209" s="148" t="s">
        <v>92</v>
      </c>
      <c r="D209" s="93">
        <f>E209+F209+G209</f>
        <v>76140</v>
      </c>
      <c r="E209" s="93">
        <v>25380</v>
      </c>
      <c r="F209" s="93">
        <v>25380</v>
      </c>
      <c r="G209" s="93">
        <v>25380</v>
      </c>
      <c r="H209" s="149"/>
    </row>
    <row r="210" spans="1:8" s="41" customFormat="1" ht="12.75" customHeight="1">
      <c r="A210" s="204" t="s">
        <v>104</v>
      </c>
      <c r="B210" s="36"/>
      <c r="C210" s="149"/>
      <c r="D210" s="97"/>
      <c r="E210" s="149"/>
      <c r="F210" s="149"/>
      <c r="G210" s="149"/>
      <c r="H210" s="149"/>
    </row>
    <row r="211" spans="1:8" s="41" customFormat="1" ht="12.75">
      <c r="A211" s="205"/>
      <c r="B211" s="36" t="s">
        <v>106</v>
      </c>
      <c r="C211" s="149" t="s">
        <v>50</v>
      </c>
      <c r="D211" s="98">
        <f>E211+F211+G211</f>
        <v>52290</v>
      </c>
      <c r="E211" s="149">
        <v>17430</v>
      </c>
      <c r="F211" s="149">
        <v>17430</v>
      </c>
      <c r="G211" s="149">
        <v>17430</v>
      </c>
      <c r="H211" s="93">
        <v>53866</v>
      </c>
    </row>
    <row r="212" spans="1:8" s="41" customFormat="1" ht="12.75">
      <c r="A212" s="208" t="s">
        <v>61</v>
      </c>
      <c r="B212" s="36"/>
      <c r="C212" s="149"/>
      <c r="D212" s="149"/>
      <c r="E212" s="149"/>
      <c r="F212" s="149"/>
      <c r="G212" s="149"/>
      <c r="H212" s="93"/>
    </row>
    <row r="213" spans="1:8" s="41" customFormat="1" ht="12.75">
      <c r="A213" s="208"/>
      <c r="B213" s="36" t="s">
        <v>100</v>
      </c>
      <c r="C213" s="148" t="s">
        <v>44</v>
      </c>
      <c r="D213" s="93">
        <f>SUM(E213:G213)</f>
        <v>11892</v>
      </c>
      <c r="E213" s="93">
        <v>3964</v>
      </c>
      <c r="F213" s="93">
        <v>3964</v>
      </c>
      <c r="G213" s="93">
        <v>3964</v>
      </c>
      <c r="H213" s="106">
        <f>SUM(E213:G213)</f>
        <v>11892</v>
      </c>
    </row>
    <row r="214" spans="1:8" s="41" customFormat="1" ht="12.75" customHeight="1">
      <c r="A214" s="224" t="s">
        <v>70</v>
      </c>
      <c r="B214" s="36"/>
      <c r="C214" s="149"/>
      <c r="D214" s="149"/>
      <c r="E214" s="149"/>
      <c r="F214" s="149"/>
      <c r="G214" s="149"/>
      <c r="H214" s="149"/>
    </row>
    <row r="215" spans="1:8" s="41" customFormat="1" ht="12.75">
      <c r="A215" s="235"/>
      <c r="B215" s="36" t="s">
        <v>169</v>
      </c>
      <c r="C215" s="148" t="s">
        <v>21</v>
      </c>
      <c r="D215" s="148">
        <f>E215+F215+G215</f>
        <v>551.4000000000001</v>
      </c>
      <c r="E215" s="148">
        <v>183.8</v>
      </c>
      <c r="F215" s="148">
        <v>183.8</v>
      </c>
      <c r="G215" s="148">
        <v>183.8</v>
      </c>
      <c r="H215" s="149"/>
    </row>
    <row r="216" spans="1:8" s="41" customFormat="1" ht="25.5">
      <c r="A216" s="235"/>
      <c r="B216" s="36" t="s">
        <v>135</v>
      </c>
      <c r="C216" s="148" t="s">
        <v>21</v>
      </c>
      <c r="D216" s="148">
        <f aca="true" t="shared" si="4" ref="D216:D228">E216+F216+G216</f>
        <v>673.6</v>
      </c>
      <c r="E216" s="148">
        <f>184+121.6</f>
        <v>305.6</v>
      </c>
      <c r="F216" s="148">
        <v>184</v>
      </c>
      <c r="G216" s="148">
        <v>184</v>
      </c>
      <c r="H216" s="149"/>
    </row>
    <row r="217" spans="1:8" s="41" customFormat="1" ht="12.75">
      <c r="A217" s="235"/>
      <c r="B217" s="36" t="s">
        <v>162</v>
      </c>
      <c r="C217" s="148" t="s">
        <v>43</v>
      </c>
      <c r="D217" s="148">
        <f t="shared" si="4"/>
        <v>138</v>
      </c>
      <c r="E217" s="148">
        <v>46</v>
      </c>
      <c r="F217" s="148">
        <v>46</v>
      </c>
      <c r="G217" s="148">
        <v>46</v>
      </c>
      <c r="H217" s="148">
        <v>476</v>
      </c>
    </row>
    <row r="218" spans="1:8" s="41" customFormat="1" ht="12.75" customHeight="1" hidden="1">
      <c r="A218" s="235"/>
      <c r="B218" s="36" t="s">
        <v>133</v>
      </c>
      <c r="C218" s="148" t="s">
        <v>21</v>
      </c>
      <c r="D218" s="148">
        <f t="shared" si="4"/>
        <v>12655.5</v>
      </c>
      <c r="E218" s="148">
        <v>4218.5</v>
      </c>
      <c r="F218" s="148">
        <v>4218.5</v>
      </c>
      <c r="G218" s="148">
        <v>4218.5</v>
      </c>
      <c r="H218" s="148">
        <v>73.104</v>
      </c>
    </row>
    <row r="219" spans="1:8" s="41" customFormat="1" ht="36.75" customHeight="1">
      <c r="A219" s="235"/>
      <c r="B219" s="108" t="s">
        <v>133</v>
      </c>
      <c r="C219" s="148" t="s">
        <v>21</v>
      </c>
      <c r="D219" s="176">
        <f>E219+F219+G219</f>
        <v>12655.5</v>
      </c>
      <c r="E219" s="176">
        <v>4218.5</v>
      </c>
      <c r="F219" s="176">
        <v>4218.5</v>
      </c>
      <c r="G219" s="176">
        <v>4218.5</v>
      </c>
      <c r="H219" s="148"/>
    </row>
    <row r="220" spans="1:8" s="41" customFormat="1" ht="25.5">
      <c r="A220" s="235"/>
      <c r="B220" s="36" t="s">
        <v>171</v>
      </c>
      <c r="C220" s="148" t="s">
        <v>21</v>
      </c>
      <c r="D220" s="148">
        <f t="shared" si="4"/>
        <v>1939.1999999999998</v>
      </c>
      <c r="E220" s="148">
        <v>646.4</v>
      </c>
      <c r="F220" s="148">
        <v>646.4</v>
      </c>
      <c r="G220" s="148">
        <v>646.4</v>
      </c>
      <c r="H220" s="148">
        <v>271.395</v>
      </c>
    </row>
    <row r="221" spans="1:8" s="41" customFormat="1" ht="12.75">
      <c r="A221" s="235"/>
      <c r="B221" s="36" t="s">
        <v>95</v>
      </c>
      <c r="C221" s="148" t="s">
        <v>177</v>
      </c>
      <c r="D221" s="148">
        <f>SUM(E221:G221)</f>
        <v>36</v>
      </c>
      <c r="E221" s="148">
        <v>12</v>
      </c>
      <c r="F221" s="148">
        <v>12</v>
      </c>
      <c r="G221" s="148">
        <v>12</v>
      </c>
      <c r="H221" s="148"/>
    </row>
    <row r="222" spans="1:8" s="41" customFormat="1" ht="12.75">
      <c r="A222" s="235"/>
      <c r="B222" s="36" t="s">
        <v>105</v>
      </c>
      <c r="C222" s="148" t="s">
        <v>177</v>
      </c>
      <c r="D222" s="148">
        <f t="shared" si="4"/>
        <v>36</v>
      </c>
      <c r="E222" s="148">
        <v>12</v>
      </c>
      <c r="F222" s="148">
        <v>12</v>
      </c>
      <c r="G222" s="148">
        <v>12</v>
      </c>
      <c r="H222" s="148"/>
    </row>
    <row r="223" spans="1:8" s="41" customFormat="1" ht="25.5">
      <c r="A223" s="235"/>
      <c r="B223" s="36" t="s">
        <v>172</v>
      </c>
      <c r="C223" s="148" t="s">
        <v>43</v>
      </c>
      <c r="D223" s="148">
        <f t="shared" si="4"/>
        <v>93</v>
      </c>
      <c r="E223" s="148">
        <v>31</v>
      </c>
      <c r="F223" s="148">
        <v>31</v>
      </c>
      <c r="G223" s="148">
        <v>31</v>
      </c>
      <c r="H223" s="148"/>
    </row>
    <row r="224" spans="1:8" s="41" customFormat="1" ht="12.75">
      <c r="A224" s="235"/>
      <c r="B224" s="36" t="s">
        <v>173</v>
      </c>
      <c r="C224" s="148" t="s">
        <v>43</v>
      </c>
      <c r="D224" s="148">
        <f t="shared" si="4"/>
        <v>75</v>
      </c>
      <c r="E224" s="148">
        <v>25</v>
      </c>
      <c r="F224" s="148">
        <v>25</v>
      </c>
      <c r="G224" s="148">
        <v>25</v>
      </c>
      <c r="H224" s="148"/>
    </row>
    <row r="225" spans="1:8" s="41" customFormat="1" ht="12.75">
      <c r="A225" s="235"/>
      <c r="B225" s="36" t="s">
        <v>130</v>
      </c>
      <c r="C225" s="148" t="s">
        <v>21</v>
      </c>
      <c r="D225" s="148">
        <f t="shared" si="4"/>
        <v>3990</v>
      </c>
      <c r="E225" s="148">
        <v>1330</v>
      </c>
      <c r="F225" s="148">
        <v>1330</v>
      </c>
      <c r="G225" s="148">
        <v>1330</v>
      </c>
      <c r="H225" s="148"/>
    </row>
    <row r="226" spans="1:8" s="41" customFormat="1" ht="12.75">
      <c r="A226" s="235"/>
      <c r="B226" s="36" t="s">
        <v>134</v>
      </c>
      <c r="C226" s="148" t="s">
        <v>21</v>
      </c>
      <c r="D226" s="148">
        <f t="shared" si="4"/>
        <v>300</v>
      </c>
      <c r="E226" s="148">
        <v>100</v>
      </c>
      <c r="F226" s="148">
        <v>100</v>
      </c>
      <c r="G226" s="148">
        <v>100</v>
      </c>
      <c r="H226" s="148"/>
    </row>
    <row r="227" spans="1:8" s="41" customFormat="1" ht="12.75">
      <c r="A227" s="235"/>
      <c r="B227" s="36" t="s">
        <v>208</v>
      </c>
      <c r="C227" s="148" t="s">
        <v>43</v>
      </c>
      <c r="D227" s="148">
        <f t="shared" si="4"/>
        <v>2</v>
      </c>
      <c r="E227" s="148">
        <v>2</v>
      </c>
      <c r="F227" s="148"/>
      <c r="G227" s="148"/>
      <c r="H227" s="148"/>
    </row>
    <row r="228" spans="1:8" s="41" customFormat="1" ht="12.75">
      <c r="A228" s="235"/>
      <c r="B228" s="36" t="s">
        <v>136</v>
      </c>
      <c r="C228" s="148" t="s">
        <v>21</v>
      </c>
      <c r="D228" s="148">
        <f t="shared" si="4"/>
        <v>1689</v>
      </c>
      <c r="E228" s="176">
        <v>563</v>
      </c>
      <c r="F228" s="176">
        <v>563</v>
      </c>
      <c r="G228" s="176">
        <v>563</v>
      </c>
      <c r="H228" s="148"/>
    </row>
    <row r="229" spans="1:8" s="41" customFormat="1" ht="12.75">
      <c r="A229" s="208" t="s">
        <v>77</v>
      </c>
      <c r="B229" s="36"/>
      <c r="C229" s="149"/>
      <c r="D229" s="149"/>
      <c r="E229" s="149"/>
      <c r="F229" s="149"/>
      <c r="G229" s="149"/>
      <c r="H229" s="148"/>
    </row>
    <row r="230" spans="1:8" s="41" customFormat="1" ht="12.75">
      <c r="A230" s="208"/>
      <c r="B230" s="36" t="s">
        <v>28</v>
      </c>
      <c r="C230" s="148" t="s">
        <v>43</v>
      </c>
      <c r="D230" s="148">
        <f>E230+F230+G230</f>
        <v>75</v>
      </c>
      <c r="E230" s="148">
        <v>25</v>
      </c>
      <c r="F230" s="148">
        <v>25</v>
      </c>
      <c r="G230" s="148">
        <v>25</v>
      </c>
      <c r="H230" s="148"/>
    </row>
    <row r="231" spans="1:8" s="41" customFormat="1" ht="12.75">
      <c r="A231" s="208"/>
      <c r="B231" s="36" t="s">
        <v>175</v>
      </c>
      <c r="C231" s="148" t="s">
        <v>190</v>
      </c>
      <c r="D231" s="148">
        <f>E231+F231+G231</f>
        <v>1125000</v>
      </c>
      <c r="E231" s="148">
        <v>333000</v>
      </c>
      <c r="F231" s="148">
        <v>396000</v>
      </c>
      <c r="G231" s="148">
        <v>396000</v>
      </c>
      <c r="H231" s="148"/>
    </row>
    <row r="232" spans="1:8" s="41" customFormat="1" ht="12.75">
      <c r="A232" s="208"/>
      <c r="B232" s="36" t="s">
        <v>101</v>
      </c>
      <c r="C232" s="148" t="s">
        <v>49</v>
      </c>
      <c r="D232" s="79">
        <f>E232+F232+G232</f>
        <v>783</v>
      </c>
      <c r="E232" s="148">
        <v>303</v>
      </c>
      <c r="F232" s="148">
        <v>240</v>
      </c>
      <c r="G232" s="148">
        <v>240</v>
      </c>
      <c r="H232" s="149"/>
    </row>
    <row r="233" spans="1:8" s="41" customFormat="1" ht="12.75">
      <c r="A233" s="208"/>
      <c r="B233" s="36" t="s">
        <v>353</v>
      </c>
      <c r="C233" s="148" t="s">
        <v>45</v>
      </c>
      <c r="D233" s="79">
        <f>E233+F233+G233</f>
        <v>1.05</v>
      </c>
      <c r="E233" s="148">
        <v>1.05</v>
      </c>
      <c r="F233" s="148"/>
      <c r="G233" s="148"/>
      <c r="H233" s="149"/>
    </row>
    <row r="234" spans="1:8" s="41" customFormat="1" ht="12.75">
      <c r="A234" s="208"/>
      <c r="B234" s="36" t="s">
        <v>132</v>
      </c>
      <c r="C234" s="148" t="s">
        <v>178</v>
      </c>
      <c r="D234" s="148">
        <f>E234+F234+G234</f>
        <v>78</v>
      </c>
      <c r="E234" s="148">
        <v>26</v>
      </c>
      <c r="F234" s="148">
        <v>26</v>
      </c>
      <c r="G234" s="148">
        <v>26</v>
      </c>
      <c r="H234" s="149"/>
    </row>
    <row r="235" spans="1:8" s="41" customFormat="1" ht="12.75">
      <c r="A235" s="206" t="s">
        <v>137</v>
      </c>
      <c r="B235" s="36"/>
      <c r="C235" s="148"/>
      <c r="D235" s="148"/>
      <c r="E235" s="148"/>
      <c r="F235" s="148"/>
      <c r="G235" s="148"/>
      <c r="H235" s="149"/>
    </row>
    <row r="236" spans="1:11" s="30" customFormat="1" ht="12.75">
      <c r="A236" s="207"/>
      <c r="B236" s="36" t="s">
        <v>138</v>
      </c>
      <c r="C236" s="148" t="s">
        <v>43</v>
      </c>
      <c r="D236" s="148"/>
      <c r="E236" s="148"/>
      <c r="F236" s="148"/>
      <c r="G236" s="148"/>
      <c r="H236" s="149"/>
      <c r="I236" s="41"/>
      <c r="J236" s="41"/>
      <c r="K236" s="41"/>
    </row>
    <row r="237" spans="1:11" s="30" customFormat="1" ht="45.75" customHeight="1">
      <c r="A237" s="208" t="s">
        <v>237</v>
      </c>
      <c r="B237" s="36" t="s">
        <v>132</v>
      </c>
      <c r="C237" s="149" t="s">
        <v>45</v>
      </c>
      <c r="D237" s="149">
        <f>E237+F237+G237</f>
        <v>36.69</v>
      </c>
      <c r="E237" s="149">
        <v>12.23</v>
      </c>
      <c r="F237" s="149">
        <v>12.23</v>
      </c>
      <c r="G237" s="149">
        <v>12.23</v>
      </c>
      <c r="H237" s="149"/>
      <c r="I237" s="41"/>
      <c r="J237" s="41"/>
      <c r="K237" s="41"/>
    </row>
    <row r="238" spans="1:8" s="41" customFormat="1" ht="12.75">
      <c r="A238" s="208"/>
      <c r="B238" s="36" t="s">
        <v>270</v>
      </c>
      <c r="C238" s="148" t="s">
        <v>45</v>
      </c>
      <c r="D238" s="148">
        <f>E238+F238+G238</f>
        <v>36.69</v>
      </c>
      <c r="E238" s="148">
        <v>12.23</v>
      </c>
      <c r="F238" s="148">
        <v>12.23</v>
      </c>
      <c r="G238" s="148">
        <v>12.23</v>
      </c>
      <c r="H238" s="149"/>
    </row>
    <row r="239" spans="1:8" s="41" customFormat="1" ht="36.75" customHeight="1">
      <c r="A239" s="208"/>
      <c r="B239" s="36" t="s">
        <v>101</v>
      </c>
      <c r="C239" s="148" t="s">
        <v>49</v>
      </c>
      <c r="D239" s="148">
        <f>E239+F239+G239</f>
        <v>67.5</v>
      </c>
      <c r="E239" s="148">
        <v>22.5</v>
      </c>
      <c r="F239" s="148">
        <v>22.5</v>
      </c>
      <c r="G239" s="148">
        <v>22.5</v>
      </c>
      <c r="H239" s="149"/>
    </row>
    <row r="240" spans="1:8" s="41" customFormat="1" ht="12.75">
      <c r="A240" s="208" t="s">
        <v>238</v>
      </c>
      <c r="B240" s="36"/>
      <c r="C240" s="149"/>
      <c r="D240" s="149"/>
      <c r="E240" s="149"/>
      <c r="F240" s="149"/>
      <c r="G240" s="149"/>
      <c r="H240" s="149"/>
    </row>
    <row r="241" spans="1:8" s="41" customFormat="1" ht="12.75">
      <c r="A241" s="208"/>
      <c r="B241" s="36" t="s">
        <v>132</v>
      </c>
      <c r="C241" s="148" t="s">
        <v>45</v>
      </c>
      <c r="D241" s="148">
        <f>E241+F241+G241</f>
        <v>7.26</v>
      </c>
      <c r="E241" s="148">
        <v>2.42</v>
      </c>
      <c r="F241" s="148">
        <v>2.42</v>
      </c>
      <c r="G241" s="148">
        <v>2.42</v>
      </c>
      <c r="H241" s="149"/>
    </row>
    <row r="242" spans="1:9" s="41" customFormat="1" ht="36" customHeight="1">
      <c r="A242" s="208"/>
      <c r="B242" s="36" t="s">
        <v>270</v>
      </c>
      <c r="C242" s="148" t="s">
        <v>45</v>
      </c>
      <c r="D242" s="148">
        <f>E242+F242+G242</f>
        <v>7.26</v>
      </c>
      <c r="E242" s="148">
        <v>2.42</v>
      </c>
      <c r="F242" s="148">
        <v>2.42</v>
      </c>
      <c r="G242" s="148">
        <v>2.42</v>
      </c>
      <c r="H242" s="149"/>
      <c r="I242" s="109"/>
    </row>
    <row r="243" spans="1:8" s="41" customFormat="1" ht="12.75">
      <c r="A243" s="208"/>
      <c r="B243" s="36" t="s">
        <v>209</v>
      </c>
      <c r="C243" s="148" t="s">
        <v>43</v>
      </c>
      <c r="D243" s="148">
        <f>E243+F243+G243</f>
        <v>750</v>
      </c>
      <c r="E243" s="148">
        <v>250</v>
      </c>
      <c r="F243" s="148">
        <v>250</v>
      </c>
      <c r="G243" s="148">
        <v>250</v>
      </c>
      <c r="H243" s="149"/>
    </row>
    <row r="244" spans="1:8" s="41" customFormat="1" ht="12.75">
      <c r="A244" s="208" t="s">
        <v>213</v>
      </c>
      <c r="B244" s="36"/>
      <c r="C244" s="149"/>
      <c r="D244" s="149"/>
      <c r="E244" s="149"/>
      <c r="F244" s="149"/>
      <c r="G244" s="149"/>
      <c r="H244" s="149"/>
    </row>
    <row r="245" spans="1:8" s="41" customFormat="1" ht="12.75">
      <c r="A245" s="208"/>
      <c r="B245" s="36" t="s">
        <v>211</v>
      </c>
      <c r="C245" s="148" t="s">
        <v>21</v>
      </c>
      <c r="D245" s="148">
        <f>E245+F245+G245</f>
        <v>690112.5</v>
      </c>
      <c r="E245" s="148">
        <v>230037.5</v>
      </c>
      <c r="F245" s="148">
        <v>230037.5</v>
      </c>
      <c r="G245" s="148">
        <v>230037.5</v>
      </c>
      <c r="H245" s="149"/>
    </row>
    <row r="246" spans="1:9" s="41" customFormat="1" ht="36" customHeight="1">
      <c r="A246" s="208"/>
      <c r="B246" s="36" t="s">
        <v>212</v>
      </c>
      <c r="C246" s="148" t="s">
        <v>21</v>
      </c>
      <c r="D246" s="148">
        <f>E246+F246+G246</f>
        <v>1080</v>
      </c>
      <c r="E246" s="148">
        <v>360</v>
      </c>
      <c r="F246" s="148">
        <v>360</v>
      </c>
      <c r="G246" s="148">
        <v>360</v>
      </c>
      <c r="H246" s="149"/>
      <c r="I246" s="109"/>
    </row>
    <row r="247" spans="1:8" s="41" customFormat="1" ht="12.75" customHeight="1">
      <c r="A247" s="204" t="s">
        <v>75</v>
      </c>
      <c r="B247" s="36"/>
      <c r="C247" s="148"/>
      <c r="D247" s="148"/>
      <c r="E247" s="148"/>
      <c r="F247" s="148"/>
      <c r="G247" s="148"/>
      <c r="H247" s="149"/>
    </row>
    <row r="248" spans="1:8" s="41" customFormat="1" ht="28.5" customHeight="1">
      <c r="A248" s="209"/>
      <c r="B248" s="36" t="s">
        <v>253</v>
      </c>
      <c r="C248" s="148"/>
      <c r="D248" s="148"/>
      <c r="E248" s="148"/>
      <c r="F248" s="148"/>
      <c r="G248" s="148"/>
      <c r="H248" s="149"/>
    </row>
    <row r="249" spans="1:8" s="41" customFormat="1" ht="12.75">
      <c r="A249" s="209"/>
      <c r="B249" s="36" t="s">
        <v>344</v>
      </c>
      <c r="C249" s="148" t="s">
        <v>43</v>
      </c>
      <c r="D249" s="148">
        <f>E249+F249+G249</f>
        <v>333</v>
      </c>
      <c r="E249" s="148">
        <v>111</v>
      </c>
      <c r="F249" s="148">
        <v>111</v>
      </c>
      <c r="G249" s="148">
        <v>111</v>
      </c>
      <c r="H249" s="149"/>
    </row>
    <row r="250" spans="1:9" s="41" customFormat="1" ht="44.25" customHeight="1">
      <c r="A250" s="209"/>
      <c r="B250" s="48" t="s">
        <v>298</v>
      </c>
      <c r="C250" s="148" t="s">
        <v>43</v>
      </c>
      <c r="D250" s="97">
        <f>E250+F250+G250</f>
        <v>271</v>
      </c>
      <c r="E250" s="148">
        <v>271</v>
      </c>
      <c r="F250" s="148"/>
      <c r="G250" s="148"/>
      <c r="H250" s="149"/>
      <c r="I250" s="109"/>
    </row>
    <row r="251" spans="1:9" s="41" customFormat="1" ht="36" customHeight="1">
      <c r="A251" s="205"/>
      <c r="B251" s="110" t="s">
        <v>340</v>
      </c>
      <c r="C251" s="148" t="s">
        <v>21</v>
      </c>
      <c r="D251" s="97">
        <f>E251</f>
        <v>18774.239999999998</v>
      </c>
      <c r="E251" s="148">
        <f>173+1973.57+16627.67</f>
        <v>18774.239999999998</v>
      </c>
      <c r="F251" s="148"/>
      <c r="G251" s="148"/>
      <c r="H251" s="149"/>
      <c r="I251" s="109"/>
    </row>
    <row r="252" spans="1:9" s="41" customFormat="1" ht="13.5" customHeight="1">
      <c r="A252" s="203" t="s">
        <v>313</v>
      </c>
      <c r="B252" s="36"/>
      <c r="C252" s="148"/>
      <c r="D252" s="97"/>
      <c r="E252" s="148"/>
      <c r="F252" s="148"/>
      <c r="G252" s="148"/>
      <c r="H252" s="149"/>
      <c r="I252" s="109"/>
    </row>
    <row r="253" spans="1:9" s="41" customFormat="1" ht="12.75">
      <c r="A253" s="203"/>
      <c r="B253" s="36" t="s">
        <v>312</v>
      </c>
      <c r="C253" s="148" t="s">
        <v>43</v>
      </c>
      <c r="D253" s="97">
        <f>E253+F253+G253</f>
        <v>4</v>
      </c>
      <c r="E253" s="148">
        <v>4</v>
      </c>
      <c r="F253" s="148"/>
      <c r="G253" s="148"/>
      <c r="H253" s="149"/>
      <c r="I253" s="109"/>
    </row>
    <row r="254" spans="1:9" s="41" customFormat="1" ht="41.25" customHeight="1">
      <c r="A254" s="136" t="s">
        <v>76</v>
      </c>
      <c r="B254" s="147" t="s">
        <v>35</v>
      </c>
      <c r="C254" s="97" t="s">
        <v>22</v>
      </c>
      <c r="D254" s="97">
        <f>E254</f>
        <v>14.3</v>
      </c>
      <c r="E254" s="97">
        <v>14.3</v>
      </c>
      <c r="F254" s="148"/>
      <c r="G254" s="97"/>
      <c r="H254" s="149"/>
      <c r="I254" s="109"/>
    </row>
    <row r="255" spans="1:8" s="41" customFormat="1" ht="12.75">
      <c r="A255" s="153"/>
      <c r="B255" s="31"/>
      <c r="C255" s="157"/>
      <c r="D255" s="32"/>
      <c r="E255" s="157"/>
      <c r="F255" s="157"/>
      <c r="G255" s="158"/>
      <c r="H255" s="149"/>
    </row>
    <row r="256" spans="1:8" s="30" customFormat="1" ht="12.75" customHeight="1">
      <c r="A256" s="279" t="s">
        <v>83</v>
      </c>
      <c r="B256" s="280"/>
      <c r="C256" s="280"/>
      <c r="D256" s="280"/>
      <c r="E256" s="280"/>
      <c r="F256" s="280"/>
      <c r="G256" s="281"/>
      <c r="H256" s="172"/>
    </row>
    <row r="257" spans="1:8" s="30" customFormat="1" ht="51" customHeight="1">
      <c r="A257" s="301" t="s">
        <v>60</v>
      </c>
      <c r="B257" s="36"/>
      <c r="C257" s="149"/>
      <c r="D257" s="149"/>
      <c r="E257" s="149"/>
      <c r="F257" s="149"/>
      <c r="G257" s="149"/>
      <c r="H257" s="172"/>
    </row>
    <row r="258" spans="1:8" s="41" customFormat="1" ht="12.75">
      <c r="A258" s="253"/>
      <c r="B258" s="71" t="s">
        <v>31</v>
      </c>
      <c r="C258" s="148" t="s">
        <v>21</v>
      </c>
      <c r="D258" s="97">
        <f>E258+F258+G258</f>
        <v>37190.100000000006</v>
      </c>
      <c r="E258" s="97">
        <v>12396.7</v>
      </c>
      <c r="F258" s="97">
        <v>12396.7</v>
      </c>
      <c r="G258" s="97">
        <v>12396.7</v>
      </c>
      <c r="H258" s="149"/>
    </row>
    <row r="259" spans="1:8" s="41" customFormat="1" ht="12.75" customHeight="1">
      <c r="A259" s="253"/>
      <c r="B259" s="72" t="s">
        <v>123</v>
      </c>
      <c r="C259" s="148" t="s">
        <v>45</v>
      </c>
      <c r="D259" s="148">
        <f>E259+F259+G259</f>
        <v>70.28999999999999</v>
      </c>
      <c r="E259" s="148">
        <v>23.43</v>
      </c>
      <c r="F259" s="148">
        <v>23.43</v>
      </c>
      <c r="G259" s="148">
        <v>23.43</v>
      </c>
      <c r="H259" s="149"/>
    </row>
    <row r="260" spans="1:8" s="41" customFormat="1" ht="12.75" customHeight="1">
      <c r="A260" s="253"/>
      <c r="B260" s="72" t="s">
        <v>256</v>
      </c>
      <c r="C260" s="148" t="s">
        <v>43</v>
      </c>
      <c r="D260" s="148">
        <f>E260+F260+G260</f>
        <v>123</v>
      </c>
      <c r="E260" s="142">
        <v>41</v>
      </c>
      <c r="F260" s="142">
        <v>41</v>
      </c>
      <c r="G260" s="142">
        <v>41</v>
      </c>
      <c r="H260" s="149"/>
    </row>
    <row r="261" spans="1:8" s="41" customFormat="1" ht="12.75">
      <c r="A261" s="253"/>
      <c r="B261" s="73" t="s">
        <v>32</v>
      </c>
      <c r="C261" s="148" t="s">
        <v>43</v>
      </c>
      <c r="D261" s="148">
        <f>E261+F261+G261</f>
        <v>12</v>
      </c>
      <c r="E261" s="142">
        <v>4</v>
      </c>
      <c r="F261" s="142">
        <v>4</v>
      </c>
      <c r="G261" s="142">
        <v>4</v>
      </c>
      <c r="H261" s="149"/>
    </row>
    <row r="262" spans="1:8" s="41" customFormat="1" ht="12.75">
      <c r="A262" s="301" t="s">
        <v>70</v>
      </c>
      <c r="B262" s="133"/>
      <c r="C262" s="149"/>
      <c r="D262" s="149"/>
      <c r="E262" s="149"/>
      <c r="F262" s="149"/>
      <c r="G262" s="149"/>
      <c r="H262" s="149"/>
    </row>
    <row r="263" spans="1:8" s="41" customFormat="1" ht="25.5">
      <c r="A263" s="253"/>
      <c r="B263" s="36" t="s">
        <v>39</v>
      </c>
      <c r="C263" s="148" t="s">
        <v>43</v>
      </c>
      <c r="D263" s="148">
        <f>E263+F263+G263</f>
        <v>183</v>
      </c>
      <c r="E263" s="148">
        <v>61</v>
      </c>
      <c r="F263" s="148">
        <v>61</v>
      </c>
      <c r="G263" s="148">
        <v>61</v>
      </c>
      <c r="H263" s="149"/>
    </row>
    <row r="264" spans="1:8" s="41" customFormat="1" ht="12.75">
      <c r="A264" s="253"/>
      <c r="B264" s="36" t="s">
        <v>364</v>
      </c>
      <c r="C264" s="148" t="s">
        <v>21</v>
      </c>
      <c r="D264" s="97">
        <f>E264+F264+G264</f>
        <v>5954.352000000001</v>
      </c>
      <c r="E264" s="79">
        <v>1984.784</v>
      </c>
      <c r="F264" s="79">
        <v>1984.784</v>
      </c>
      <c r="G264" s="79">
        <v>1984.784</v>
      </c>
      <c r="H264" s="149"/>
    </row>
    <row r="265" spans="1:8" s="41" customFormat="1" ht="12.75" customHeight="1">
      <c r="A265" s="253"/>
      <c r="B265" s="72" t="s">
        <v>179</v>
      </c>
      <c r="C265" s="148" t="s">
        <v>21</v>
      </c>
      <c r="D265" s="148">
        <f>E265+F265+G265</f>
        <v>267</v>
      </c>
      <c r="E265" s="148">
        <v>89</v>
      </c>
      <c r="F265" s="148">
        <v>89</v>
      </c>
      <c r="G265" s="148">
        <v>89</v>
      </c>
      <c r="H265" s="149"/>
    </row>
    <row r="266" spans="1:8" s="41" customFormat="1" ht="12.75" customHeight="1">
      <c r="A266" s="302"/>
      <c r="B266" s="111" t="s">
        <v>337</v>
      </c>
      <c r="C266" s="148" t="s">
        <v>43</v>
      </c>
      <c r="D266" s="148">
        <f>E266+F266+G266</f>
        <v>24</v>
      </c>
      <c r="E266" s="148">
        <v>8</v>
      </c>
      <c r="F266" s="148">
        <v>8</v>
      </c>
      <c r="G266" s="148">
        <v>8</v>
      </c>
      <c r="H266" s="149"/>
    </row>
    <row r="267" spans="1:8" s="41" customFormat="1" ht="12.75">
      <c r="A267" s="301" t="s">
        <v>77</v>
      </c>
      <c r="B267" s="133"/>
      <c r="C267" s="149"/>
      <c r="D267" s="149"/>
      <c r="E267" s="149"/>
      <c r="F267" s="149"/>
      <c r="G267" s="149"/>
      <c r="H267" s="149"/>
    </row>
    <row r="268" spans="1:8" s="41" customFormat="1" ht="12.75">
      <c r="A268" s="253"/>
      <c r="B268" s="72" t="s">
        <v>294</v>
      </c>
      <c r="C268" s="148" t="s">
        <v>48</v>
      </c>
      <c r="D268" s="148">
        <f>E268+F268+G268</f>
        <v>258</v>
      </c>
      <c r="E268" s="148">
        <v>86</v>
      </c>
      <c r="F268" s="148">
        <v>86</v>
      </c>
      <c r="G268" s="148">
        <v>86</v>
      </c>
      <c r="H268" s="149"/>
    </row>
    <row r="269" spans="1:8" s="41" customFormat="1" ht="25.5">
      <c r="A269" s="253"/>
      <c r="B269" s="72" t="s">
        <v>257</v>
      </c>
      <c r="C269" s="148" t="s">
        <v>21</v>
      </c>
      <c r="D269" s="148">
        <f>E269+F269+G269</f>
        <v>247420.65899999999</v>
      </c>
      <c r="E269" s="148">
        <v>82473.553</v>
      </c>
      <c r="F269" s="148">
        <v>82473.553</v>
      </c>
      <c r="G269" s="148">
        <v>82473.553</v>
      </c>
      <c r="H269" s="149"/>
    </row>
    <row r="270" spans="1:8" s="41" customFormat="1" ht="12.75">
      <c r="A270" s="253"/>
      <c r="B270" s="72" t="s">
        <v>258</v>
      </c>
      <c r="C270" s="148" t="s">
        <v>49</v>
      </c>
      <c r="D270" s="148">
        <f>E270+F270+G270</f>
        <v>834.9780000000001</v>
      </c>
      <c r="E270" s="148">
        <v>278.326</v>
      </c>
      <c r="F270" s="148">
        <v>278.326</v>
      </c>
      <c r="G270" s="148">
        <v>278.326</v>
      </c>
      <c r="H270" s="149"/>
    </row>
    <row r="271" spans="1:8" s="41" customFormat="1" ht="12.75">
      <c r="A271" s="303"/>
      <c r="B271" s="73" t="s">
        <v>353</v>
      </c>
      <c r="C271" s="148" t="s">
        <v>21</v>
      </c>
      <c r="D271" s="148">
        <f>E271+F271+G271</f>
        <v>2820</v>
      </c>
      <c r="E271" s="148">
        <v>2820</v>
      </c>
      <c r="F271" s="148"/>
      <c r="G271" s="148"/>
      <c r="H271" s="149"/>
    </row>
    <row r="272" spans="1:8" s="41" customFormat="1" ht="12.75">
      <c r="A272" s="204" t="s">
        <v>259</v>
      </c>
      <c r="B272" s="72"/>
      <c r="C272" s="112"/>
      <c r="D272" s="112"/>
      <c r="E272" s="112"/>
      <c r="F272" s="112"/>
      <c r="G272" s="112"/>
      <c r="H272" s="149"/>
    </row>
    <row r="273" spans="1:8" s="41" customFormat="1" ht="12.75">
      <c r="A273" s="209"/>
      <c r="B273" s="36" t="s">
        <v>121</v>
      </c>
      <c r="C273" s="112" t="s">
        <v>122</v>
      </c>
      <c r="D273" s="112">
        <f>E273+F273+G273</f>
        <v>35.25</v>
      </c>
      <c r="E273" s="112">
        <v>11.75</v>
      </c>
      <c r="F273" s="112">
        <v>11.75</v>
      </c>
      <c r="G273" s="112">
        <v>11.75</v>
      </c>
      <c r="H273" s="149"/>
    </row>
    <row r="274" spans="1:8" s="41" customFormat="1" ht="25.5">
      <c r="A274" s="205"/>
      <c r="B274" s="36" t="s">
        <v>260</v>
      </c>
      <c r="C274" s="112" t="s">
        <v>43</v>
      </c>
      <c r="D274" s="112">
        <f>E274+F274+G274</f>
        <v>369</v>
      </c>
      <c r="E274" s="112">
        <v>123</v>
      </c>
      <c r="F274" s="112">
        <v>123</v>
      </c>
      <c r="G274" s="112">
        <v>123</v>
      </c>
      <c r="H274" s="149"/>
    </row>
    <row r="275" spans="1:8" s="41" customFormat="1" ht="12.75" customHeight="1">
      <c r="A275" s="218" t="s">
        <v>313</v>
      </c>
      <c r="B275" s="36"/>
      <c r="C275" s="148"/>
      <c r="D275" s="148"/>
      <c r="E275" s="148"/>
      <c r="F275" s="148"/>
      <c r="G275" s="148"/>
      <c r="H275" s="130"/>
    </row>
    <row r="276" spans="1:8" s="41" customFormat="1" ht="12.75">
      <c r="A276" s="219"/>
      <c r="B276" s="133" t="s">
        <v>159</v>
      </c>
      <c r="C276" s="148" t="s">
        <v>43</v>
      </c>
      <c r="D276" s="93">
        <v>1</v>
      </c>
      <c r="E276" s="93">
        <v>1</v>
      </c>
      <c r="F276" s="148">
        <v>1</v>
      </c>
      <c r="G276" s="148">
        <v>1</v>
      </c>
      <c r="H276" s="33">
        <f>SUM(E276:G276)</f>
        <v>3</v>
      </c>
    </row>
    <row r="277" spans="1:8" s="41" customFormat="1" ht="48.75" customHeight="1">
      <c r="A277" s="306"/>
      <c r="B277" s="113" t="s">
        <v>333</v>
      </c>
      <c r="C277" s="142" t="s">
        <v>43</v>
      </c>
      <c r="D277" s="142">
        <v>12</v>
      </c>
      <c r="E277" s="161">
        <v>4</v>
      </c>
      <c r="F277" s="142">
        <v>4</v>
      </c>
      <c r="G277" s="142">
        <v>4</v>
      </c>
      <c r="H277" s="130"/>
    </row>
    <row r="278" spans="1:8" s="41" customFormat="1" ht="37.5" customHeight="1">
      <c r="A278" s="204" t="s">
        <v>216</v>
      </c>
      <c r="B278" s="147"/>
      <c r="C278" s="135"/>
      <c r="D278" s="135"/>
      <c r="E278" s="135"/>
      <c r="F278" s="135"/>
      <c r="G278" s="135"/>
      <c r="H278" s="130"/>
    </row>
    <row r="279" spans="1:8" s="41" customFormat="1" ht="12.75" customHeight="1">
      <c r="A279" s="209"/>
      <c r="B279" s="147"/>
      <c r="C279" s="135"/>
      <c r="D279" s="135"/>
      <c r="E279" s="135"/>
      <c r="F279" s="135"/>
      <c r="G279" s="135"/>
      <c r="H279" s="149"/>
    </row>
    <row r="280" spans="1:8" s="41" customFormat="1" ht="12.75">
      <c r="A280" s="209"/>
      <c r="B280" s="114" t="s">
        <v>262</v>
      </c>
      <c r="C280" s="150" t="s">
        <v>45</v>
      </c>
      <c r="D280" s="135">
        <f>SUM(E280:G280)</f>
        <v>79.41</v>
      </c>
      <c r="E280" s="135">
        <v>26.47</v>
      </c>
      <c r="F280" s="135">
        <v>26.47</v>
      </c>
      <c r="G280" s="135">
        <v>26.47</v>
      </c>
      <c r="H280" s="149"/>
    </row>
    <row r="281" spans="1:7" ht="12" customHeight="1">
      <c r="A281" s="209"/>
      <c r="B281" s="72" t="s">
        <v>257</v>
      </c>
      <c r="C281" s="112" t="s">
        <v>21</v>
      </c>
      <c r="D281" s="135">
        <f>SUM(E281:G281)</f>
        <v>349950</v>
      </c>
      <c r="E281" s="135">
        <v>116650</v>
      </c>
      <c r="F281" s="135">
        <v>116650</v>
      </c>
      <c r="G281" s="135">
        <v>116650</v>
      </c>
    </row>
    <row r="282" spans="1:7" ht="17.25" customHeight="1">
      <c r="A282" s="209"/>
      <c r="B282" s="72" t="s">
        <v>258</v>
      </c>
      <c r="C282" s="130" t="s">
        <v>49</v>
      </c>
      <c r="D282" s="149">
        <f>SUM(E282:G282)</f>
        <v>9168</v>
      </c>
      <c r="E282" s="135">
        <v>3056</v>
      </c>
      <c r="F282" s="135">
        <v>3056</v>
      </c>
      <c r="G282" s="135">
        <v>3056</v>
      </c>
    </row>
    <row r="283" spans="1:7" ht="27.75" customHeight="1">
      <c r="A283" s="209"/>
      <c r="B283" s="114" t="s">
        <v>256</v>
      </c>
      <c r="C283" s="130" t="s">
        <v>43</v>
      </c>
      <c r="D283" s="149">
        <f>SUM(E283:G283)</f>
        <v>126</v>
      </c>
      <c r="E283" s="149">
        <v>42</v>
      </c>
      <c r="F283" s="149">
        <v>42</v>
      </c>
      <c r="G283" s="149">
        <v>42</v>
      </c>
    </row>
    <row r="284" spans="1:7" ht="41.25" customHeight="1">
      <c r="A284" s="204" t="s">
        <v>217</v>
      </c>
      <c r="B284" s="36"/>
      <c r="C284" s="149"/>
      <c r="D284" s="149"/>
      <c r="E284" s="149"/>
      <c r="F284" s="149"/>
      <c r="G284" s="149"/>
    </row>
    <row r="285" spans="1:7" ht="33.75" customHeight="1">
      <c r="A285" s="209"/>
      <c r="B285" s="114" t="s">
        <v>123</v>
      </c>
      <c r="C285" s="130" t="s">
        <v>45</v>
      </c>
      <c r="D285" s="149">
        <f>SUM(E285:G285)</f>
        <v>10.74</v>
      </c>
      <c r="E285" s="149">
        <v>3.58</v>
      </c>
      <c r="F285" s="149">
        <v>3.58</v>
      </c>
      <c r="G285" s="149">
        <v>3.58</v>
      </c>
    </row>
    <row r="286" spans="1:7" ht="12.75">
      <c r="A286" s="209"/>
      <c r="B286" s="114" t="s">
        <v>256</v>
      </c>
      <c r="C286" s="130" t="s">
        <v>43</v>
      </c>
      <c r="D286" s="149">
        <f>SUM(E286:G286)</f>
        <v>1413</v>
      </c>
      <c r="E286" s="149">
        <v>471</v>
      </c>
      <c r="F286" s="149">
        <v>471</v>
      </c>
      <c r="G286" s="149">
        <v>471</v>
      </c>
    </row>
    <row r="287" spans="1:7" ht="12.75">
      <c r="A287" s="203" t="s">
        <v>207</v>
      </c>
      <c r="B287" s="36"/>
      <c r="C287" s="149"/>
      <c r="D287" s="149"/>
      <c r="E287" s="149"/>
      <c r="F287" s="149"/>
      <c r="G287" s="149"/>
    </row>
    <row r="288" spans="1:7" ht="42.75" customHeight="1">
      <c r="A288" s="212"/>
      <c r="B288" s="133" t="s">
        <v>215</v>
      </c>
      <c r="C288" s="148" t="s">
        <v>21</v>
      </c>
      <c r="D288" s="149">
        <f>SUM(E288:G288)</f>
        <v>979534.2000000001</v>
      </c>
      <c r="E288" s="149">
        <v>326511.4</v>
      </c>
      <c r="F288" s="149">
        <v>326511.4</v>
      </c>
      <c r="G288" s="149">
        <v>326511.4</v>
      </c>
    </row>
    <row r="289" spans="1:7" ht="12.75">
      <c r="A289" s="204" t="s">
        <v>75</v>
      </c>
      <c r="B289" s="133"/>
      <c r="C289" s="149"/>
      <c r="D289" s="149"/>
      <c r="E289" s="149"/>
      <c r="F289" s="149"/>
      <c r="G289" s="149"/>
    </row>
    <row r="290" spans="1:7" ht="30.75" customHeight="1">
      <c r="A290" s="209"/>
      <c r="B290" s="113" t="s">
        <v>253</v>
      </c>
      <c r="C290" s="148"/>
      <c r="D290" s="97"/>
      <c r="E290" s="97"/>
      <c r="F290" s="97"/>
      <c r="G290" s="97"/>
    </row>
    <row r="291" spans="1:7" ht="12.75">
      <c r="A291" s="138"/>
      <c r="B291" s="113" t="s">
        <v>344</v>
      </c>
      <c r="C291" s="148" t="s">
        <v>43</v>
      </c>
      <c r="D291" s="97">
        <f>E291+F291+G291</f>
        <v>1650</v>
      </c>
      <c r="E291" s="97">
        <f>528+22</f>
        <v>550</v>
      </c>
      <c r="F291" s="97">
        <v>550</v>
      </c>
      <c r="G291" s="97">
        <v>550</v>
      </c>
    </row>
    <row r="292" spans="1:7" ht="39.75" customHeight="1">
      <c r="A292" s="139"/>
      <c r="B292" s="115" t="s">
        <v>298</v>
      </c>
      <c r="C292" s="148" t="s">
        <v>43</v>
      </c>
      <c r="D292" s="97">
        <v>272</v>
      </c>
      <c r="E292" s="148">
        <v>272</v>
      </c>
      <c r="F292" s="148"/>
      <c r="G292" s="148"/>
    </row>
    <row r="293" spans="1:7" ht="19.5" customHeight="1">
      <c r="A293" s="201" t="s">
        <v>84</v>
      </c>
      <c r="B293" s="201"/>
      <c r="C293" s="201"/>
      <c r="D293" s="201"/>
      <c r="E293" s="201"/>
      <c r="F293" s="201"/>
      <c r="G293" s="201"/>
    </row>
    <row r="294" spans="1:7" ht="26.25" customHeight="1">
      <c r="A294" s="204" t="s">
        <v>60</v>
      </c>
      <c r="B294" s="133"/>
      <c r="C294" s="149"/>
      <c r="D294" s="149"/>
      <c r="E294" s="149"/>
      <c r="F294" s="149"/>
      <c r="G294" s="149"/>
    </row>
    <row r="295" spans="1:8" s="41" customFormat="1" ht="23.25" customHeight="1">
      <c r="A295" s="209"/>
      <c r="B295" s="36" t="s">
        <v>32</v>
      </c>
      <c r="C295" s="148" t="s">
        <v>43</v>
      </c>
      <c r="D295" s="148">
        <f>E295+F295+G295</f>
        <v>12</v>
      </c>
      <c r="E295" s="148">
        <v>4</v>
      </c>
      <c r="F295" s="148">
        <v>4</v>
      </c>
      <c r="G295" s="148">
        <v>4</v>
      </c>
      <c r="H295" s="149"/>
    </row>
    <row r="296" spans="1:8" s="41" customFormat="1" ht="12.75">
      <c r="A296" s="206" t="s">
        <v>70</v>
      </c>
      <c r="B296" s="133"/>
      <c r="C296" s="148"/>
      <c r="D296" s="148"/>
      <c r="E296" s="148"/>
      <c r="F296" s="148"/>
      <c r="G296" s="148"/>
      <c r="H296" s="97">
        <v>150108</v>
      </c>
    </row>
    <row r="297" spans="1:8" s="41" customFormat="1" ht="12.75">
      <c r="A297" s="213"/>
      <c r="B297" s="75" t="s">
        <v>130</v>
      </c>
      <c r="C297" s="148" t="s">
        <v>21</v>
      </c>
      <c r="D297" s="95">
        <f>E297+F297+G297</f>
        <v>8936.099999999999</v>
      </c>
      <c r="E297" s="95">
        <v>2978.7</v>
      </c>
      <c r="F297" s="95">
        <v>2978.7</v>
      </c>
      <c r="G297" s="95">
        <v>2978.7</v>
      </c>
      <c r="H297" s="149"/>
    </row>
    <row r="298" spans="1:8" s="41" customFormat="1" ht="12.75">
      <c r="A298" s="213"/>
      <c r="B298" s="75" t="s">
        <v>192</v>
      </c>
      <c r="C298" s="148" t="s">
        <v>21</v>
      </c>
      <c r="D298" s="95">
        <f>E298+F298+G298</f>
        <v>127290</v>
      </c>
      <c r="E298" s="95">
        <v>42430</v>
      </c>
      <c r="F298" s="95">
        <v>42430</v>
      </c>
      <c r="G298" s="95">
        <v>42430</v>
      </c>
      <c r="H298" s="149"/>
    </row>
    <row r="299" spans="1:8" s="41" customFormat="1" ht="12.75" customHeight="1">
      <c r="A299" s="213"/>
      <c r="B299" s="75" t="s">
        <v>27</v>
      </c>
      <c r="C299" s="148" t="s">
        <v>43</v>
      </c>
      <c r="D299" s="148">
        <f>E299+F299+G299</f>
        <v>726</v>
      </c>
      <c r="E299" s="148">
        <v>242</v>
      </c>
      <c r="F299" s="148">
        <v>242</v>
      </c>
      <c r="G299" s="148">
        <v>242</v>
      </c>
      <c r="H299" s="149"/>
    </row>
    <row r="300" spans="1:8" s="41" customFormat="1" ht="12.75">
      <c r="A300" s="213"/>
      <c r="B300" s="76" t="s">
        <v>131</v>
      </c>
      <c r="C300" s="148" t="s">
        <v>21</v>
      </c>
      <c r="D300" s="176">
        <f>E300+F300+G300</f>
        <v>1752.9299999999998</v>
      </c>
      <c r="E300" s="176">
        <v>584.31</v>
      </c>
      <c r="F300" s="176">
        <v>584.31</v>
      </c>
      <c r="G300" s="176">
        <v>584.31</v>
      </c>
      <c r="H300" s="149"/>
    </row>
    <row r="301" spans="1:8" s="41" customFormat="1" ht="12.75">
      <c r="A301" s="213"/>
      <c r="B301" s="78" t="s">
        <v>326</v>
      </c>
      <c r="C301" s="148" t="s">
        <v>43</v>
      </c>
      <c r="D301" s="148">
        <v>981</v>
      </c>
      <c r="E301" s="148">
        <v>327</v>
      </c>
      <c r="F301" s="148">
        <v>327</v>
      </c>
      <c r="G301" s="148">
        <v>327</v>
      </c>
      <c r="H301" s="149"/>
    </row>
    <row r="302" spans="1:8" s="41" customFormat="1" ht="12.75">
      <c r="A302" s="207"/>
      <c r="B302" s="78" t="s">
        <v>141</v>
      </c>
      <c r="C302" s="148" t="s">
        <v>43</v>
      </c>
      <c r="D302" s="148">
        <v>30</v>
      </c>
      <c r="E302" s="148">
        <v>10</v>
      </c>
      <c r="F302" s="148">
        <v>10</v>
      </c>
      <c r="G302" s="148">
        <v>10</v>
      </c>
      <c r="H302" s="149"/>
    </row>
    <row r="303" spans="1:8" s="41" customFormat="1" ht="12.75">
      <c r="A303" s="204" t="s">
        <v>77</v>
      </c>
      <c r="B303" s="36"/>
      <c r="C303" s="149"/>
      <c r="D303" s="149"/>
      <c r="E303" s="149"/>
      <c r="F303" s="149"/>
      <c r="G303" s="149"/>
      <c r="H303" s="149"/>
    </row>
    <row r="304" spans="1:8" s="41" customFormat="1" ht="12.75">
      <c r="A304" s="209"/>
      <c r="B304" s="36" t="s">
        <v>28</v>
      </c>
      <c r="C304" s="148" t="s">
        <v>48</v>
      </c>
      <c r="D304" s="148">
        <f>E304+F304+G304</f>
        <v>282</v>
      </c>
      <c r="E304" s="148">
        <v>94</v>
      </c>
      <c r="F304" s="148">
        <v>94</v>
      </c>
      <c r="G304" s="148">
        <v>94</v>
      </c>
      <c r="H304" s="149"/>
    </row>
    <row r="305" spans="1:8" s="41" customFormat="1" ht="12.75">
      <c r="A305" s="209"/>
      <c r="B305" s="36" t="s">
        <v>29</v>
      </c>
      <c r="C305" s="148" t="s">
        <v>50</v>
      </c>
      <c r="D305" s="148">
        <f>E305+F305+G305</f>
        <v>1350</v>
      </c>
      <c r="E305" s="148">
        <v>450</v>
      </c>
      <c r="F305" s="148">
        <v>450</v>
      </c>
      <c r="G305" s="148">
        <v>450</v>
      </c>
      <c r="H305" s="149"/>
    </row>
    <row r="306" spans="1:8" s="41" customFormat="1" ht="12.75">
      <c r="A306" s="291"/>
      <c r="B306" s="133" t="s">
        <v>353</v>
      </c>
      <c r="C306" s="148" t="s">
        <v>21</v>
      </c>
      <c r="D306" s="148">
        <v>3240</v>
      </c>
      <c r="E306" s="148">
        <v>3240</v>
      </c>
      <c r="F306" s="148"/>
      <c r="G306" s="148"/>
      <c r="H306" s="149"/>
    </row>
    <row r="307" spans="1:8" s="41" customFormat="1" ht="12.75">
      <c r="A307" s="132"/>
      <c r="B307" s="36"/>
      <c r="C307" s="148"/>
      <c r="D307" s="148"/>
      <c r="E307" s="148"/>
      <c r="F307" s="148"/>
      <c r="G307" s="148"/>
      <c r="H307" s="149"/>
    </row>
    <row r="308" spans="1:8" s="41" customFormat="1" ht="12.75">
      <c r="A308" s="208" t="s">
        <v>76</v>
      </c>
      <c r="B308" s="36"/>
      <c r="C308" s="149"/>
      <c r="D308" s="149"/>
      <c r="E308" s="149"/>
      <c r="F308" s="149"/>
      <c r="G308" s="149"/>
      <c r="H308" s="149"/>
    </row>
    <row r="309" spans="1:8" s="41" customFormat="1" ht="12.75">
      <c r="A309" s="208"/>
      <c r="B309" s="36" t="s">
        <v>35</v>
      </c>
      <c r="C309" s="148" t="s">
        <v>22</v>
      </c>
      <c r="D309" s="148">
        <f>E309+F309+G309</f>
        <v>33.69</v>
      </c>
      <c r="E309" s="148">
        <v>11.23</v>
      </c>
      <c r="F309" s="148">
        <v>11.23</v>
      </c>
      <c r="G309" s="148">
        <v>11.23</v>
      </c>
      <c r="H309" s="149"/>
    </row>
    <row r="310" spans="1:8" s="41" customFormat="1" ht="12.75">
      <c r="A310" s="204" t="s">
        <v>203</v>
      </c>
      <c r="B310" s="36"/>
      <c r="C310" s="148"/>
      <c r="D310" s="148"/>
      <c r="E310" s="39"/>
      <c r="F310" s="39"/>
      <c r="G310" s="39"/>
      <c r="H310" s="149"/>
    </row>
    <row r="311" spans="1:8" s="41" customFormat="1" ht="12.75">
      <c r="A311" s="209"/>
      <c r="B311" s="36" t="s">
        <v>272</v>
      </c>
      <c r="C311" s="148" t="s">
        <v>45</v>
      </c>
      <c r="D311" s="97">
        <f>E311+F311+G311</f>
        <v>69</v>
      </c>
      <c r="E311" s="97">
        <v>23</v>
      </c>
      <c r="F311" s="97">
        <v>23</v>
      </c>
      <c r="G311" s="97">
        <v>23</v>
      </c>
      <c r="H311" s="149"/>
    </row>
    <row r="312" spans="1:8" s="41" customFormat="1" ht="12.75">
      <c r="A312" s="209"/>
      <c r="B312" s="133" t="s">
        <v>218</v>
      </c>
      <c r="C312" s="148" t="s">
        <v>21</v>
      </c>
      <c r="D312" s="79">
        <f>E312+F312+G312</f>
        <v>954600</v>
      </c>
      <c r="E312" s="100">
        <v>318200</v>
      </c>
      <c r="F312" s="100">
        <v>318200</v>
      </c>
      <c r="G312" s="100">
        <v>318200</v>
      </c>
      <c r="H312" s="149"/>
    </row>
    <row r="313" spans="1:8" s="41" customFormat="1" ht="12.75">
      <c r="A313" s="209"/>
      <c r="B313" s="133" t="s">
        <v>219</v>
      </c>
      <c r="C313" s="148" t="s">
        <v>113</v>
      </c>
      <c r="D313" s="97">
        <f>E313+F313+G313</f>
        <v>13695</v>
      </c>
      <c r="E313" s="97">
        <v>4565</v>
      </c>
      <c r="F313" s="97">
        <v>4565</v>
      </c>
      <c r="G313" s="97">
        <v>4565</v>
      </c>
      <c r="H313" s="149"/>
    </row>
    <row r="314" spans="1:8" s="41" customFormat="1" ht="12.75">
      <c r="A314" s="204" t="s">
        <v>263</v>
      </c>
      <c r="B314" s="36"/>
      <c r="C314" s="148"/>
      <c r="D314" s="148"/>
      <c r="E314" s="39"/>
      <c r="F314" s="39"/>
      <c r="G314" s="39"/>
      <c r="H314" s="149"/>
    </row>
    <row r="315" spans="1:7" s="24" customFormat="1" ht="12.75" customHeight="1">
      <c r="A315" s="205"/>
      <c r="B315" s="36" t="s">
        <v>31</v>
      </c>
      <c r="C315" s="148" t="s">
        <v>21</v>
      </c>
      <c r="D315" s="38">
        <f>E315+F315+G315</f>
        <v>680106</v>
      </c>
      <c r="E315" s="94">
        <v>226702</v>
      </c>
      <c r="F315" s="94">
        <v>226702</v>
      </c>
      <c r="G315" s="94">
        <v>226702</v>
      </c>
    </row>
    <row r="316" spans="1:7" s="24" customFormat="1" ht="12.75">
      <c r="A316" s="304" t="s">
        <v>75</v>
      </c>
      <c r="B316" s="133" t="s">
        <v>253</v>
      </c>
      <c r="C316" s="149"/>
      <c r="D316" s="149"/>
      <c r="E316" s="149"/>
      <c r="F316" s="149"/>
      <c r="G316" s="149"/>
    </row>
    <row r="317" spans="1:7" s="24" customFormat="1" ht="12.75">
      <c r="A317" s="305"/>
      <c r="B317" s="133" t="s">
        <v>344</v>
      </c>
      <c r="C317" s="148" t="s">
        <v>43</v>
      </c>
      <c r="D317" s="97">
        <f>E317+F317+G317</f>
        <v>534</v>
      </c>
      <c r="E317" s="97">
        <v>178</v>
      </c>
      <c r="F317" s="97">
        <v>178</v>
      </c>
      <c r="G317" s="97">
        <v>178</v>
      </c>
    </row>
    <row r="318" spans="1:7" s="24" customFormat="1" ht="25.5">
      <c r="A318" s="305"/>
      <c r="B318" s="48" t="s">
        <v>298</v>
      </c>
      <c r="C318" s="148" t="s">
        <v>43</v>
      </c>
      <c r="D318" s="97">
        <f>E318+F318+G318</f>
        <v>262</v>
      </c>
      <c r="E318" s="148">
        <f>133+129</f>
        <v>262</v>
      </c>
      <c r="F318" s="148"/>
      <c r="G318" s="148"/>
    </row>
    <row r="319" spans="1:7" s="24" customFormat="1" ht="38.25">
      <c r="A319" s="137" t="s">
        <v>325</v>
      </c>
      <c r="B319" s="267" t="s">
        <v>323</v>
      </c>
      <c r="C319" s="197" t="s">
        <v>43</v>
      </c>
      <c r="D319" s="282">
        <v>4</v>
      </c>
      <c r="E319" s="197">
        <v>4</v>
      </c>
      <c r="F319" s="197"/>
      <c r="G319" s="197"/>
    </row>
    <row r="320" spans="1:8" s="41" customFormat="1" ht="12.75" customHeight="1">
      <c r="A320" s="139"/>
      <c r="B320" s="262"/>
      <c r="C320" s="198"/>
      <c r="D320" s="283"/>
      <c r="E320" s="198"/>
      <c r="F320" s="198"/>
      <c r="G320" s="198"/>
      <c r="H320" s="149"/>
    </row>
    <row r="321" spans="1:8" s="41" customFormat="1" ht="28.5" customHeight="1">
      <c r="A321" s="139" t="s">
        <v>75</v>
      </c>
      <c r="B321" s="145" t="s">
        <v>54</v>
      </c>
      <c r="C321" s="148" t="s">
        <v>21</v>
      </c>
      <c r="D321" s="163">
        <f>E321</f>
        <v>5068</v>
      </c>
      <c r="E321" s="142">
        <v>5068</v>
      </c>
      <c r="F321" s="142"/>
      <c r="G321" s="142"/>
      <c r="H321" s="149"/>
    </row>
    <row r="322" spans="1:8" s="41" customFormat="1" ht="12.75">
      <c r="A322" s="201" t="s">
        <v>85</v>
      </c>
      <c r="B322" s="201"/>
      <c r="C322" s="201"/>
      <c r="D322" s="201"/>
      <c r="E322" s="201"/>
      <c r="F322" s="201"/>
      <c r="G322" s="201"/>
      <c r="H322" s="97">
        <v>150108</v>
      </c>
    </row>
    <row r="323" spans="1:8" s="41" customFormat="1" ht="49.5" customHeight="1">
      <c r="A323" s="204" t="s">
        <v>60</v>
      </c>
      <c r="B323" s="36"/>
      <c r="C323" s="149"/>
      <c r="D323" s="149"/>
      <c r="E323" s="149"/>
      <c r="F323" s="149"/>
      <c r="G323" s="149"/>
      <c r="H323" s="149"/>
    </row>
    <row r="324" spans="1:8" s="41" customFormat="1" ht="12.75">
      <c r="A324" s="209"/>
      <c r="B324" s="36" t="s">
        <v>31</v>
      </c>
      <c r="C324" s="148" t="s">
        <v>21</v>
      </c>
      <c r="D324" s="93">
        <f>E324+F324+G324</f>
        <v>1068690</v>
      </c>
      <c r="E324" s="93">
        <v>356230</v>
      </c>
      <c r="F324" s="93">
        <v>356230</v>
      </c>
      <c r="G324" s="93">
        <v>356230</v>
      </c>
      <c r="H324" s="149"/>
    </row>
    <row r="325" spans="1:8" s="41" customFormat="1" ht="12.75">
      <c r="A325" s="209"/>
      <c r="B325" s="36" t="s">
        <v>123</v>
      </c>
      <c r="C325" s="148" t="s">
        <v>45</v>
      </c>
      <c r="D325" s="148">
        <f>E325+F325+G325</f>
        <v>47.940999999999995</v>
      </c>
      <c r="E325" s="38">
        <v>16.063</v>
      </c>
      <c r="F325" s="38">
        <v>15.939</v>
      </c>
      <c r="G325" s="38">
        <v>15.939</v>
      </c>
      <c r="H325" s="149"/>
    </row>
    <row r="326" spans="1:8" s="41" customFormat="1" ht="12.75">
      <c r="A326" s="208" t="s">
        <v>70</v>
      </c>
      <c r="B326" s="133"/>
      <c r="C326" s="149"/>
      <c r="D326" s="149"/>
      <c r="E326" s="149"/>
      <c r="F326" s="149"/>
      <c r="G326" s="149"/>
      <c r="H326" s="149"/>
    </row>
    <row r="327" spans="1:8" s="41" customFormat="1" ht="12.75">
      <c r="A327" s="208"/>
      <c r="B327" s="78" t="s">
        <v>37</v>
      </c>
      <c r="C327" s="148" t="s">
        <v>21</v>
      </c>
      <c r="D327" s="79">
        <f>E327+F327+G327</f>
        <v>2393.715</v>
      </c>
      <c r="E327" s="38">
        <v>797.905</v>
      </c>
      <c r="F327" s="38">
        <v>797.905</v>
      </c>
      <c r="G327" s="38">
        <v>797.905</v>
      </c>
      <c r="H327" s="149"/>
    </row>
    <row r="328" spans="1:8" s="41" customFormat="1" ht="12.75" customHeight="1">
      <c r="A328" s="208"/>
      <c r="B328" s="78" t="s">
        <v>114</v>
      </c>
      <c r="C328" s="148" t="s">
        <v>43</v>
      </c>
      <c r="D328" s="97">
        <f>E328+F328+G328</f>
        <v>33</v>
      </c>
      <c r="E328" s="93">
        <v>11</v>
      </c>
      <c r="F328" s="93">
        <v>11</v>
      </c>
      <c r="G328" s="93">
        <v>11</v>
      </c>
      <c r="H328" s="149"/>
    </row>
    <row r="329" spans="1:8" s="41" customFormat="1" ht="12.75">
      <c r="A329" s="208"/>
      <c r="B329" s="78" t="s">
        <v>124</v>
      </c>
      <c r="C329" s="148" t="s">
        <v>21</v>
      </c>
      <c r="D329" s="95">
        <f>E329+F329+G329</f>
        <v>4879.0199999999995</v>
      </c>
      <c r="E329" s="37">
        <v>1626.34</v>
      </c>
      <c r="F329" s="37">
        <v>1626.34</v>
      </c>
      <c r="G329" s="37">
        <v>1626.34</v>
      </c>
      <c r="H329" s="149"/>
    </row>
    <row r="330" spans="1:8" s="41" customFormat="1" ht="12.75">
      <c r="A330" s="208"/>
      <c r="B330" s="78" t="s">
        <v>27</v>
      </c>
      <c r="C330" s="148" t="s">
        <v>21</v>
      </c>
      <c r="D330" s="100">
        <f>E330+F330+G330</f>
        <v>5036.1</v>
      </c>
      <c r="E330" s="94">
        <v>1678.7</v>
      </c>
      <c r="F330" s="94">
        <v>1678.7</v>
      </c>
      <c r="G330" s="94">
        <v>1678.7</v>
      </c>
      <c r="H330" s="149"/>
    </row>
    <row r="331" spans="1:8" s="41" customFormat="1" ht="25.5">
      <c r="A331" s="208"/>
      <c r="B331" s="46" t="s">
        <v>115</v>
      </c>
      <c r="C331" s="104" t="s">
        <v>43</v>
      </c>
      <c r="D331" s="116">
        <f>E331+F331+G331</f>
        <v>5036.1</v>
      </c>
      <c r="E331" s="117">
        <v>1678.7</v>
      </c>
      <c r="F331" s="117">
        <v>1678.7</v>
      </c>
      <c r="G331" s="117">
        <v>1678.7</v>
      </c>
      <c r="H331" s="149"/>
    </row>
    <row r="332" spans="1:8" s="41" customFormat="1" ht="12.75">
      <c r="A332" s="204" t="s">
        <v>77</v>
      </c>
      <c r="B332" s="133"/>
      <c r="C332" s="149"/>
      <c r="D332" s="149"/>
      <c r="E332" s="149"/>
      <c r="F332" s="149"/>
      <c r="G332" s="149"/>
      <c r="H332" s="149"/>
    </row>
    <row r="333" spans="1:8" s="41" customFormat="1" ht="12.75">
      <c r="A333" s="209"/>
      <c r="B333" s="36" t="s">
        <v>28</v>
      </c>
      <c r="C333" s="148" t="s">
        <v>48</v>
      </c>
      <c r="D333" s="148">
        <f>E333+F333+G333</f>
        <v>60</v>
      </c>
      <c r="E333" s="93">
        <v>20</v>
      </c>
      <c r="F333" s="93">
        <v>20</v>
      </c>
      <c r="G333" s="93">
        <v>20</v>
      </c>
      <c r="H333" s="149"/>
    </row>
    <row r="334" spans="1:8" s="41" customFormat="1" ht="12.75">
      <c r="A334" s="209"/>
      <c r="B334" s="36" t="s">
        <v>29</v>
      </c>
      <c r="C334" s="148" t="s">
        <v>49</v>
      </c>
      <c r="D334" s="100">
        <f>E334+F334+G334</f>
        <v>930</v>
      </c>
      <c r="E334" s="94">
        <v>310</v>
      </c>
      <c r="F334" s="94">
        <v>310</v>
      </c>
      <c r="G334" s="94">
        <v>310</v>
      </c>
      <c r="H334" s="149"/>
    </row>
    <row r="335" spans="1:8" s="41" customFormat="1" ht="12.75">
      <c r="A335" s="291"/>
      <c r="B335" s="36" t="s">
        <v>353</v>
      </c>
      <c r="C335" s="148" t="s">
        <v>21</v>
      </c>
      <c r="D335" s="100">
        <f>E335</f>
        <v>1623.3</v>
      </c>
      <c r="E335" s="94">
        <v>1623.3</v>
      </c>
      <c r="F335" s="94"/>
      <c r="G335" s="94"/>
      <c r="H335" s="149"/>
    </row>
    <row r="336" spans="1:8" s="41" customFormat="1" ht="12.75">
      <c r="A336" s="204" t="s">
        <v>76</v>
      </c>
      <c r="B336" s="36"/>
      <c r="C336" s="148"/>
      <c r="D336" s="95"/>
      <c r="E336" s="37"/>
      <c r="F336" s="37"/>
      <c r="G336" s="37"/>
      <c r="H336" s="149"/>
    </row>
    <row r="337" spans="1:8" s="41" customFormat="1" ht="12.75">
      <c r="A337" s="205"/>
      <c r="B337" s="147" t="s">
        <v>35</v>
      </c>
      <c r="C337" s="148" t="s">
        <v>122</v>
      </c>
      <c r="D337" s="79">
        <f>E337+F337+G337</f>
        <v>59.91</v>
      </c>
      <c r="E337" s="38">
        <f>7.3+12.67</f>
        <v>19.97</v>
      </c>
      <c r="F337" s="38">
        <f>7.3+12.67</f>
        <v>19.97</v>
      </c>
      <c r="G337" s="38">
        <f>7.3+12.67</f>
        <v>19.97</v>
      </c>
      <c r="H337" s="149"/>
    </row>
    <row r="338" spans="1:8" s="41" customFormat="1" ht="12.75">
      <c r="A338" s="203" t="s">
        <v>200</v>
      </c>
      <c r="B338" s="36"/>
      <c r="C338" s="148"/>
      <c r="D338" s="148"/>
      <c r="E338" s="39"/>
      <c r="F338" s="39"/>
      <c r="G338" s="39"/>
      <c r="H338" s="149"/>
    </row>
    <row r="339" spans="1:8" s="41" customFormat="1" ht="12.75">
      <c r="A339" s="203"/>
      <c r="B339" s="36" t="s">
        <v>123</v>
      </c>
      <c r="C339" s="148" t="s">
        <v>45</v>
      </c>
      <c r="D339" s="38">
        <f>E339+F339+G339</f>
        <v>47.602</v>
      </c>
      <c r="E339" s="38">
        <v>26.576</v>
      </c>
      <c r="F339" s="38">
        <v>10.513</v>
      </c>
      <c r="G339" s="38">
        <v>10.513</v>
      </c>
      <c r="H339" s="149"/>
    </row>
    <row r="340" spans="1:8" s="41" customFormat="1" ht="25.5">
      <c r="A340" s="212"/>
      <c r="B340" s="133" t="s">
        <v>220</v>
      </c>
      <c r="C340" s="148" t="s">
        <v>21</v>
      </c>
      <c r="D340" s="93">
        <f>E340+F340+G340</f>
        <v>311937</v>
      </c>
      <c r="E340" s="93">
        <v>103979</v>
      </c>
      <c r="F340" s="93">
        <v>103979</v>
      </c>
      <c r="G340" s="93">
        <v>103979</v>
      </c>
      <c r="H340" s="149"/>
    </row>
    <row r="341" spans="1:8" s="41" customFormat="1" ht="12.75">
      <c r="A341" s="203" t="s">
        <v>201</v>
      </c>
      <c r="B341" s="36"/>
      <c r="C341" s="148"/>
      <c r="D341" s="148"/>
      <c r="E341" s="39"/>
      <c r="F341" s="39"/>
      <c r="G341" s="39"/>
      <c r="H341" s="149"/>
    </row>
    <row r="342" spans="1:8" s="41" customFormat="1" ht="25.5">
      <c r="A342" s="203"/>
      <c r="B342" s="133" t="s">
        <v>221</v>
      </c>
      <c r="C342" s="148" t="s">
        <v>21</v>
      </c>
      <c r="D342" s="93">
        <f>E342+F342+G342</f>
        <v>715503</v>
      </c>
      <c r="E342" s="93">
        <v>238501</v>
      </c>
      <c r="F342" s="93">
        <v>238501</v>
      </c>
      <c r="G342" s="93">
        <v>238501</v>
      </c>
      <c r="H342" s="149"/>
    </row>
    <row r="343" spans="1:7" s="56" customFormat="1" ht="42" customHeight="1">
      <c r="A343" s="212"/>
      <c r="B343" s="133" t="s">
        <v>222</v>
      </c>
      <c r="C343" s="148" t="s">
        <v>113</v>
      </c>
      <c r="D343" s="93">
        <f>E343+F343+G343</f>
        <v>618</v>
      </c>
      <c r="E343" s="93">
        <v>206</v>
      </c>
      <c r="F343" s="93">
        <v>206</v>
      </c>
      <c r="G343" s="93">
        <v>206</v>
      </c>
    </row>
    <row r="344" spans="1:7" s="56" customFormat="1" ht="10.5" customHeight="1">
      <c r="A344" s="203" t="s">
        <v>207</v>
      </c>
      <c r="B344" s="36"/>
      <c r="C344" s="148"/>
      <c r="D344" s="148"/>
      <c r="E344" s="39"/>
      <c r="F344" s="39"/>
      <c r="G344" s="39"/>
    </row>
    <row r="345" spans="1:7" s="56" customFormat="1" ht="41.25" customHeight="1">
      <c r="A345" s="203"/>
      <c r="B345" s="36" t="s">
        <v>223</v>
      </c>
      <c r="C345" s="148" t="s">
        <v>21</v>
      </c>
      <c r="D345" s="93">
        <f>E345+F345+G345</f>
        <v>581763</v>
      </c>
      <c r="E345" s="93">
        <v>193921</v>
      </c>
      <c r="F345" s="93">
        <v>193921</v>
      </c>
      <c r="G345" s="93">
        <v>193921</v>
      </c>
    </row>
    <row r="346" spans="1:7" s="56" customFormat="1" ht="41.25" customHeight="1">
      <c r="A346" s="143"/>
      <c r="B346" s="36" t="s">
        <v>333</v>
      </c>
      <c r="C346" s="148" t="s">
        <v>362</v>
      </c>
      <c r="D346" s="93">
        <f>E346+F346+G346</f>
        <v>1380</v>
      </c>
      <c r="E346" s="93">
        <v>460</v>
      </c>
      <c r="F346" s="93">
        <v>460</v>
      </c>
      <c r="G346" s="93">
        <v>460</v>
      </c>
    </row>
    <row r="347" spans="1:7" s="56" customFormat="1" ht="30.75" customHeight="1">
      <c r="A347" s="204" t="s">
        <v>75</v>
      </c>
      <c r="B347" s="133" t="s">
        <v>253</v>
      </c>
      <c r="C347" s="149"/>
      <c r="D347" s="149"/>
      <c r="E347" s="149"/>
      <c r="F347" s="149"/>
      <c r="G347" s="149"/>
    </row>
    <row r="348" spans="1:7" s="56" customFormat="1" ht="17.25" customHeight="1">
      <c r="A348" s="209"/>
      <c r="B348" s="56" t="s">
        <v>344</v>
      </c>
      <c r="C348" s="148" t="s">
        <v>43</v>
      </c>
      <c r="D348" s="97">
        <f>E348+F348+G348</f>
        <v>615</v>
      </c>
      <c r="E348" s="97">
        <v>615</v>
      </c>
      <c r="F348" s="97"/>
      <c r="G348" s="97"/>
    </row>
    <row r="349" spans="1:7" s="56" customFormat="1" ht="28.5" customHeight="1">
      <c r="A349" s="209"/>
      <c r="B349" s="36" t="s">
        <v>335</v>
      </c>
      <c r="C349" s="148" t="s">
        <v>43</v>
      </c>
      <c r="D349" s="97">
        <f>E349+F349+G349</f>
        <v>68</v>
      </c>
      <c r="E349" s="148">
        <v>68</v>
      </c>
      <c r="F349" s="148"/>
      <c r="G349" s="148"/>
    </row>
    <row r="350" spans="1:7" s="56" customFormat="1" ht="38.25" customHeight="1">
      <c r="A350" s="205"/>
      <c r="B350" s="152" t="s">
        <v>334</v>
      </c>
      <c r="C350" s="148" t="s">
        <v>43</v>
      </c>
      <c r="D350" s="97">
        <f>E350+F350+G350</f>
        <v>208</v>
      </c>
      <c r="E350" s="148">
        <v>208</v>
      </c>
      <c r="F350" s="148"/>
      <c r="G350" s="148"/>
    </row>
    <row r="351" spans="1:7" s="56" customFormat="1" ht="21" customHeight="1">
      <c r="A351" s="201" t="s">
        <v>86</v>
      </c>
      <c r="B351" s="201"/>
      <c r="C351" s="201"/>
      <c r="D351" s="201"/>
      <c r="E351" s="201"/>
      <c r="F351" s="201"/>
      <c r="G351" s="201"/>
    </row>
    <row r="352" spans="1:7" s="56" customFormat="1" ht="37.5" customHeight="1">
      <c r="A352" s="204" t="s">
        <v>60</v>
      </c>
      <c r="B352" s="36"/>
      <c r="C352" s="149"/>
      <c r="D352" s="149"/>
      <c r="E352" s="149"/>
      <c r="F352" s="149"/>
      <c r="G352" s="149"/>
    </row>
    <row r="353" spans="1:8" s="41" customFormat="1" ht="12.75" customHeight="1">
      <c r="A353" s="209"/>
      <c r="B353" s="36" t="s">
        <v>40</v>
      </c>
      <c r="C353" s="148" t="s">
        <v>45</v>
      </c>
      <c r="D353" s="148">
        <v>371.259</v>
      </c>
      <c r="E353" s="148">
        <v>123.753</v>
      </c>
      <c r="F353" s="148">
        <v>123.753</v>
      </c>
      <c r="G353" s="148">
        <v>123.753</v>
      </c>
      <c r="H353" s="149"/>
    </row>
    <row r="354" spans="1:8" s="41" customFormat="1" ht="12.75">
      <c r="A354" s="209"/>
      <c r="B354" s="36" t="s">
        <v>125</v>
      </c>
      <c r="C354" s="148" t="s">
        <v>45</v>
      </c>
      <c r="D354" s="95">
        <f>E354+F354+G354</f>
        <v>33.384</v>
      </c>
      <c r="E354" s="148">
        <v>11.128</v>
      </c>
      <c r="F354" s="148">
        <v>11.128</v>
      </c>
      <c r="G354" s="148">
        <v>11.128</v>
      </c>
      <c r="H354" s="97">
        <v>150108</v>
      </c>
    </row>
    <row r="355" spans="1:8" s="41" customFormat="1" ht="12.75">
      <c r="A355" s="209"/>
      <c r="B355" s="36" t="s">
        <v>119</v>
      </c>
      <c r="C355" s="148" t="s">
        <v>43</v>
      </c>
      <c r="D355" s="148">
        <f>E355+F355+G355</f>
        <v>408</v>
      </c>
      <c r="E355" s="148">
        <f>41+95</f>
        <v>136</v>
      </c>
      <c r="F355" s="148">
        <f>41+95</f>
        <v>136</v>
      </c>
      <c r="G355" s="148">
        <f>41+95</f>
        <v>136</v>
      </c>
      <c r="H355" s="149"/>
    </row>
    <row r="356" spans="1:8" s="41" customFormat="1" ht="25.5">
      <c r="A356" s="209"/>
      <c r="B356" s="36" t="s">
        <v>108</v>
      </c>
      <c r="C356" s="148" t="s">
        <v>43</v>
      </c>
      <c r="D356" s="148">
        <f>E356+F356+G356</f>
        <v>18</v>
      </c>
      <c r="E356" s="148">
        <v>6</v>
      </c>
      <c r="F356" s="148">
        <v>6</v>
      </c>
      <c r="G356" s="148">
        <v>6</v>
      </c>
      <c r="H356" s="149"/>
    </row>
    <row r="357" spans="1:8" s="41" customFormat="1" ht="12.75" customHeight="1">
      <c r="A357" s="138"/>
      <c r="B357" s="36" t="s">
        <v>193</v>
      </c>
      <c r="C357" s="148" t="s">
        <v>21</v>
      </c>
      <c r="D357" s="148">
        <f>E357+F357+G357</f>
        <v>134091</v>
      </c>
      <c r="E357" s="148">
        <v>44697</v>
      </c>
      <c r="F357" s="148">
        <v>44697</v>
      </c>
      <c r="G357" s="148">
        <v>44697</v>
      </c>
      <c r="H357" s="149"/>
    </row>
    <row r="358" spans="1:8" s="41" customFormat="1" ht="26.25" customHeight="1">
      <c r="A358" s="138"/>
      <c r="B358" s="36" t="s">
        <v>314</v>
      </c>
      <c r="C358" s="148" t="s">
        <v>316</v>
      </c>
      <c r="D358" s="148">
        <f>E358+F358+G358</f>
        <v>6375</v>
      </c>
      <c r="E358" s="148">
        <f>885+1240</f>
        <v>2125</v>
      </c>
      <c r="F358" s="148">
        <f>885+1240</f>
        <v>2125</v>
      </c>
      <c r="G358" s="148">
        <f>885+1240</f>
        <v>2125</v>
      </c>
      <c r="H358" s="149"/>
    </row>
    <row r="359" spans="1:8" s="41" customFormat="1" ht="12.75">
      <c r="A359" s="204" t="s">
        <v>70</v>
      </c>
      <c r="B359" s="36"/>
      <c r="C359" s="149"/>
      <c r="D359" s="149"/>
      <c r="E359" s="149"/>
      <c r="F359" s="149"/>
      <c r="G359" s="149"/>
      <c r="H359" s="149"/>
    </row>
    <row r="360" spans="1:8" s="41" customFormat="1" ht="27" customHeight="1">
      <c r="A360" s="209"/>
      <c r="B360" s="118" t="s">
        <v>37</v>
      </c>
      <c r="C360" s="148" t="s">
        <v>21</v>
      </c>
      <c r="D360" s="79">
        <f>E360+F360+G360</f>
        <v>2035.586</v>
      </c>
      <c r="E360" s="79">
        <v>1135.582</v>
      </c>
      <c r="F360" s="79">
        <v>450.002</v>
      </c>
      <c r="G360" s="79">
        <v>450.002</v>
      </c>
      <c r="H360" s="149"/>
    </row>
    <row r="361" spans="1:8" s="41" customFormat="1" ht="27" customHeight="1">
      <c r="A361" s="209"/>
      <c r="B361" s="118"/>
      <c r="C361" s="148" t="s">
        <v>362</v>
      </c>
      <c r="D361" s="79">
        <f>E361+F361+G361</f>
        <v>18.15</v>
      </c>
      <c r="E361" s="79">
        <v>6.05</v>
      </c>
      <c r="F361" s="79">
        <v>6.05</v>
      </c>
      <c r="G361" s="79">
        <v>6.05</v>
      </c>
      <c r="H361" s="149"/>
    </row>
    <row r="362" spans="1:8" s="41" customFormat="1" ht="25.5">
      <c r="A362" s="209"/>
      <c r="B362" s="36" t="s">
        <v>317</v>
      </c>
      <c r="C362" s="148" t="s">
        <v>43</v>
      </c>
      <c r="D362" s="97">
        <f aca="true" t="shared" si="5" ref="D362:D372">E362+F362+G362</f>
        <v>771</v>
      </c>
      <c r="E362" s="148">
        <v>257</v>
      </c>
      <c r="F362" s="148">
        <v>257</v>
      </c>
      <c r="G362" s="148">
        <v>257</v>
      </c>
      <c r="H362" s="149"/>
    </row>
    <row r="363" spans="1:8" s="41" customFormat="1" ht="12.75">
      <c r="A363" s="209"/>
      <c r="B363" s="36" t="s">
        <v>26</v>
      </c>
      <c r="C363" s="148" t="s">
        <v>21</v>
      </c>
      <c r="D363" s="95">
        <f t="shared" si="5"/>
        <v>2550.0299999999997</v>
      </c>
      <c r="E363" s="95">
        <v>850.01</v>
      </c>
      <c r="F363" s="95">
        <v>850.01</v>
      </c>
      <c r="G363" s="95">
        <v>850.01</v>
      </c>
      <c r="H363" s="149"/>
    </row>
    <row r="364" spans="1:8" s="41" customFormat="1" ht="12.75">
      <c r="A364" s="209"/>
      <c r="B364" s="36" t="s">
        <v>27</v>
      </c>
      <c r="C364" s="148" t="s">
        <v>43</v>
      </c>
      <c r="D364" s="97">
        <f t="shared" si="5"/>
        <v>171</v>
      </c>
      <c r="E364" s="97">
        <f>40+17</f>
        <v>57</v>
      </c>
      <c r="F364" s="97">
        <f>40+17</f>
        <v>57</v>
      </c>
      <c r="G364" s="97">
        <f>40+17</f>
        <v>57</v>
      </c>
      <c r="H364" s="149"/>
    </row>
    <row r="365" spans="1:8" s="41" customFormat="1" ht="12.75" customHeight="1">
      <c r="A365" s="209"/>
      <c r="B365" s="36" t="s">
        <v>165</v>
      </c>
      <c r="C365" s="148" t="s">
        <v>127</v>
      </c>
      <c r="D365" s="97">
        <f t="shared" si="5"/>
        <v>3309</v>
      </c>
      <c r="E365" s="97">
        <v>1103</v>
      </c>
      <c r="F365" s="97">
        <v>1103</v>
      </c>
      <c r="G365" s="97">
        <v>1103</v>
      </c>
      <c r="H365" s="149"/>
    </row>
    <row r="366" spans="1:8" s="41" customFormat="1" ht="12.75">
      <c r="A366" s="209"/>
      <c r="B366" s="36" t="s">
        <v>120</v>
      </c>
      <c r="C366" s="148" t="s">
        <v>43</v>
      </c>
      <c r="D366" s="97">
        <f t="shared" si="5"/>
        <v>135</v>
      </c>
      <c r="E366" s="97">
        <v>45</v>
      </c>
      <c r="F366" s="97">
        <v>45</v>
      </c>
      <c r="G366" s="97">
        <v>45</v>
      </c>
      <c r="H366" s="149"/>
    </row>
    <row r="367" spans="1:8" s="41" customFormat="1" ht="12.75">
      <c r="A367" s="205"/>
      <c r="B367" s="36" t="s">
        <v>155</v>
      </c>
      <c r="C367" s="148" t="s">
        <v>45</v>
      </c>
      <c r="D367" s="100">
        <f t="shared" si="5"/>
        <v>0.6000000000000001</v>
      </c>
      <c r="E367" s="148">
        <v>0.2</v>
      </c>
      <c r="F367" s="148">
        <v>0.2</v>
      </c>
      <c r="G367" s="148">
        <v>0.2</v>
      </c>
      <c r="H367" s="149"/>
    </row>
    <row r="368" spans="1:8" s="41" customFormat="1" ht="12.75" customHeight="1">
      <c r="A368" s="224" t="s">
        <v>77</v>
      </c>
      <c r="B368" s="133"/>
      <c r="C368" s="149"/>
      <c r="D368" s="149"/>
      <c r="E368" s="149"/>
      <c r="F368" s="149"/>
      <c r="G368" s="149"/>
      <c r="H368" s="149"/>
    </row>
    <row r="369" spans="1:8" s="41" customFormat="1" ht="12.75">
      <c r="A369" s="235"/>
      <c r="B369" s="36" t="s">
        <v>41</v>
      </c>
      <c r="C369" s="148" t="s">
        <v>50</v>
      </c>
      <c r="D369" s="100">
        <f t="shared" si="5"/>
        <v>202.5</v>
      </c>
      <c r="E369" s="148">
        <v>67.5</v>
      </c>
      <c r="F369" s="148">
        <v>67.5</v>
      </c>
      <c r="G369" s="148">
        <v>67.5</v>
      </c>
      <c r="H369" s="149"/>
    </row>
    <row r="370" spans="1:8" s="41" customFormat="1" ht="12.75">
      <c r="A370" s="235"/>
      <c r="B370" s="36" t="s">
        <v>28</v>
      </c>
      <c r="C370" s="148" t="s">
        <v>48</v>
      </c>
      <c r="D370" s="97">
        <f t="shared" si="5"/>
        <v>72</v>
      </c>
      <c r="E370" s="148">
        <v>24</v>
      </c>
      <c r="F370" s="148">
        <v>24</v>
      </c>
      <c r="G370" s="148">
        <v>24</v>
      </c>
      <c r="H370" s="149"/>
    </row>
    <row r="371" spans="1:8" s="41" customFormat="1" ht="12.75">
      <c r="A371" s="235"/>
      <c r="B371" s="36" t="s">
        <v>29</v>
      </c>
      <c r="C371" s="148" t="s">
        <v>113</v>
      </c>
      <c r="D371" s="97">
        <f t="shared" si="5"/>
        <v>1455</v>
      </c>
      <c r="E371" s="148">
        <v>485</v>
      </c>
      <c r="F371" s="148">
        <v>485</v>
      </c>
      <c r="G371" s="148">
        <v>485</v>
      </c>
      <c r="H371" s="149"/>
    </row>
    <row r="372" spans="1:8" s="41" customFormat="1" ht="12.75">
      <c r="A372" s="225"/>
      <c r="B372" s="144" t="s">
        <v>353</v>
      </c>
      <c r="C372" s="148" t="s">
        <v>21</v>
      </c>
      <c r="D372" s="97">
        <f t="shared" si="5"/>
        <v>79767</v>
      </c>
      <c r="E372" s="148">
        <v>26589</v>
      </c>
      <c r="F372" s="148">
        <v>26589</v>
      </c>
      <c r="G372" s="148">
        <v>26589</v>
      </c>
      <c r="H372" s="149"/>
    </row>
    <row r="373" spans="1:8" s="41" customFormat="1" ht="12.75">
      <c r="A373" s="208" t="s">
        <v>65</v>
      </c>
      <c r="B373" s="133"/>
      <c r="C373" s="149"/>
      <c r="D373" s="149"/>
      <c r="E373" s="149"/>
      <c r="F373" s="149"/>
      <c r="G373" s="149"/>
      <c r="H373" s="149"/>
    </row>
    <row r="374" spans="1:8" s="41" customFormat="1" ht="12.75" customHeight="1">
      <c r="A374" s="208"/>
      <c r="B374" s="133" t="s">
        <v>42</v>
      </c>
      <c r="C374" s="148" t="s">
        <v>50</v>
      </c>
      <c r="D374" s="79">
        <f>E374+F374+G374</f>
        <v>505.572</v>
      </c>
      <c r="E374" s="79">
        <v>168.524</v>
      </c>
      <c r="F374" s="148">
        <v>168.524</v>
      </c>
      <c r="G374" s="148">
        <v>168.524</v>
      </c>
      <c r="H374" s="149"/>
    </row>
    <row r="375" spans="1:8" s="41" customFormat="1" ht="12.75">
      <c r="A375" s="204" t="s">
        <v>76</v>
      </c>
      <c r="B375" s="36"/>
      <c r="C375" s="148"/>
      <c r="D375" s="148"/>
      <c r="E375" s="148"/>
      <c r="F375" s="148"/>
      <c r="G375" s="148"/>
      <c r="H375" s="149"/>
    </row>
    <row r="376" spans="1:8" s="41" customFormat="1" ht="12.75">
      <c r="A376" s="209"/>
      <c r="B376" s="147" t="s">
        <v>126</v>
      </c>
      <c r="C376" s="148" t="s">
        <v>122</v>
      </c>
      <c r="D376" s="148">
        <f aca="true" t="shared" si="6" ref="D376:D381">E376+F376+G376</f>
        <v>16.23</v>
      </c>
      <c r="E376" s="148">
        <v>5.41</v>
      </c>
      <c r="F376" s="148">
        <v>5.41</v>
      </c>
      <c r="G376" s="148">
        <v>5.41</v>
      </c>
      <c r="H376" s="149"/>
    </row>
    <row r="377" spans="1:8" s="41" customFormat="1" ht="12.75">
      <c r="A377" s="209"/>
      <c r="B377" s="147" t="s">
        <v>152</v>
      </c>
      <c r="C377" s="148" t="s">
        <v>43</v>
      </c>
      <c r="D377" s="148">
        <f t="shared" si="6"/>
        <v>9</v>
      </c>
      <c r="E377" s="148">
        <v>3</v>
      </c>
      <c r="F377" s="148">
        <v>3</v>
      </c>
      <c r="G377" s="148">
        <v>3</v>
      </c>
      <c r="H377" s="149"/>
    </row>
    <row r="378" spans="1:8" s="41" customFormat="1" ht="12.75">
      <c r="A378" s="205"/>
      <c r="B378" s="133" t="s">
        <v>167</v>
      </c>
      <c r="C378" s="148" t="s">
        <v>43</v>
      </c>
      <c r="D378" s="148">
        <f t="shared" si="6"/>
        <v>6</v>
      </c>
      <c r="E378" s="148">
        <v>2</v>
      </c>
      <c r="F378" s="148">
        <v>2</v>
      </c>
      <c r="G378" s="148">
        <v>2</v>
      </c>
      <c r="H378" s="149"/>
    </row>
    <row r="379" spans="1:8" s="41" customFormat="1" ht="12.75">
      <c r="A379" s="204" t="s">
        <v>244</v>
      </c>
      <c r="B379" s="119" t="s">
        <v>40</v>
      </c>
      <c r="C379" s="148" t="s">
        <v>45</v>
      </c>
      <c r="D379" s="79">
        <f t="shared" si="6"/>
        <v>50.82000000000001</v>
      </c>
      <c r="E379" s="79">
        <v>16.94</v>
      </c>
      <c r="F379" s="79">
        <v>16.94</v>
      </c>
      <c r="G379" s="79">
        <v>16.94</v>
      </c>
      <c r="H379" s="148">
        <v>168.42</v>
      </c>
    </row>
    <row r="380" spans="1:8" s="41" customFormat="1" ht="12.75" customHeight="1">
      <c r="A380" s="209"/>
      <c r="B380" s="119" t="s">
        <v>125</v>
      </c>
      <c r="C380" s="148" t="s">
        <v>45</v>
      </c>
      <c r="D380" s="79">
        <f t="shared" si="6"/>
        <v>50.82000000000001</v>
      </c>
      <c r="E380" s="79">
        <v>16.94</v>
      </c>
      <c r="F380" s="79">
        <v>16.94</v>
      </c>
      <c r="G380" s="79">
        <v>16.94</v>
      </c>
      <c r="H380" s="148"/>
    </row>
    <row r="381" spans="1:8" s="41" customFormat="1" ht="12.75">
      <c r="A381" s="205"/>
      <c r="B381" s="119" t="s">
        <v>29</v>
      </c>
      <c r="C381" s="148" t="s">
        <v>113</v>
      </c>
      <c r="D381" s="97">
        <f t="shared" si="6"/>
        <v>5700</v>
      </c>
      <c r="E381" s="97">
        <v>1900</v>
      </c>
      <c r="F381" s="97">
        <v>1900</v>
      </c>
      <c r="G381" s="97">
        <v>1900</v>
      </c>
      <c r="H381" s="148"/>
    </row>
    <row r="382" spans="1:8" s="41" customFormat="1" ht="63.75">
      <c r="A382" s="143" t="s">
        <v>265</v>
      </c>
      <c r="B382" s="120" t="s">
        <v>225</v>
      </c>
      <c r="C382" s="149" t="s">
        <v>43</v>
      </c>
      <c r="D382" s="98">
        <f>SUM(E382:G382)</f>
        <v>312</v>
      </c>
      <c r="E382" s="98">
        <v>104</v>
      </c>
      <c r="F382" s="98">
        <v>104</v>
      </c>
      <c r="G382" s="98">
        <v>104</v>
      </c>
      <c r="H382" s="148"/>
    </row>
    <row r="383" spans="1:8" s="41" customFormat="1" ht="63.75">
      <c r="A383" s="143" t="s">
        <v>248</v>
      </c>
      <c r="B383" s="121" t="s">
        <v>226</v>
      </c>
      <c r="C383" s="122" t="s">
        <v>21</v>
      </c>
      <c r="D383" s="97">
        <f>SUM(E383:G383)</f>
        <v>683202</v>
      </c>
      <c r="E383" s="97">
        <v>227734</v>
      </c>
      <c r="F383" s="97">
        <v>227734</v>
      </c>
      <c r="G383" s="97">
        <v>227734</v>
      </c>
      <c r="H383" s="148"/>
    </row>
    <row r="384" spans="1:8" s="41" customFormat="1" ht="30" customHeight="1">
      <c r="A384" s="146" t="s">
        <v>266</v>
      </c>
      <c r="B384" s="123" t="s">
        <v>227</v>
      </c>
      <c r="C384" s="148" t="s">
        <v>21</v>
      </c>
      <c r="D384" s="97">
        <f>SUM(E384:G384)</f>
        <v>8550</v>
      </c>
      <c r="E384" s="97">
        <v>2850</v>
      </c>
      <c r="F384" s="97">
        <v>2850</v>
      </c>
      <c r="G384" s="97">
        <v>2850</v>
      </c>
      <c r="H384" s="99"/>
    </row>
    <row r="385" spans="1:8" s="41" customFormat="1" ht="27.75" customHeight="1">
      <c r="A385" s="204" t="s">
        <v>75</v>
      </c>
      <c r="B385" s="123" t="s">
        <v>253</v>
      </c>
      <c r="C385" s="148"/>
      <c r="D385" s="97"/>
      <c r="E385" s="97"/>
      <c r="F385" s="97"/>
      <c r="G385" s="97"/>
      <c r="H385" s="99"/>
    </row>
    <row r="386" spans="1:8" s="41" customFormat="1" ht="24" customHeight="1">
      <c r="A386" s="209"/>
      <c r="B386" s="166" t="s">
        <v>373</v>
      </c>
      <c r="C386" s="148" t="s">
        <v>43</v>
      </c>
      <c r="D386" s="97">
        <f>SUM(E386:G386)</f>
        <v>1590</v>
      </c>
      <c r="E386" s="97">
        <v>530</v>
      </c>
      <c r="F386" s="97">
        <v>530</v>
      </c>
      <c r="G386" s="97">
        <v>530</v>
      </c>
      <c r="H386" s="99"/>
    </row>
    <row r="387" spans="1:8" s="41" customFormat="1" ht="29.25" customHeight="1">
      <c r="A387" s="205"/>
      <c r="B387" s="48" t="s">
        <v>298</v>
      </c>
      <c r="C387" s="148" t="s">
        <v>43</v>
      </c>
      <c r="D387" s="97">
        <f>E387+F387+G387</f>
        <v>230</v>
      </c>
      <c r="E387" s="148">
        <v>230</v>
      </c>
      <c r="F387" s="148"/>
      <c r="G387" s="148"/>
      <c r="H387" s="99"/>
    </row>
    <row r="388" spans="1:24" s="41" customFormat="1" ht="12.75">
      <c r="A388" s="284" t="s">
        <v>80</v>
      </c>
      <c r="B388" s="284"/>
      <c r="C388" s="284"/>
      <c r="D388" s="284"/>
      <c r="E388" s="284"/>
      <c r="F388" s="284"/>
      <c r="G388" s="284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</row>
    <row r="389" spans="1:24" s="41" customFormat="1" ht="12.75">
      <c r="A389" s="236" t="s">
        <v>287</v>
      </c>
      <c r="B389" s="236"/>
      <c r="C389" s="236"/>
      <c r="D389" s="236"/>
      <c r="E389" s="236"/>
      <c r="F389" s="236"/>
      <c r="G389" s="236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</row>
    <row r="390" spans="1:24" s="41" customFormat="1" ht="12.75">
      <c r="A390" s="208" t="s">
        <v>81</v>
      </c>
      <c r="B390" s="131"/>
      <c r="C390" s="149"/>
      <c r="D390" s="44"/>
      <c r="E390" s="44"/>
      <c r="F390" s="44"/>
      <c r="G390" s="44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</row>
    <row r="391" spans="1:24" s="41" customFormat="1" ht="25.5">
      <c r="A391" s="208"/>
      <c r="B391" s="133" t="s">
        <v>82</v>
      </c>
      <c r="C391" s="149" t="s">
        <v>43</v>
      </c>
      <c r="D391" s="149">
        <v>1</v>
      </c>
      <c r="E391" s="149">
        <v>1</v>
      </c>
      <c r="F391" s="149">
        <v>1</v>
      </c>
      <c r="G391" s="149">
        <v>1</v>
      </c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</row>
    <row r="392" spans="1:24" s="41" customFormat="1" ht="12.75" customHeight="1">
      <c r="A392" s="286" t="s">
        <v>309</v>
      </c>
      <c r="B392" s="287"/>
      <c r="C392" s="287"/>
      <c r="D392" s="287"/>
      <c r="E392" s="287"/>
      <c r="F392" s="287"/>
      <c r="G392" s="287"/>
      <c r="H392" s="287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</row>
    <row r="393" spans="1:24" s="41" customFormat="1" ht="12.75" customHeight="1">
      <c r="A393" s="204" t="s">
        <v>310</v>
      </c>
      <c r="B393" s="131"/>
      <c r="C393" s="148"/>
      <c r="D393" s="133"/>
      <c r="E393" s="149"/>
      <c r="F393" s="149"/>
      <c r="G393" s="149"/>
      <c r="H393" s="164">
        <f>SUM(H394:H394)</f>
        <v>0</v>
      </c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</row>
    <row r="394" spans="1:24" s="41" customFormat="1" ht="42.75" customHeight="1">
      <c r="A394" s="209"/>
      <c r="B394" s="133" t="s">
        <v>311</v>
      </c>
      <c r="C394" s="140" t="s">
        <v>93</v>
      </c>
      <c r="D394" s="149">
        <v>2</v>
      </c>
      <c r="E394" s="149">
        <v>2</v>
      </c>
      <c r="F394" s="149"/>
      <c r="G394" s="38"/>
      <c r="H394" s="165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</row>
    <row r="395" spans="1:8" s="41" customFormat="1" ht="42.75" customHeight="1">
      <c r="A395" s="209"/>
      <c r="B395" s="133" t="s">
        <v>376</v>
      </c>
      <c r="C395" s="148" t="s">
        <v>93</v>
      </c>
      <c r="D395" s="149">
        <v>1</v>
      </c>
      <c r="E395" s="149">
        <v>1</v>
      </c>
      <c r="F395" s="149"/>
      <c r="G395" s="38"/>
      <c r="H395" s="38"/>
    </row>
    <row r="396" spans="1:8" s="41" customFormat="1" ht="42.75" customHeight="1">
      <c r="A396" s="209"/>
      <c r="B396" s="133" t="s">
        <v>374</v>
      </c>
      <c r="C396" s="148" t="s">
        <v>93</v>
      </c>
      <c r="D396" s="149">
        <v>1</v>
      </c>
      <c r="E396" s="149">
        <v>1</v>
      </c>
      <c r="F396" s="149"/>
      <c r="G396" s="38"/>
      <c r="H396" s="38"/>
    </row>
    <row r="397" spans="1:8" s="41" customFormat="1" ht="12.75">
      <c r="A397" s="284" t="s">
        <v>148</v>
      </c>
      <c r="B397" s="284"/>
      <c r="C397" s="284"/>
      <c r="D397" s="284"/>
      <c r="E397" s="284"/>
      <c r="F397" s="284"/>
      <c r="G397" s="284"/>
      <c r="H397" s="149"/>
    </row>
    <row r="398" spans="1:8" s="56" customFormat="1" ht="12.75">
      <c r="A398" s="236" t="s">
        <v>287</v>
      </c>
      <c r="B398" s="236"/>
      <c r="C398" s="236"/>
      <c r="D398" s="236"/>
      <c r="E398" s="236"/>
      <c r="F398" s="236"/>
      <c r="G398" s="236"/>
      <c r="H398" s="133"/>
    </row>
    <row r="399" spans="1:8" s="56" customFormat="1" ht="63.75">
      <c r="A399" s="146" t="s">
        <v>147</v>
      </c>
      <c r="B399" s="133" t="s">
        <v>78</v>
      </c>
      <c r="C399" s="149" t="s">
        <v>51</v>
      </c>
      <c r="D399" s="149">
        <f>E399+F399+G399</f>
        <v>830</v>
      </c>
      <c r="E399" s="149">
        <v>300</v>
      </c>
      <c r="F399" s="149">
        <v>265</v>
      </c>
      <c r="G399" s="149">
        <v>265</v>
      </c>
      <c r="H399" s="133"/>
    </row>
    <row r="400" spans="1:8" s="56" customFormat="1" ht="12.75" customHeight="1">
      <c r="A400" s="284" t="s">
        <v>149</v>
      </c>
      <c r="B400" s="284"/>
      <c r="C400" s="284"/>
      <c r="D400" s="284"/>
      <c r="E400" s="284"/>
      <c r="F400" s="284"/>
      <c r="G400" s="284"/>
      <c r="H400" s="133"/>
    </row>
    <row r="401" spans="1:8" s="56" customFormat="1" ht="12.75">
      <c r="A401" s="236" t="s">
        <v>287</v>
      </c>
      <c r="B401" s="236"/>
      <c r="C401" s="236"/>
      <c r="D401" s="236"/>
      <c r="E401" s="236"/>
      <c r="F401" s="236"/>
      <c r="G401" s="236"/>
      <c r="H401" s="133"/>
    </row>
    <row r="402" spans="1:8" ht="25.5">
      <c r="A402" s="146" t="s">
        <v>146</v>
      </c>
      <c r="B402" s="133" t="s">
        <v>118</v>
      </c>
      <c r="C402" s="149" t="s">
        <v>51</v>
      </c>
      <c r="D402" s="149">
        <f>E402+F402+G402</f>
        <v>15</v>
      </c>
      <c r="E402" s="106">
        <v>5</v>
      </c>
      <c r="F402" s="106">
        <v>5</v>
      </c>
      <c r="G402" s="106">
        <v>5</v>
      </c>
      <c r="H402" s="44"/>
    </row>
    <row r="403" spans="1:8" ht="12.75">
      <c r="A403" s="215" t="s">
        <v>377</v>
      </c>
      <c r="B403" s="216"/>
      <c r="C403" s="216"/>
      <c r="D403" s="216"/>
      <c r="E403" s="216"/>
      <c r="F403" s="216"/>
      <c r="G403" s="217"/>
      <c r="H403" s="44"/>
    </row>
    <row r="404" spans="1:8" ht="12.75">
      <c r="A404" s="204" t="s">
        <v>378</v>
      </c>
      <c r="B404" s="133"/>
      <c r="C404" s="149"/>
      <c r="D404" s="149"/>
      <c r="E404" s="106"/>
      <c r="F404" s="106"/>
      <c r="G404" s="106"/>
      <c r="H404" s="44"/>
    </row>
    <row r="405" spans="1:8" ht="89.25" customHeight="1">
      <c r="A405" s="205"/>
      <c r="B405" s="187" t="s">
        <v>390</v>
      </c>
      <c r="C405" s="149" t="s">
        <v>93</v>
      </c>
      <c r="D405" s="149">
        <v>1</v>
      </c>
      <c r="E405" s="149">
        <v>1</v>
      </c>
      <c r="F405" s="106"/>
      <c r="G405" s="106"/>
      <c r="H405" s="44"/>
    </row>
    <row r="406" spans="1:8" ht="12.75">
      <c r="A406" s="124"/>
      <c r="B406" s="125"/>
      <c r="C406" s="126"/>
      <c r="D406" s="127"/>
      <c r="E406" s="127"/>
      <c r="F406" s="127"/>
      <c r="G406" s="127"/>
      <c r="H406" s="44"/>
    </row>
    <row r="407" spans="1:8" ht="27.75" customHeight="1">
      <c r="A407" s="174" t="s">
        <v>91</v>
      </c>
      <c r="B407" s="174"/>
      <c r="C407" s="174"/>
      <c r="D407" s="174"/>
      <c r="E407" s="174"/>
      <c r="F407" s="285" t="s">
        <v>168</v>
      </c>
      <c r="G407" s="285"/>
      <c r="H407" s="9"/>
    </row>
    <row r="408" ht="12.75">
      <c r="H408" s="9"/>
    </row>
    <row r="409" ht="12.75">
      <c r="H409" s="9"/>
    </row>
    <row r="410" ht="12.75">
      <c r="H410" s="9"/>
    </row>
    <row r="411" ht="12.75">
      <c r="H411" s="10"/>
    </row>
    <row r="412" spans="1:7" s="8" customFormat="1" ht="18.75" customHeight="1">
      <c r="A412" s="22"/>
      <c r="B412" s="92"/>
      <c r="C412" s="41"/>
      <c r="D412" s="92"/>
      <c r="E412" s="92"/>
      <c r="F412" s="92"/>
      <c r="G412" s="92"/>
    </row>
    <row r="413" spans="1:7" s="41" customFormat="1" ht="25.5" customHeight="1">
      <c r="A413" s="22"/>
      <c r="B413" s="92"/>
      <c r="D413" s="92"/>
      <c r="E413" s="92"/>
      <c r="F413" s="92"/>
      <c r="G413" s="92"/>
    </row>
    <row r="414" spans="1:7" s="41" customFormat="1" ht="17.25" customHeight="1">
      <c r="A414" s="22"/>
      <c r="B414" s="92"/>
      <c r="D414" s="92"/>
      <c r="E414" s="92"/>
      <c r="F414" s="92"/>
      <c r="G414" s="92"/>
    </row>
    <row r="415" spans="1:7" s="41" customFormat="1" ht="12.75">
      <c r="A415" s="22"/>
      <c r="B415" s="92"/>
      <c r="D415" s="92"/>
      <c r="E415" s="92"/>
      <c r="F415" s="92"/>
      <c r="G415" s="92"/>
    </row>
  </sheetData>
  <sheetProtection/>
  <mergeCells count="153">
    <mergeCell ref="A316:A318"/>
    <mergeCell ref="A323:A325"/>
    <mergeCell ref="A275:A277"/>
    <mergeCell ref="A332:A335"/>
    <mergeCell ref="A308:A309"/>
    <mergeCell ref="A314:A315"/>
    <mergeCell ref="A278:A283"/>
    <mergeCell ref="A310:A313"/>
    <mergeCell ref="A287:A288"/>
    <mergeCell ref="A303:A306"/>
    <mergeCell ref="A284:A286"/>
    <mergeCell ref="A296:A302"/>
    <mergeCell ref="A294:A295"/>
    <mergeCell ref="A147:A149"/>
    <mergeCell ref="A341:A343"/>
    <mergeCell ref="A289:A290"/>
    <mergeCell ref="A336:A337"/>
    <mergeCell ref="A252:A253"/>
    <mergeCell ref="A207:A208"/>
    <mergeCell ref="A257:A261"/>
    <mergeCell ref="A262:A266"/>
    <mergeCell ref="A267:A271"/>
    <mergeCell ref="A272:A274"/>
    <mergeCell ref="A80:A85"/>
    <mergeCell ref="A92:A105"/>
    <mergeCell ref="A54:G54"/>
    <mergeCell ref="A59:A60"/>
    <mergeCell ref="A64:A79"/>
    <mergeCell ref="D145:D146"/>
    <mergeCell ref="A62:G62"/>
    <mergeCell ref="A39:A40"/>
    <mergeCell ref="A41:H41"/>
    <mergeCell ref="A55:A56"/>
    <mergeCell ref="A34:G34"/>
    <mergeCell ref="A35:A36"/>
    <mergeCell ref="A37:H37"/>
    <mergeCell ref="A43:A44"/>
    <mergeCell ref="A58:G58"/>
    <mergeCell ref="A46:G46"/>
    <mergeCell ref="A30:G30"/>
    <mergeCell ref="A33:H33"/>
    <mergeCell ref="A38:G38"/>
    <mergeCell ref="A42:G42"/>
    <mergeCell ref="A31:A32"/>
    <mergeCell ref="A47:A48"/>
    <mergeCell ref="A129:A136"/>
    <mergeCell ref="A49:G49"/>
    <mergeCell ref="A50:G50"/>
    <mergeCell ref="A118:G118"/>
    <mergeCell ref="C108:C110"/>
    <mergeCell ref="A53:G53"/>
    <mergeCell ref="A57:H57"/>
    <mergeCell ref="B108:B110"/>
    <mergeCell ref="A86:A90"/>
    <mergeCell ref="B119:B120"/>
    <mergeCell ref="A145:A146"/>
    <mergeCell ref="A51:A52"/>
    <mergeCell ref="A127:A128"/>
    <mergeCell ref="E108:E110"/>
    <mergeCell ref="G108:G110"/>
    <mergeCell ref="A122:A126"/>
    <mergeCell ref="A119:A120"/>
    <mergeCell ref="D108:D110"/>
    <mergeCell ref="A121:G121"/>
    <mergeCell ref="A141:A142"/>
    <mergeCell ref="A143:A144"/>
    <mergeCell ref="A150:A155"/>
    <mergeCell ref="A25:G25"/>
    <mergeCell ref="A24:G24"/>
    <mergeCell ref="A63:G63"/>
    <mergeCell ref="E145:E146"/>
    <mergeCell ref="F145:F146"/>
    <mergeCell ref="B130:B131"/>
    <mergeCell ref="F108:F110"/>
    <mergeCell ref="A368:A372"/>
    <mergeCell ref="A29:H29"/>
    <mergeCell ref="A26:A28"/>
    <mergeCell ref="D13:D14"/>
    <mergeCell ref="E5:F5"/>
    <mergeCell ref="A16:G16"/>
    <mergeCell ref="A17:G17"/>
    <mergeCell ref="E6:G6"/>
    <mergeCell ref="A137:A140"/>
    <mergeCell ref="C145:C146"/>
    <mergeCell ref="E13:G13"/>
    <mergeCell ref="A8:G8"/>
    <mergeCell ref="A12:A14"/>
    <mergeCell ref="A18:A21"/>
    <mergeCell ref="A22:A23"/>
    <mergeCell ref="A400:G400"/>
    <mergeCell ref="A393:A396"/>
    <mergeCell ref="A106:A117"/>
    <mergeCell ref="A45:H45"/>
    <mergeCell ref="A373:A374"/>
    <mergeCell ref="A392:H392"/>
    <mergeCell ref="A403:G403"/>
    <mergeCell ref="A404:A405"/>
    <mergeCell ref="E1:F1"/>
    <mergeCell ref="E2:F2"/>
    <mergeCell ref="E3:F3"/>
    <mergeCell ref="B12:B14"/>
    <mergeCell ref="A9:G9"/>
    <mergeCell ref="C12:C14"/>
    <mergeCell ref="D12:G12"/>
    <mergeCell ref="A344:A345"/>
    <mergeCell ref="B319:B320"/>
    <mergeCell ref="A347:A350"/>
    <mergeCell ref="A388:G388"/>
    <mergeCell ref="A351:G351"/>
    <mergeCell ref="F407:G407"/>
    <mergeCell ref="A398:G398"/>
    <mergeCell ref="A390:A391"/>
    <mergeCell ref="A397:G397"/>
    <mergeCell ref="A401:G401"/>
    <mergeCell ref="A187:A188"/>
    <mergeCell ref="A206:G206"/>
    <mergeCell ref="A189:A190"/>
    <mergeCell ref="A210:A211"/>
    <mergeCell ref="A202:A203"/>
    <mergeCell ref="A389:G389"/>
    <mergeCell ref="A338:A340"/>
    <mergeCell ref="A293:G293"/>
    <mergeCell ref="E319:E320"/>
    <mergeCell ref="F319:F320"/>
    <mergeCell ref="D319:D320"/>
    <mergeCell ref="A326:A331"/>
    <mergeCell ref="A322:G322"/>
    <mergeCell ref="G319:G320"/>
    <mergeCell ref="C319:C320"/>
    <mergeCell ref="A385:A387"/>
    <mergeCell ref="A375:A378"/>
    <mergeCell ref="A352:A356"/>
    <mergeCell ref="A359:A367"/>
    <mergeCell ref="A379:A381"/>
    <mergeCell ref="A256:G256"/>
    <mergeCell ref="A244:A246"/>
    <mergeCell ref="A240:A243"/>
    <mergeCell ref="A212:A213"/>
    <mergeCell ref="A237:A239"/>
    <mergeCell ref="A247:A251"/>
    <mergeCell ref="A235:A236"/>
    <mergeCell ref="A229:A234"/>
    <mergeCell ref="A214:A228"/>
    <mergeCell ref="G145:G146"/>
    <mergeCell ref="A156:A157"/>
    <mergeCell ref="B145:B146"/>
    <mergeCell ref="A191:A200"/>
    <mergeCell ref="A165:A168"/>
    <mergeCell ref="A169:A181"/>
    <mergeCell ref="A182:A185"/>
    <mergeCell ref="A158:A162"/>
    <mergeCell ref="B167:B168"/>
    <mergeCell ref="A164:G164"/>
  </mergeCells>
  <printOptions horizontalCentered="1"/>
  <pageMargins left="1.1811023622047245" right="0.5511811023622047" top="1.1811023622047245" bottom="0.7874015748031497" header="0.1968503937007874" footer="0.1968503937007874"/>
  <pageSetup fitToHeight="7" horizontalDpi="600" verticalDpi="600" orientation="landscape" paperSize="9" scale="76" r:id="rId1"/>
  <headerFooter alignWithMargins="0">
    <oddHeader>&amp;C
&amp;P</oddHeader>
  </headerFooter>
  <rowBreaks count="10" manualBreakCount="10">
    <brk id="23" max="6" man="1"/>
    <brk id="53" max="6" man="1"/>
    <brk id="118" max="6" man="1"/>
    <brk id="149" max="6" man="1"/>
    <brk id="181" max="6" man="1"/>
    <brk id="213" max="6" man="1"/>
    <brk id="248" max="6" man="1"/>
    <brk id="277" max="6" man="1"/>
    <brk id="343" max="6" man="1"/>
    <brk id="3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2016-10-24T12:14:53Z</cp:lastPrinted>
  <dcterms:created xsi:type="dcterms:W3CDTF">1996-10-08T23:32:33Z</dcterms:created>
  <dcterms:modified xsi:type="dcterms:W3CDTF">2016-11-01T08:15:22Z</dcterms:modified>
  <cp:category/>
  <cp:version/>
  <cp:contentType/>
  <cp:contentStatus/>
</cp:coreProperties>
</file>