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1'!$A$1:$H$117</definedName>
    <definedName name="_xlnm.Print_Area" localSheetId="2">'Додаток 3'!$A$1:$G$130</definedName>
  </definedNames>
  <calcPr fullCalcOnLoad="1"/>
</workbook>
</file>

<file path=xl/sharedStrings.xml><?xml version="1.0" encoding="utf-8"?>
<sst xmlns="http://schemas.openxmlformats.org/spreadsheetml/2006/main" count="354" uniqueCount="159">
  <si>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</si>
  <si>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</si>
  <si>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</si>
  <si>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</si>
  <si>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</si>
  <si>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</si>
  <si>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</si>
  <si>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</si>
  <si>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</si>
  <si>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</si>
  <si>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</si>
  <si>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</si>
  <si>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</si>
  <si>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</si>
  <si>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</si>
  <si>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</si>
  <si>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</si>
  <si>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</si>
  <si>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</si>
  <si>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</si>
  <si>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</si>
  <si>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</si>
  <si>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</si>
  <si>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</si>
  <si>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</si>
  <si>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</si>
  <si>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од.</t>
  </si>
  <si>
    <t>Додаток 3</t>
  </si>
  <si>
    <t>Інші джерела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</si>
  <si>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</si>
  <si>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</si>
  <si>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</si>
  <si>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</si>
  <si>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</si>
  <si>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</si>
  <si>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</si>
  <si>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</si>
  <si>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</si>
  <si>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</si>
  <si>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</si>
  <si>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</si>
  <si>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</si>
  <si>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</si>
  <si>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</si>
  <si>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</si>
  <si>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>ЗАТВЕРДЖЕНО</t>
  </si>
  <si>
    <t>Рішення міської ради</t>
  </si>
  <si>
    <t>Р.О. Пидорич</t>
  </si>
  <si>
    <t>об'єктів</t>
  </si>
  <si>
    <t>проведення робіт по відновленню  асфальтового покриття прибудинкових територій та внутрішньоквартальних проїздів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</si>
  <si>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</si>
  <si>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</si>
  <si>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</si>
  <si>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</si>
  <si>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</si>
  <si>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</si>
  <si>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>тис.грн.</t>
  </si>
  <si>
    <t>з виконання Програми розвитку та утримання житлово-комунального господарства м. Запоріжжя на 2016-2018 роки</t>
  </si>
  <si>
    <t>Капітальний ремонт житлового фонду</t>
  </si>
  <si>
    <t>Капітальний ремонт житлового фонду, в тому числі:</t>
  </si>
  <si>
    <t>департамент житлово-комунального господарства Запорізької міської ради</t>
  </si>
  <si>
    <t>вибірковий капітальний ремонт житлових будинків</t>
  </si>
  <si>
    <t>капітальний ремонт покрівель житлових будинків</t>
  </si>
  <si>
    <t>заміна інженерних мереж водо-, теплопостачання</t>
  </si>
  <si>
    <t>капітальний ремонт електроживлячих стояків</t>
  </si>
  <si>
    <t>заміна газового обладнання</t>
  </si>
  <si>
    <t>модернізація, заміна, капітальний ремонт та експертиза ліфтового господарства</t>
  </si>
  <si>
    <t>малий капітальний ремонт  ліфтового господарства</t>
  </si>
  <si>
    <t>капітальний ремонт гуртожитків</t>
  </si>
  <si>
    <t>проведення капітального ремонту житлового фонду ОСББ</t>
  </si>
  <si>
    <t>капітальний ремонт будинків для передачі  в управління  створеним ОСББ (резерв)</t>
  </si>
  <si>
    <t>проектні роботи в т.ч.:</t>
  </si>
  <si>
    <t>інструментальне спостереження за деформацією житлових будинків</t>
  </si>
  <si>
    <t>капітальний ремонт квартир</t>
  </si>
  <si>
    <t>капітальний ремонт житлових будинків - переможців конкурсу "Моє чисте подвір'я"</t>
  </si>
  <si>
    <t>Забезпечення надійного та безперебійного функціонування житлово-експлуатаційного господарства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</si>
  <si>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</si>
  <si>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проведення державної повірки приладів обліку теплової енергії, які встановлені у жилому фонді комунальної власності</t>
  </si>
  <si>
    <t>виготовлення технічної документації житлових будинків для подальшої передачі в ОСББ,в тому числі:</t>
  </si>
  <si>
    <t>виготовлення (копії) інвентарних справ</t>
  </si>
  <si>
    <t>виготовлення (копії) технічних паспортів на будинки</t>
  </si>
  <si>
    <t>складання технічних паспортів на будинки</t>
  </si>
  <si>
    <t>виготовлення копії існуючих актів введення в експлуатацію або виписки із актів</t>
  </si>
  <si>
    <t xml:space="preserve">виготовлення технічних паспортів на ліфти з проведення експертизи </t>
  </si>
  <si>
    <t>виготовлення ситуаційного  плану з відображенням зовнішних мереж водопостачання та водовідведення</t>
  </si>
  <si>
    <t>знесення ветхих житлових будинків тому числі:</t>
  </si>
  <si>
    <t xml:space="preserve"> роботи з демонтажу будівельних конструкцій та вивіз будівельного сміття</t>
  </si>
  <si>
    <t>проведення технічної інвентаризації</t>
  </si>
  <si>
    <t>проведення інвентаризації, виготовлення технічного паспорту на житлове приміщення (житловий блок) та внесення змін до технічної документації (інвентарної справи), виготовлення поверхового плану</t>
  </si>
  <si>
    <t>Капітальний ремонт нежитлового будинку по вул. Артема, 50 в м. Запоріжжя</t>
  </si>
  <si>
    <t xml:space="preserve">Впровадження засобів обліку витрат та регулювання споживання води та теплової енергії </t>
  </si>
  <si>
    <t>Впровадження засобів обліку витрат та регулювання споживання води та теплової енергії , в тому числі:</t>
  </si>
  <si>
    <t>оснащення інженерних вводів багатоквартирних будинків засобами обліку теплової енергії</t>
  </si>
  <si>
    <t>забезпечення  будівництва та реконструкції об'єктів</t>
  </si>
  <si>
    <t>департамент економічного розвитку Запорізької міської ради</t>
  </si>
  <si>
    <t>Здійснення заходів з упередження аварій та техногенних катастроф</t>
  </si>
  <si>
    <t xml:space="preserve">реконструкція магістральних мереж теплопостачання </t>
  </si>
  <si>
    <t>Фінансова підтримка комунальних підприємств на поповнення обігових коштів</t>
  </si>
  <si>
    <t>виготовлення та встановлення інформаційних знаків, табличок з позначенням будинків та вулиць міста</t>
  </si>
  <si>
    <t>Придбання обладнання і предметів довгострокового користування, в тому числі:</t>
  </si>
  <si>
    <t>придбання комп'ютерної техніки та інших предметів довгострокового користування</t>
  </si>
  <si>
    <t>до Програми розвитку та утримання житлово-комунального господарства м. Запоріжжя на 2016-2018 роки</t>
  </si>
  <si>
    <t>до Програми розвитку та утримання житлово-комунального господарства              м. Запоріжжя на 2016-2018 роки</t>
  </si>
  <si>
    <t>виконання Програми розвитку та утримання житлово-комунального господарства м. Запоріжжя на 2016-2018 роки</t>
  </si>
  <si>
    <t>Головний розпорядник бюджетних коштів - департамент житлово-комунального господарства Запорізької міської ради</t>
  </si>
  <si>
    <t>будинок</t>
  </si>
  <si>
    <t>тис.п.м.</t>
  </si>
  <si>
    <t>капітальний ремонт будинків для передачі  в управління  створеним ОСББ</t>
  </si>
  <si>
    <t>оплата за виконані роботи з капітального ремонту житлового фонду у 2015 році</t>
  </si>
  <si>
    <t>башт</t>
  </si>
  <si>
    <t>тис.од.</t>
  </si>
  <si>
    <t>Головний розпорядник бюджетних коштів - департамент економічного розвитку Запорізької міської ради Запорізької міської ради</t>
  </si>
  <si>
    <t>Програми розвитку та утримання житлово-комунального господарства м. Запоріжжя на 2016-2018 роки</t>
  </si>
  <si>
    <t>до Програми розвитку та утримання житлово-комунального господарства        м. Запоріжжя на 2016-2018 роки</t>
  </si>
  <si>
    <t>ремонт нежитлового приміщення під дитячу кімнату у житловому будинку по пр. Соборний,81</t>
  </si>
  <si>
    <t>Органи місцевого самоврядування</t>
  </si>
  <si>
    <t>Оплата послуг (крім комунальних)</t>
  </si>
  <si>
    <t>Оплата послуг з технічного обслуговування обладнання та адміністрування програмного забезпечення</t>
  </si>
  <si>
    <t>капітальний ремонт систем димовидалення та пожежогасіння</t>
  </si>
  <si>
    <t>проведення технічного нагляду по відновленню асфальтового покриття прибудинкових територій та внутрішньоквартальних проїздів</t>
  </si>
  <si>
    <t>послуги</t>
  </si>
  <si>
    <t>Забезпечення житлом окремих категорій населення, в тому числі:</t>
  </si>
  <si>
    <t>Будівництво та придбання житла для окремих категорій населення</t>
  </si>
  <si>
    <t>од</t>
  </si>
  <si>
    <t>встановлення малих архітектурних формна прибудинковій території (лавок та урн )</t>
  </si>
  <si>
    <t>благоустрій прибудинкової території (заміна сходових маршів)</t>
  </si>
  <si>
    <t>внески у статутні капітали комунальних  підприємств міста (придбання спеціальної техніки), в тому числі:</t>
  </si>
  <si>
    <t>Комунальне підприємство "Водоканал"</t>
  </si>
  <si>
    <t>внески у статутні капітали комунальних  підприємств міста (придбання спеціальної техніки)</t>
  </si>
  <si>
    <t>послуги з проведення інвентаризації нежитлових  приміщень, гуртожитків та  виготовлення технічних паспортів з внесенням поточних змін на підставі наявних інвентаризаційних матеріалів</t>
  </si>
  <si>
    <t xml:space="preserve">Забезпечення придбання житла для окремих категорій населення </t>
  </si>
  <si>
    <t>встановлення малих архітектурних форм на прибудинковій території (лавки та урни )</t>
  </si>
  <si>
    <t>капітальний ремонт систем диспетчеризації ліфтів</t>
  </si>
  <si>
    <t>забезпечення безперебійного функціонування архітектурно-декоративного обладнання на баштах житлових будинків по пр. Соборному, 153, 171а, 175, 214, 220, бул. Шевченка, 24, вул. Моторобудівників,64</t>
  </si>
  <si>
    <t>прибирання, навантаження та вивіз листя в осінньо-зимовий період</t>
  </si>
  <si>
    <t>Комунальне підприємство "Наше місто" Запорізької міської ради</t>
  </si>
  <si>
    <t>тис кв м</t>
  </si>
  <si>
    <t>прибирання снігу та посипання території протиожеледними засобами</t>
  </si>
  <si>
    <t>тис.куб.м</t>
  </si>
  <si>
    <t>встановлення приладів обліку  електричної енергії</t>
  </si>
  <si>
    <t>поповнення обігових коштів для забезпечення стабільного функціонування комунальних підприємств у сфері житлово-комунального господарства</t>
  </si>
  <si>
    <t>Фінансова підтримка комунальних підприємств на поповнення обігових коштів для забезпечення стабільного функціонування комунальних підприємств у сфері житлово-комунального господарства, в тому числі:</t>
  </si>
  <si>
    <t>Утримання внутрішньо-квартальних проїздів в осінньо-зимовий період, в тому числі: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</si>
  <si>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</si>
  <si>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</si>
  <si>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>Концерн "Міські теплові мережі"</t>
  </si>
  <si>
    <t>проведення антивандальних заходів на встановлені лічильники теплової енергії</t>
  </si>
  <si>
    <t>капітальний ремонт підвального приміщення будівлі за адресою м.Запоріжжя вулиця Незалежної України 46-А</t>
  </si>
  <si>
    <t>капітальний ремонт приміщення будівлі за адресою м.Запоріжжя вулиця Незалежної України 46-А</t>
  </si>
  <si>
    <t>Площа капітального ремонту підвального приміщення будівлі за адресою м.Запоріжжя вулиця Незалежної України 46-А</t>
  </si>
  <si>
    <t>кв.м.</t>
  </si>
  <si>
    <t>Капітальний ремонт приміщення будівлі за адресою м.Запоріжжя вулиця Незалежної України 46-А</t>
  </si>
  <si>
    <t>санітарне обрізування дерев</t>
  </si>
  <si>
    <t>дератизація, дезінсекція житлових будинків</t>
  </si>
  <si>
    <t xml:space="preserve">санітарне обрізування дерев </t>
  </si>
  <si>
    <t>обрізування і звалювання аварійних та сухостійних дерев на прибудинкових територіях</t>
  </si>
  <si>
    <t>звалювання аварійних та сухостійних дерев на прибудинкових територіях</t>
  </si>
  <si>
    <t>звалювання аварійних  та сухостійних дерев на прибудинкових територіях</t>
  </si>
  <si>
    <t>30.11.2016 №60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</si>
</sst>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04" fontId="1" fillId="0" borderId="10" xfId="54" applyNumberFormat="1" applyFont="1" applyFill="1" applyBorder="1" applyAlignment="1">
      <alignment horizontal="center" vertical="top"/>
      <protection/>
    </xf>
    <xf numFmtId="204" fontId="1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204" fontId="3" fillId="0" borderId="10" xfId="54" applyNumberFormat="1" applyFont="1" applyFill="1" applyBorder="1" applyAlignment="1">
      <alignment horizontal="center" vertical="top"/>
      <protection/>
    </xf>
    <xf numFmtId="204" fontId="3" fillId="0" borderId="12" xfId="0" applyNumberFormat="1" applyFont="1" applyFill="1" applyBorder="1" applyAlignment="1">
      <alignment horizontal="center" vertical="top" wrapText="1"/>
    </xf>
    <xf numFmtId="204" fontId="4" fillId="0" borderId="0" xfId="0" applyNumberFormat="1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top" wrapText="1"/>
    </xf>
    <xf numFmtId="204" fontId="3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207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216" fontId="1" fillId="0" borderId="10" xfId="0" applyNumberFormat="1" applyFont="1" applyFill="1" applyBorder="1" applyAlignment="1">
      <alignment horizontal="center" vertical="top" wrapText="1"/>
    </xf>
    <xf numFmtId="206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top" wrapText="1"/>
    </xf>
    <xf numFmtId="204" fontId="1" fillId="0" borderId="0" xfId="0" applyNumberFormat="1" applyFont="1" applyFill="1" applyAlignment="1">
      <alignment horizontal="center" vertical="center" wrapText="1"/>
    </xf>
    <xf numFmtId="204" fontId="13" fillId="0" borderId="10" xfId="54" applyNumberFormat="1" applyFont="1" applyFill="1" applyBorder="1" applyAlignment="1">
      <alignment horizontal="center" vertical="top"/>
      <protection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20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14_розраухон потреби_16.09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L121"/>
  <sheetViews>
    <sheetView view="pageBreakPreview" zoomScale="90" zoomScaleNormal="90" zoomScaleSheetLayoutView="90" zoomScalePageLayoutView="0" workbookViewId="0" topLeftCell="A1">
      <selection activeCell="F8" sqref="F8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7.140625" style="2" customWidth="1"/>
    <col min="9" max="9" width="11.140625" style="1" bestFit="1" customWidth="1"/>
    <col min="10" max="10" width="10.140625" style="1" bestFit="1" customWidth="1"/>
    <col min="11" max="16384" width="9.140625" style="1" customWidth="1"/>
  </cols>
  <sheetData>
    <row r="5" spans="6:8" ht="20.25">
      <c r="F5" s="106" t="s">
        <v>45</v>
      </c>
      <c r="G5" s="106"/>
      <c r="H5" s="106"/>
    </row>
    <row r="6" spans="6:8" ht="20.25">
      <c r="F6" s="106" t="s">
        <v>46</v>
      </c>
      <c r="G6" s="106"/>
      <c r="H6" s="106"/>
    </row>
    <row r="7" spans="6:8" ht="20.25">
      <c r="F7" s="130" t="s">
        <v>158</v>
      </c>
      <c r="G7" s="130"/>
      <c r="H7" s="130"/>
    </row>
    <row r="8" spans="6:8" ht="20.25">
      <c r="F8" s="44"/>
      <c r="G8" s="44"/>
      <c r="H8" s="44"/>
    </row>
    <row r="9" spans="3:8" s="15" customFormat="1" ht="20.25" customHeight="1">
      <c r="C9" s="16"/>
      <c r="D9" s="16"/>
      <c r="E9" s="16"/>
      <c r="F9" s="106" t="s">
        <v>7</v>
      </c>
      <c r="G9" s="106"/>
      <c r="H9" s="106"/>
    </row>
    <row r="10" spans="3:8" s="15" customFormat="1" ht="81.75" customHeight="1">
      <c r="C10" s="16"/>
      <c r="D10" s="16"/>
      <c r="E10" s="16"/>
      <c r="F10" s="106" t="s">
        <v>101</v>
      </c>
      <c r="G10" s="106"/>
      <c r="H10" s="106"/>
    </row>
    <row r="12" spans="1:8" s="15" customFormat="1" ht="20.25">
      <c r="A12" s="107" t="s">
        <v>6</v>
      </c>
      <c r="B12" s="107"/>
      <c r="C12" s="107"/>
      <c r="D12" s="107"/>
      <c r="E12" s="107"/>
      <c r="F12" s="107"/>
      <c r="G12" s="107"/>
      <c r="H12" s="107"/>
    </row>
    <row r="13" spans="1:8" s="15" customFormat="1" ht="20.25">
      <c r="A13" s="112" t="s">
        <v>57</v>
      </c>
      <c r="B13" s="112"/>
      <c r="C13" s="112"/>
      <c r="D13" s="112"/>
      <c r="E13" s="112"/>
      <c r="F13" s="112"/>
      <c r="G13" s="112"/>
      <c r="H13" s="112"/>
    </row>
    <row r="14" spans="1:8" s="15" customFormat="1" ht="9.75" customHeight="1">
      <c r="A14" s="32"/>
      <c r="B14" s="32"/>
      <c r="C14" s="32"/>
      <c r="D14" s="32"/>
      <c r="E14" s="32"/>
      <c r="F14" s="32"/>
      <c r="G14" s="32"/>
      <c r="H14" s="32"/>
    </row>
    <row r="15" spans="1:8" s="4" customFormat="1" ht="23.25" customHeight="1">
      <c r="A15" s="105" t="s">
        <v>0</v>
      </c>
      <c r="B15" s="105" t="s">
        <v>1</v>
      </c>
      <c r="C15" s="105" t="s">
        <v>2</v>
      </c>
      <c r="D15" s="105" t="s">
        <v>3</v>
      </c>
      <c r="E15" s="105" t="s">
        <v>33</v>
      </c>
      <c r="F15" s="105"/>
      <c r="G15" s="105"/>
      <c r="H15" s="105"/>
    </row>
    <row r="16" spans="1:8" s="4" customFormat="1" ht="23.25" customHeight="1">
      <c r="A16" s="105"/>
      <c r="B16" s="105"/>
      <c r="C16" s="105"/>
      <c r="D16" s="105"/>
      <c r="E16" s="105" t="s">
        <v>4</v>
      </c>
      <c r="F16" s="105" t="s">
        <v>5</v>
      </c>
      <c r="G16" s="105"/>
      <c r="H16" s="105"/>
    </row>
    <row r="17" spans="1:8" s="4" customFormat="1" ht="12.75">
      <c r="A17" s="105"/>
      <c r="B17" s="105"/>
      <c r="C17" s="105"/>
      <c r="D17" s="105"/>
      <c r="E17" s="105"/>
      <c r="F17" s="3">
        <v>2016</v>
      </c>
      <c r="G17" s="3">
        <v>2017</v>
      </c>
      <c r="H17" s="3">
        <v>2018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93" t="s">
        <v>58</v>
      </c>
      <c r="B19" s="94"/>
      <c r="C19" s="94"/>
      <c r="D19" s="94"/>
      <c r="E19" s="94"/>
      <c r="F19" s="94"/>
      <c r="G19" s="94"/>
      <c r="H19" s="95"/>
    </row>
    <row r="20" spans="1:12" s="4" customFormat="1" ht="12.75" customHeight="1">
      <c r="A20" s="88" t="s">
        <v>59</v>
      </c>
      <c r="B20" s="27"/>
      <c r="C20" s="91" t="s">
        <v>143</v>
      </c>
      <c r="D20" s="97" t="s">
        <v>19</v>
      </c>
      <c r="E20" s="5">
        <f>SUM(E21:E39)-E35</f>
        <v>903786.7000000002</v>
      </c>
      <c r="F20" s="5">
        <f>SUM(F21:F40)-F35</f>
        <v>322317.322</v>
      </c>
      <c r="G20" s="5">
        <f>SUM(G21:G39)-G35</f>
        <v>270157.5</v>
      </c>
      <c r="H20" s="5">
        <f>SUM(H21:H39)-H35</f>
        <v>311311.878</v>
      </c>
      <c r="J20" s="80"/>
      <c r="L20" s="80"/>
    </row>
    <row r="21" spans="1:12" s="4" customFormat="1" ht="25.5">
      <c r="A21" s="89"/>
      <c r="B21" s="6" t="s">
        <v>61</v>
      </c>
      <c r="C21" s="96"/>
      <c r="D21" s="98"/>
      <c r="E21" s="7">
        <f aca="true" t="shared" si="0" ref="E21:E38">F21+G21+H21</f>
        <v>213361.923</v>
      </c>
      <c r="F21" s="7">
        <f>67467.227-17156.862-13000+269.055+5733.179+2639+34730-767.434+22.52+788.187-265.49-6309.51-3219.198+820.321-1093.619+1211.95+1662.636+355</f>
        <v>73886.962</v>
      </c>
      <c r="G21" s="7">
        <v>73173.513</v>
      </c>
      <c r="H21" s="7">
        <v>66301.448</v>
      </c>
      <c r="J21" s="80"/>
      <c r="L21" s="80"/>
    </row>
    <row r="22" spans="1:12" s="4" customFormat="1" ht="25.5">
      <c r="A22" s="89"/>
      <c r="B22" s="6" t="s">
        <v>62</v>
      </c>
      <c r="C22" s="96"/>
      <c r="D22" s="98"/>
      <c r="E22" s="7">
        <f t="shared" si="0"/>
        <v>194914.103</v>
      </c>
      <c r="F22" s="7">
        <f>56537.374+403.071+73.93+20000-2160-350.811-355-435.364-46.558</f>
        <v>73666.64199999999</v>
      </c>
      <c r="G22" s="7">
        <v>50273.113</v>
      </c>
      <c r="H22" s="7">
        <v>70974.348</v>
      </c>
      <c r="J22" s="80"/>
      <c r="L22" s="80"/>
    </row>
    <row r="23" spans="1:10" s="4" customFormat="1" ht="25.5">
      <c r="A23" s="89"/>
      <c r="B23" s="6" t="s">
        <v>63</v>
      </c>
      <c r="C23" s="96"/>
      <c r="D23" s="98"/>
      <c r="E23" s="7">
        <f t="shared" si="0"/>
        <v>41075.19</v>
      </c>
      <c r="F23" s="7">
        <f>15000-457.868+1148+74.8-689.742</f>
        <v>15075.189999999999</v>
      </c>
      <c r="G23" s="7">
        <v>12300</v>
      </c>
      <c r="H23" s="7">
        <v>13700</v>
      </c>
      <c r="J23" s="80"/>
    </row>
    <row r="24" spans="1:10" s="4" customFormat="1" ht="25.5">
      <c r="A24" s="89"/>
      <c r="B24" s="6" t="s">
        <v>64</v>
      </c>
      <c r="C24" s="96"/>
      <c r="D24" s="98"/>
      <c r="E24" s="7">
        <f t="shared" si="0"/>
        <v>3773.362</v>
      </c>
      <c r="F24" s="7">
        <v>3773.362</v>
      </c>
      <c r="G24" s="7">
        <v>0</v>
      </c>
      <c r="H24" s="7">
        <v>0</v>
      </c>
      <c r="J24" s="80"/>
    </row>
    <row r="25" spans="1:10" s="4" customFormat="1" ht="25.5">
      <c r="A25" s="89"/>
      <c r="B25" s="6" t="s">
        <v>139</v>
      </c>
      <c r="C25" s="96"/>
      <c r="D25" s="98"/>
      <c r="E25" s="7">
        <f t="shared" si="0"/>
        <v>898.032</v>
      </c>
      <c r="F25" s="7">
        <v>898.032</v>
      </c>
      <c r="G25" s="7"/>
      <c r="H25" s="7"/>
      <c r="J25" s="80"/>
    </row>
    <row r="26" spans="1:10" s="4" customFormat="1" ht="15.75" customHeight="1">
      <c r="A26" s="89"/>
      <c r="B26" s="6" t="s">
        <v>65</v>
      </c>
      <c r="C26" s="96"/>
      <c r="D26" s="98"/>
      <c r="E26" s="7">
        <f t="shared" si="0"/>
        <v>130</v>
      </c>
      <c r="F26" s="7">
        <v>130</v>
      </c>
      <c r="G26" s="7">
        <v>0</v>
      </c>
      <c r="H26" s="7">
        <v>0</v>
      </c>
      <c r="J26" s="80"/>
    </row>
    <row r="27" spans="1:10" s="4" customFormat="1" ht="38.25">
      <c r="A27" s="89"/>
      <c r="B27" s="6" t="s">
        <v>66</v>
      </c>
      <c r="C27" s="96"/>
      <c r="D27" s="98"/>
      <c r="E27" s="7">
        <f t="shared" si="0"/>
        <v>217106.19</v>
      </c>
      <c r="F27" s="7">
        <f>20000+5786.8+53900</f>
        <v>79686.8</v>
      </c>
      <c r="G27" s="7">
        <v>63871</v>
      </c>
      <c r="H27" s="7">
        <v>73548.39</v>
      </c>
      <c r="J27" s="80"/>
    </row>
    <row r="28" spans="1:10" s="4" customFormat="1" ht="25.5">
      <c r="A28" s="89"/>
      <c r="B28" s="6" t="s">
        <v>118</v>
      </c>
      <c r="C28" s="96"/>
      <c r="D28" s="98"/>
      <c r="E28" s="7">
        <f t="shared" si="0"/>
        <v>265.49</v>
      </c>
      <c r="F28" s="7">
        <v>265.49</v>
      </c>
      <c r="G28" s="7">
        <v>0</v>
      </c>
      <c r="H28" s="7">
        <v>0</v>
      </c>
      <c r="J28" s="80"/>
    </row>
    <row r="29" spans="1:10" s="4" customFormat="1" ht="25.5">
      <c r="A29" s="89"/>
      <c r="B29" s="6" t="s">
        <v>67</v>
      </c>
      <c r="C29" s="96"/>
      <c r="D29" s="98"/>
      <c r="E29" s="7">
        <f t="shared" si="0"/>
        <v>10394.099</v>
      </c>
      <c r="F29" s="7">
        <f>9363.5+1030.599</f>
        <v>10394.099</v>
      </c>
      <c r="G29" s="7">
        <v>0</v>
      </c>
      <c r="H29" s="7">
        <v>0</v>
      </c>
      <c r="J29" s="80"/>
    </row>
    <row r="30" spans="1:10" s="4" customFormat="1" ht="25.5">
      <c r="A30" s="89"/>
      <c r="B30" s="6" t="s">
        <v>132</v>
      </c>
      <c r="C30" s="96"/>
      <c r="D30" s="98"/>
      <c r="E30" s="7">
        <f t="shared" si="0"/>
        <v>108</v>
      </c>
      <c r="F30" s="7">
        <v>108</v>
      </c>
      <c r="G30" s="7"/>
      <c r="H30" s="7"/>
      <c r="J30" s="80"/>
    </row>
    <row r="31" spans="1:10" s="4" customFormat="1" ht="12.75">
      <c r="A31" s="89"/>
      <c r="B31" s="6" t="s">
        <v>68</v>
      </c>
      <c r="C31" s="96"/>
      <c r="D31" s="98"/>
      <c r="E31" s="7">
        <f t="shared" si="0"/>
        <v>21516.772</v>
      </c>
      <c r="F31" s="7">
        <f>6060.637-50-1278.172</f>
        <v>4732.465</v>
      </c>
      <c r="G31" s="7">
        <v>9324.615</v>
      </c>
      <c r="H31" s="7">
        <v>7459.692</v>
      </c>
      <c r="J31" s="80"/>
    </row>
    <row r="32" spans="1:10" s="4" customFormat="1" ht="25.5">
      <c r="A32" s="89"/>
      <c r="B32" s="6" t="s">
        <v>69</v>
      </c>
      <c r="C32" s="96"/>
      <c r="D32" s="98"/>
      <c r="E32" s="7">
        <f t="shared" si="0"/>
        <v>192454.812</v>
      </c>
      <c r="F32" s="7">
        <f>15000+29550.204+10000+661.235-391.71+281.824</f>
        <v>55101.553</v>
      </c>
      <c r="G32" s="7">
        <v>58825.259</v>
      </c>
      <c r="H32" s="7">
        <v>78528</v>
      </c>
      <c r="J32" s="80"/>
    </row>
    <row r="33" spans="1:10" s="4" customFormat="1" ht="38.25">
      <c r="A33" s="89"/>
      <c r="B33" s="6" t="s">
        <v>70</v>
      </c>
      <c r="C33" s="96"/>
      <c r="D33" s="98"/>
      <c r="E33" s="7">
        <f t="shared" si="0"/>
        <v>324.83399999999943</v>
      </c>
      <c r="F33" s="7">
        <f>17156.862+13000-29550.204-281.824</f>
        <v>324.83399999999943</v>
      </c>
      <c r="G33" s="7"/>
      <c r="H33" s="7"/>
      <c r="J33" s="80"/>
    </row>
    <row r="34" spans="1:10" s="4" customFormat="1" ht="12.75">
      <c r="A34" s="89"/>
      <c r="B34" s="6" t="s">
        <v>71</v>
      </c>
      <c r="C34" s="96"/>
      <c r="D34" s="98"/>
      <c r="E34" s="7">
        <f t="shared" si="0"/>
        <v>1270.299</v>
      </c>
      <c r="F34" s="7">
        <f>F35+50</f>
        <v>550.299</v>
      </c>
      <c r="G34" s="7">
        <v>360</v>
      </c>
      <c r="H34" s="7">
        <v>360</v>
      </c>
      <c r="J34" s="80"/>
    </row>
    <row r="35" spans="1:10" s="4" customFormat="1" ht="38.25">
      <c r="A35" s="89"/>
      <c r="B35" s="33" t="s">
        <v>72</v>
      </c>
      <c r="C35" s="96"/>
      <c r="D35" s="98"/>
      <c r="E35" s="49">
        <f t="shared" si="0"/>
        <v>1220.299</v>
      </c>
      <c r="F35" s="49">
        <f>358+24.755+46.82+58.724+12</f>
        <v>500.299</v>
      </c>
      <c r="G35" s="49">
        <v>360</v>
      </c>
      <c r="H35" s="49">
        <v>360</v>
      </c>
      <c r="J35" s="80"/>
    </row>
    <row r="36" spans="1:10" s="4" customFormat="1" ht="12.75">
      <c r="A36" s="89"/>
      <c r="B36" s="6" t="s">
        <v>73</v>
      </c>
      <c r="C36" s="96"/>
      <c r="D36" s="98"/>
      <c r="E36" s="7">
        <f t="shared" si="0"/>
        <v>3890</v>
      </c>
      <c r="F36" s="7">
        <f>2390-90</f>
        <v>2300</v>
      </c>
      <c r="G36" s="7">
        <v>1590</v>
      </c>
      <c r="H36" s="7">
        <v>0</v>
      </c>
      <c r="J36" s="80"/>
    </row>
    <row r="37" spans="1:10" s="4" customFormat="1" ht="38.25">
      <c r="A37" s="89"/>
      <c r="B37" s="6" t="s">
        <v>74</v>
      </c>
      <c r="C37" s="96"/>
      <c r="D37" s="98"/>
      <c r="E37" s="7">
        <f t="shared" si="0"/>
        <v>1596.887</v>
      </c>
      <c r="F37" s="7">
        <f>614.543+102.344</f>
        <v>716.887</v>
      </c>
      <c r="G37" s="7">
        <v>440</v>
      </c>
      <c r="H37" s="7">
        <v>440</v>
      </c>
      <c r="J37" s="80"/>
    </row>
    <row r="38" spans="1:10" s="4" customFormat="1" ht="51" customHeight="1">
      <c r="A38" s="89"/>
      <c r="B38" s="34" t="s">
        <v>131</v>
      </c>
      <c r="C38" s="96"/>
      <c r="D38" s="98"/>
      <c r="E38" s="7">
        <f t="shared" si="0"/>
        <v>635</v>
      </c>
      <c r="F38" s="7">
        <f>635</f>
        <v>635</v>
      </c>
      <c r="G38" s="7"/>
      <c r="H38" s="7"/>
      <c r="J38" s="80"/>
    </row>
    <row r="39" spans="1:10" s="4" customFormat="1" ht="37.5" customHeight="1">
      <c r="A39" s="89"/>
      <c r="B39" s="34" t="s">
        <v>125</v>
      </c>
      <c r="C39" s="96"/>
      <c r="D39" s="98"/>
      <c r="E39" s="7">
        <f>F39</f>
        <v>71.707</v>
      </c>
      <c r="F39" s="7">
        <v>71.707</v>
      </c>
      <c r="G39" s="7"/>
      <c r="H39" s="7"/>
      <c r="J39" s="80"/>
    </row>
    <row r="40" spans="1:10" s="4" customFormat="1" ht="38.25" hidden="1">
      <c r="A40" s="90"/>
      <c r="B40" s="37" t="s">
        <v>146</v>
      </c>
      <c r="C40" s="92"/>
      <c r="D40" s="99"/>
      <c r="E40" s="7">
        <f>F40</f>
        <v>0</v>
      </c>
      <c r="F40" s="29"/>
      <c r="G40" s="7"/>
      <c r="H40" s="7"/>
      <c r="J40" s="80"/>
    </row>
    <row r="41" spans="1:10" s="4" customFormat="1" ht="12.75">
      <c r="A41" s="93" t="s">
        <v>75</v>
      </c>
      <c r="B41" s="94"/>
      <c r="C41" s="94"/>
      <c r="D41" s="94"/>
      <c r="E41" s="94"/>
      <c r="F41" s="94"/>
      <c r="G41" s="94"/>
      <c r="H41" s="95"/>
      <c r="J41" s="80"/>
    </row>
    <row r="42" spans="1:10" s="4" customFormat="1" ht="12.75" customHeight="1">
      <c r="A42" s="108" t="s">
        <v>35</v>
      </c>
      <c r="B42" s="27"/>
      <c r="C42" s="91" t="s">
        <v>143</v>
      </c>
      <c r="D42" s="91" t="s">
        <v>19</v>
      </c>
      <c r="E42" s="5">
        <f>F42+G42+H42</f>
        <v>27254.457599399997</v>
      </c>
      <c r="F42" s="5">
        <f>SUM(F43:F62)-F49-F50-F51-F52-F53-F54-F56-F57+F63</f>
        <v>23396.501129999997</v>
      </c>
      <c r="G42" s="5">
        <f>SUM(G43:G62)-G49-G50-G51-G52-G53-G54-G56-G57</f>
        <v>1877.35108</v>
      </c>
      <c r="H42" s="5">
        <f>SUM(H43:H62)-H49-H50-H51-H52-H53-H54-H56-H57</f>
        <v>1980.6053893999997</v>
      </c>
      <c r="J42" s="80"/>
    </row>
    <row r="43" spans="1:8" s="4" customFormat="1" ht="89.25">
      <c r="A43" s="109"/>
      <c r="B43" s="6" t="s">
        <v>133</v>
      </c>
      <c r="C43" s="110"/>
      <c r="D43" s="96"/>
      <c r="E43" s="7">
        <f aca="true" t="shared" si="1" ref="E43:E87">F43+G43+H43</f>
        <v>2271.125775</v>
      </c>
      <c r="F43" s="7">
        <v>705</v>
      </c>
      <c r="G43" s="7">
        <f>F43*1.081</f>
        <v>762.105</v>
      </c>
      <c r="H43" s="7">
        <f>G43*1.055</f>
        <v>804.020775</v>
      </c>
    </row>
    <row r="44" spans="1:8" s="4" customFormat="1" ht="38.25">
      <c r="A44" s="109"/>
      <c r="B44" s="6" t="s">
        <v>156</v>
      </c>
      <c r="C44" s="110"/>
      <c r="D44" s="96"/>
      <c r="E44" s="7">
        <f>F44+G44+H44</f>
        <v>181.701</v>
      </c>
      <c r="F44" s="7">
        <v>181.701</v>
      </c>
      <c r="G44" s="7"/>
      <c r="H44" s="7"/>
    </row>
    <row r="45" spans="1:8" s="4" customFormat="1" ht="19.5" customHeight="1">
      <c r="A45" s="109"/>
      <c r="B45" s="24" t="s">
        <v>152</v>
      </c>
      <c r="C45" s="110"/>
      <c r="D45" s="96"/>
      <c r="E45" s="7">
        <f>F45+G45+H45</f>
        <v>3323.5106943999995</v>
      </c>
      <c r="F45" s="7">
        <f>3239-2207.32</f>
        <v>1031.6799999999998</v>
      </c>
      <c r="G45" s="7">
        <f>F45*1.081</f>
        <v>1115.24608</v>
      </c>
      <c r="H45" s="7">
        <f>G45*1.055</f>
        <v>1176.5846143999997</v>
      </c>
    </row>
    <row r="46" spans="1:8" s="4" customFormat="1" ht="25.5">
      <c r="A46" s="109"/>
      <c r="B46" s="6" t="s">
        <v>153</v>
      </c>
      <c r="C46" s="110"/>
      <c r="D46" s="96"/>
      <c r="E46" s="7">
        <f t="shared" si="1"/>
        <v>552</v>
      </c>
      <c r="F46" s="7">
        <v>552</v>
      </c>
      <c r="G46" s="7"/>
      <c r="H46" s="7"/>
    </row>
    <row r="47" spans="1:8" s="4" customFormat="1" ht="51">
      <c r="A47" s="109"/>
      <c r="B47" s="6" t="s">
        <v>77</v>
      </c>
      <c r="C47" s="110"/>
      <c r="D47" s="96"/>
      <c r="E47" s="7">
        <f t="shared" si="1"/>
        <v>495</v>
      </c>
      <c r="F47" s="7">
        <v>495</v>
      </c>
      <c r="G47" s="7"/>
      <c r="H47" s="7"/>
    </row>
    <row r="48" spans="1:8" s="4" customFormat="1" ht="51">
      <c r="A48" s="109"/>
      <c r="B48" s="35" t="s">
        <v>78</v>
      </c>
      <c r="C48" s="110"/>
      <c r="D48" s="96"/>
      <c r="E48" s="7">
        <f>SUM(E49:E54)</f>
        <v>479.496</v>
      </c>
      <c r="F48" s="7">
        <f>SUM(F49:F54)</f>
        <v>479.496</v>
      </c>
      <c r="G48" s="7"/>
      <c r="H48" s="7"/>
    </row>
    <row r="49" spans="1:8" s="4" customFormat="1" ht="25.5">
      <c r="A49" s="109"/>
      <c r="B49" s="36" t="s">
        <v>79</v>
      </c>
      <c r="C49" s="110"/>
      <c r="D49" s="96"/>
      <c r="E49" s="49">
        <f t="shared" si="1"/>
        <v>121.342</v>
      </c>
      <c r="F49" s="45">
        <v>121.342</v>
      </c>
      <c r="G49" s="7"/>
      <c r="H49" s="7"/>
    </row>
    <row r="50" spans="1:8" s="4" customFormat="1" ht="25.5">
      <c r="A50" s="109"/>
      <c r="B50" s="36" t="s">
        <v>80</v>
      </c>
      <c r="C50" s="110"/>
      <c r="D50" s="96"/>
      <c r="E50" s="49">
        <f t="shared" si="1"/>
        <v>65.66</v>
      </c>
      <c r="F50" s="45">
        <v>65.66</v>
      </c>
      <c r="G50" s="7"/>
      <c r="H50" s="7"/>
    </row>
    <row r="51" spans="1:8" s="4" customFormat="1" ht="25.5">
      <c r="A51" s="109"/>
      <c r="B51" s="36" t="s">
        <v>81</v>
      </c>
      <c r="C51" s="110"/>
      <c r="D51" s="96"/>
      <c r="E51" s="49">
        <f t="shared" si="1"/>
        <v>154.191</v>
      </c>
      <c r="F51" s="45">
        <v>154.191</v>
      </c>
      <c r="G51" s="7"/>
      <c r="H51" s="7"/>
    </row>
    <row r="52" spans="1:8" s="4" customFormat="1" ht="42.75" customHeight="1">
      <c r="A52" s="109"/>
      <c r="B52" s="36" t="s">
        <v>82</v>
      </c>
      <c r="C52" s="110"/>
      <c r="D52" s="96"/>
      <c r="E52" s="49">
        <f t="shared" si="1"/>
        <v>83.983</v>
      </c>
      <c r="F52" s="45">
        <v>83.983</v>
      </c>
      <c r="G52" s="7"/>
      <c r="H52" s="7"/>
    </row>
    <row r="53" spans="1:8" s="4" customFormat="1" ht="38.25">
      <c r="A53" s="109"/>
      <c r="B53" s="36" t="s">
        <v>83</v>
      </c>
      <c r="C53" s="110"/>
      <c r="D53" s="96"/>
      <c r="E53" s="49">
        <f t="shared" si="1"/>
        <v>54.32</v>
      </c>
      <c r="F53" s="45">
        <v>54.32</v>
      </c>
      <c r="G53" s="7"/>
      <c r="H53" s="7"/>
    </row>
    <row r="54" spans="1:8" s="4" customFormat="1" ht="63.75" hidden="1">
      <c r="A54" s="109"/>
      <c r="B54" s="36" t="s">
        <v>84</v>
      </c>
      <c r="C54" s="110"/>
      <c r="D54" s="96"/>
      <c r="E54" s="49">
        <f t="shared" si="1"/>
        <v>0</v>
      </c>
      <c r="F54" s="45">
        <f>518.016-518.016</f>
        <v>0</v>
      </c>
      <c r="G54" s="7"/>
      <c r="H54" s="7"/>
    </row>
    <row r="55" spans="1:8" s="4" customFormat="1" ht="25.5">
      <c r="A55" s="109"/>
      <c r="B55" s="37" t="s">
        <v>85</v>
      </c>
      <c r="C55" s="110"/>
      <c r="D55" s="96"/>
      <c r="E55" s="7">
        <f aca="true" t="shared" si="2" ref="E55:E61">F55+G55+H55</f>
        <v>869.135</v>
      </c>
      <c r="F55" s="29">
        <f>SUM(F56:F57)</f>
        <v>869.135</v>
      </c>
      <c r="G55" s="7"/>
      <c r="H55" s="7"/>
    </row>
    <row r="56" spans="1:8" s="4" customFormat="1" ht="39.75" customHeight="1">
      <c r="A56" s="109"/>
      <c r="B56" s="38" t="s">
        <v>86</v>
      </c>
      <c r="C56" s="110"/>
      <c r="D56" s="96"/>
      <c r="E56" s="49">
        <f t="shared" si="2"/>
        <v>867.477</v>
      </c>
      <c r="F56" s="81">
        <f>323.501+219.376+324.6</f>
        <v>867.477</v>
      </c>
      <c r="G56" s="7"/>
      <c r="H56" s="7"/>
    </row>
    <row r="57" spans="1:8" s="4" customFormat="1" ht="25.5">
      <c r="A57" s="109"/>
      <c r="B57" s="38" t="s">
        <v>87</v>
      </c>
      <c r="C57" s="110"/>
      <c r="D57" s="96"/>
      <c r="E57" s="49">
        <f t="shared" si="2"/>
        <v>1.658</v>
      </c>
      <c r="F57" s="45">
        <f>0.9+0.758</f>
        <v>1.658</v>
      </c>
      <c r="G57" s="7"/>
      <c r="H57" s="7"/>
    </row>
    <row r="58" spans="1:8" s="4" customFormat="1" ht="89.25">
      <c r="A58" s="109"/>
      <c r="B58" s="37" t="s">
        <v>129</v>
      </c>
      <c r="C58" s="110"/>
      <c r="D58" s="96"/>
      <c r="E58" s="7">
        <f t="shared" si="2"/>
        <v>485.745</v>
      </c>
      <c r="F58" s="29">
        <v>485.745</v>
      </c>
      <c r="G58" s="7"/>
      <c r="H58" s="7"/>
    </row>
    <row r="59" spans="1:8" s="4" customFormat="1" ht="78" customHeight="1">
      <c r="A59" s="109"/>
      <c r="B59" s="37" t="s">
        <v>88</v>
      </c>
      <c r="C59" s="110"/>
      <c r="D59" s="96"/>
      <c r="E59" s="7">
        <f t="shared" si="2"/>
        <v>1.05</v>
      </c>
      <c r="F59" s="29">
        <f>0.75+0.3</f>
        <v>1.05</v>
      </c>
      <c r="G59" s="7"/>
      <c r="H59" s="7"/>
    </row>
    <row r="60" spans="1:8" s="4" customFormat="1" ht="55.5" customHeight="1">
      <c r="A60" s="109"/>
      <c r="B60" s="37" t="s">
        <v>98</v>
      </c>
      <c r="C60" s="110"/>
      <c r="D60" s="96"/>
      <c r="E60" s="7">
        <f t="shared" si="2"/>
        <v>2129.648</v>
      </c>
      <c r="F60" s="29">
        <f>2776.424-646.776</f>
        <v>2129.648</v>
      </c>
      <c r="G60" s="7"/>
      <c r="H60" s="7"/>
    </row>
    <row r="61" spans="1:8" s="4" customFormat="1" ht="38.25" customHeight="1">
      <c r="A61" s="109"/>
      <c r="B61" s="37" t="s">
        <v>114</v>
      </c>
      <c r="C61" s="110"/>
      <c r="D61" s="96"/>
      <c r="E61" s="7">
        <f t="shared" si="2"/>
        <v>20.858</v>
      </c>
      <c r="F61" s="29">
        <v>20.858</v>
      </c>
      <c r="G61" s="7"/>
      <c r="H61" s="7"/>
    </row>
    <row r="62" spans="1:8" s="4" customFormat="1" ht="39" customHeight="1">
      <c r="A62" s="109"/>
      <c r="B62" s="24" t="s">
        <v>89</v>
      </c>
      <c r="C62" s="110"/>
      <c r="D62" s="96"/>
      <c r="E62" s="7">
        <f t="shared" si="1"/>
        <v>341.697</v>
      </c>
      <c r="F62" s="7">
        <v>341.697</v>
      </c>
      <c r="G62" s="7"/>
      <c r="H62" s="7"/>
    </row>
    <row r="63" spans="1:8" s="4" customFormat="1" ht="38.25">
      <c r="A63" s="74"/>
      <c r="B63" s="24" t="s">
        <v>142</v>
      </c>
      <c r="C63" s="75"/>
      <c r="D63" s="52"/>
      <c r="E63" s="7">
        <f t="shared" si="1"/>
        <v>16103.49113</v>
      </c>
      <c r="F63" s="7">
        <f>F64+F65</f>
        <v>16103.49113</v>
      </c>
      <c r="G63" s="7"/>
      <c r="H63" s="7"/>
    </row>
    <row r="64" spans="1:8" s="4" customFormat="1" ht="43.5" customHeight="1">
      <c r="A64" s="74"/>
      <c r="B64" s="77" t="s">
        <v>134</v>
      </c>
      <c r="C64" s="75"/>
      <c r="D64" s="52"/>
      <c r="E64" s="7">
        <f t="shared" si="1"/>
        <v>13743.611</v>
      </c>
      <c r="F64" s="49">
        <v>13743.611</v>
      </c>
      <c r="G64" s="7"/>
      <c r="H64" s="7"/>
    </row>
    <row r="65" spans="1:8" s="4" customFormat="1" ht="42" customHeight="1">
      <c r="A65" s="74"/>
      <c r="B65" s="77" t="s">
        <v>137</v>
      </c>
      <c r="C65" s="75"/>
      <c r="D65" s="52"/>
      <c r="E65" s="7">
        <f t="shared" si="1"/>
        <v>2359.88013</v>
      </c>
      <c r="F65" s="49">
        <v>2359.88013</v>
      </c>
      <c r="G65" s="7"/>
      <c r="H65" s="7"/>
    </row>
    <row r="66" spans="1:8" ht="51" customHeight="1">
      <c r="A66" s="88" t="s">
        <v>35</v>
      </c>
      <c r="B66" s="39"/>
      <c r="C66" s="91" t="s">
        <v>54</v>
      </c>
      <c r="D66" s="91" t="s">
        <v>19</v>
      </c>
      <c r="E66" s="5">
        <f t="shared" si="1"/>
        <v>5376.939</v>
      </c>
      <c r="F66" s="5">
        <f>SUM(F67:F68)</f>
        <v>5376.939</v>
      </c>
      <c r="G66" s="5">
        <f>SUM(G67)</f>
        <v>0</v>
      </c>
      <c r="H66" s="5">
        <f>SUM(H67)</f>
        <v>0</v>
      </c>
    </row>
    <row r="67" spans="1:8" ht="51">
      <c r="A67" s="89"/>
      <c r="B67" s="39" t="s">
        <v>49</v>
      </c>
      <c r="C67" s="96"/>
      <c r="D67" s="96"/>
      <c r="E67" s="7">
        <f t="shared" si="1"/>
        <v>5177.622</v>
      </c>
      <c r="F67" s="7">
        <v>5177.622</v>
      </c>
      <c r="G67" s="7"/>
      <c r="H67" s="7"/>
    </row>
    <row r="68" spans="1:8" ht="42" customHeight="1">
      <c r="A68" s="90"/>
      <c r="B68" s="39" t="s">
        <v>156</v>
      </c>
      <c r="C68" s="92"/>
      <c r="D68" s="92"/>
      <c r="E68" s="7">
        <f>F68+G68+H68</f>
        <v>199.317</v>
      </c>
      <c r="F68" s="7">
        <v>199.317</v>
      </c>
      <c r="G68" s="7"/>
      <c r="H68" s="7"/>
    </row>
    <row r="69" spans="1:8" ht="18.75" customHeight="1">
      <c r="A69" s="103" t="s">
        <v>35</v>
      </c>
      <c r="B69" s="39"/>
      <c r="C69" s="91" t="s">
        <v>50</v>
      </c>
      <c r="D69" s="104" t="s">
        <v>19</v>
      </c>
      <c r="E69" s="5">
        <f>SUM(E70:E71)</f>
        <v>3473.357</v>
      </c>
      <c r="F69" s="5">
        <f>SUM(F70:F71)</f>
        <v>3473.357</v>
      </c>
      <c r="G69" s="5">
        <f>SUM(G70:G71)</f>
        <v>0</v>
      </c>
      <c r="H69" s="5">
        <f>SUM(H70:H71)</f>
        <v>0</v>
      </c>
    </row>
    <row r="70" spans="1:8" ht="51.75" customHeight="1">
      <c r="A70" s="103"/>
      <c r="B70" s="39" t="s">
        <v>49</v>
      </c>
      <c r="C70" s="96"/>
      <c r="D70" s="104"/>
      <c r="E70" s="7">
        <f>F70+G70+H70</f>
        <v>3409.895</v>
      </c>
      <c r="F70" s="7">
        <f>4002.438-63.936-528.607</f>
        <v>3409.895</v>
      </c>
      <c r="G70" s="7"/>
      <c r="H70" s="7"/>
    </row>
    <row r="71" spans="1:8" ht="69" customHeight="1">
      <c r="A71" s="103"/>
      <c r="B71" s="39" t="s">
        <v>119</v>
      </c>
      <c r="C71" s="96"/>
      <c r="D71" s="104"/>
      <c r="E71" s="7">
        <f>F71+G71+H71</f>
        <v>63.462</v>
      </c>
      <c r="F71" s="7">
        <f>63.936-0.474</f>
        <v>63.462</v>
      </c>
      <c r="G71" s="7"/>
      <c r="H71" s="7"/>
    </row>
    <row r="72" spans="1:8" ht="19.5" customHeight="1">
      <c r="A72" s="88" t="s">
        <v>35</v>
      </c>
      <c r="B72" s="39"/>
      <c r="C72" s="91" t="s">
        <v>52</v>
      </c>
      <c r="D72" s="91" t="s">
        <v>19</v>
      </c>
      <c r="E72" s="5">
        <f t="shared" si="1"/>
        <v>3715.353</v>
      </c>
      <c r="F72" s="5">
        <f>SUM(F73:F75)</f>
        <v>3715.353</v>
      </c>
      <c r="G72" s="5">
        <f>SUM(G74)</f>
        <v>0</v>
      </c>
      <c r="H72" s="5">
        <f>SUM(H74)</f>
        <v>0</v>
      </c>
    </row>
    <row r="73" spans="1:8" ht="55.5" customHeight="1">
      <c r="A73" s="89"/>
      <c r="B73" s="39" t="s">
        <v>49</v>
      </c>
      <c r="C73" s="96"/>
      <c r="D73" s="96"/>
      <c r="E73" s="7">
        <f>F73+G73+H73</f>
        <v>3471.312</v>
      </c>
      <c r="F73" s="7">
        <f>2358.884-158.169-44.148+1605.005-194.433-95.827</f>
        <v>3471.312</v>
      </c>
      <c r="G73" s="7">
        <v>0</v>
      </c>
      <c r="H73" s="7">
        <f>G73*1.055</f>
        <v>0</v>
      </c>
    </row>
    <row r="74" spans="1:8" ht="52.5" customHeight="1">
      <c r="A74" s="89"/>
      <c r="B74" s="39" t="s">
        <v>119</v>
      </c>
      <c r="C74" s="96"/>
      <c r="D74" s="96"/>
      <c r="E74" s="7">
        <f t="shared" si="1"/>
        <v>44.148</v>
      </c>
      <c r="F74" s="7">
        <v>44.148</v>
      </c>
      <c r="G74" s="7">
        <v>0</v>
      </c>
      <c r="H74" s="7">
        <f>G74*1.055</f>
        <v>0</v>
      </c>
    </row>
    <row r="75" spans="1:8" ht="42" customHeight="1">
      <c r="A75" s="90"/>
      <c r="B75" s="39" t="s">
        <v>155</v>
      </c>
      <c r="C75" s="92"/>
      <c r="D75" s="92"/>
      <c r="E75" s="7">
        <f t="shared" si="1"/>
        <v>199.893</v>
      </c>
      <c r="F75" s="7">
        <v>199.893</v>
      </c>
      <c r="G75" s="7"/>
      <c r="H75" s="7"/>
    </row>
    <row r="76" spans="1:8" ht="25.5" customHeight="1">
      <c r="A76" s="88" t="s">
        <v>35</v>
      </c>
      <c r="B76" s="39"/>
      <c r="C76" s="91" t="s">
        <v>22</v>
      </c>
      <c r="D76" s="91" t="s">
        <v>19</v>
      </c>
      <c r="E76" s="5">
        <f t="shared" si="1"/>
        <v>6212.367</v>
      </c>
      <c r="F76" s="5">
        <f>SUM(F77:F79)</f>
        <v>6212.367</v>
      </c>
      <c r="G76" s="5">
        <f>SUM(G77)</f>
        <v>0</v>
      </c>
      <c r="H76" s="5">
        <f>SUM(H77)</f>
        <v>0</v>
      </c>
    </row>
    <row r="77" spans="1:8" ht="54.75" customHeight="1">
      <c r="A77" s="89"/>
      <c r="B77" s="39" t="s">
        <v>49</v>
      </c>
      <c r="C77" s="96"/>
      <c r="D77" s="96"/>
      <c r="E77" s="7">
        <f t="shared" si="1"/>
        <v>6000.856</v>
      </c>
      <c r="F77" s="7">
        <v>6000.856</v>
      </c>
      <c r="G77" s="7">
        <v>0</v>
      </c>
      <c r="H77" s="7">
        <f>G77*1.055</f>
        <v>0</v>
      </c>
    </row>
    <row r="78" spans="1:8" ht="65.25" customHeight="1">
      <c r="A78" s="89"/>
      <c r="B78" s="39" t="s">
        <v>119</v>
      </c>
      <c r="C78" s="96"/>
      <c r="D78" s="96"/>
      <c r="E78" s="7">
        <f t="shared" si="1"/>
        <v>111.54</v>
      </c>
      <c r="F78" s="7">
        <v>111.54</v>
      </c>
      <c r="G78" s="7"/>
      <c r="H78" s="7"/>
    </row>
    <row r="79" spans="1:8" ht="42" customHeight="1">
      <c r="A79" s="90"/>
      <c r="B79" s="39" t="s">
        <v>156</v>
      </c>
      <c r="C79" s="92"/>
      <c r="D79" s="92"/>
      <c r="E79" s="7">
        <f>F79+G79+H79</f>
        <v>99.971</v>
      </c>
      <c r="F79" s="7">
        <v>99.971</v>
      </c>
      <c r="G79" s="7"/>
      <c r="H79" s="7"/>
    </row>
    <row r="80" spans="1:8" ht="25.5" customHeight="1">
      <c r="A80" s="88" t="s">
        <v>35</v>
      </c>
      <c r="B80" s="39"/>
      <c r="C80" s="91" t="s">
        <v>23</v>
      </c>
      <c r="D80" s="91" t="s">
        <v>19</v>
      </c>
      <c r="E80" s="5">
        <f t="shared" si="1"/>
        <v>5989.159000000001</v>
      </c>
      <c r="F80" s="5">
        <f>SUM(F81+F82)</f>
        <v>5989.159000000001</v>
      </c>
      <c r="G80" s="5">
        <f>SUM(G81)</f>
        <v>0</v>
      </c>
      <c r="H80" s="5">
        <f>SUM(H81)</f>
        <v>0</v>
      </c>
    </row>
    <row r="81" spans="1:8" ht="52.5" customHeight="1">
      <c r="A81" s="89"/>
      <c r="B81" s="39" t="s">
        <v>49</v>
      </c>
      <c r="C81" s="96"/>
      <c r="D81" s="96"/>
      <c r="E81" s="7">
        <f t="shared" si="1"/>
        <v>5939.162</v>
      </c>
      <c r="F81" s="7">
        <f>5007.306+2000-522.949-445.224-99.971</f>
        <v>5939.162</v>
      </c>
      <c r="G81" s="7">
        <v>0</v>
      </c>
      <c r="H81" s="7">
        <f>G81*1.055</f>
        <v>0</v>
      </c>
    </row>
    <row r="82" spans="1:8" ht="69.75" customHeight="1">
      <c r="A82" s="90"/>
      <c r="B82" s="39" t="s">
        <v>119</v>
      </c>
      <c r="C82" s="92"/>
      <c r="D82" s="92"/>
      <c r="E82" s="7">
        <f>F82+G82+H82</f>
        <v>49.997</v>
      </c>
      <c r="F82" s="7">
        <v>49.997</v>
      </c>
      <c r="G82" s="7">
        <v>0</v>
      </c>
      <c r="H82" s="7">
        <f>G82*1.055</f>
        <v>0</v>
      </c>
    </row>
    <row r="83" spans="1:8" ht="25.5" customHeight="1">
      <c r="A83" s="88" t="s">
        <v>35</v>
      </c>
      <c r="B83" s="39"/>
      <c r="C83" s="91" t="s">
        <v>24</v>
      </c>
      <c r="D83" s="91" t="s">
        <v>19</v>
      </c>
      <c r="E83" s="5">
        <f t="shared" si="1"/>
        <v>4107.456</v>
      </c>
      <c r="F83" s="5">
        <f>SUM(F84:F85)</f>
        <v>4107.456</v>
      </c>
      <c r="G83" s="5">
        <f>SUM(G84)</f>
        <v>0</v>
      </c>
      <c r="H83" s="5">
        <f>SUM(H84)</f>
        <v>0</v>
      </c>
    </row>
    <row r="84" spans="1:8" ht="52.5" customHeight="1">
      <c r="A84" s="89"/>
      <c r="B84" s="39" t="s">
        <v>49</v>
      </c>
      <c r="C84" s="96"/>
      <c r="D84" s="96"/>
      <c r="E84" s="7">
        <f t="shared" si="1"/>
        <v>3907.5480000000002</v>
      </c>
      <c r="F84" s="7">
        <f>3542.584+436.8-71.836</f>
        <v>3907.5480000000002</v>
      </c>
      <c r="G84" s="7">
        <v>0</v>
      </c>
      <c r="H84" s="7">
        <f>G84*1.055</f>
        <v>0</v>
      </c>
    </row>
    <row r="85" spans="1:8" ht="42" customHeight="1">
      <c r="A85" s="90"/>
      <c r="B85" s="39" t="s">
        <v>156</v>
      </c>
      <c r="C85" s="92"/>
      <c r="D85" s="92"/>
      <c r="E85" s="7">
        <f t="shared" si="1"/>
        <v>199.908</v>
      </c>
      <c r="F85" s="7">
        <v>199.908</v>
      </c>
      <c r="G85" s="7"/>
      <c r="H85" s="7"/>
    </row>
    <row r="86" spans="1:8" ht="25.5" customHeight="1">
      <c r="A86" s="88" t="s">
        <v>35</v>
      </c>
      <c r="B86" s="39"/>
      <c r="C86" s="91" t="s">
        <v>25</v>
      </c>
      <c r="D86" s="97" t="s">
        <v>19</v>
      </c>
      <c r="E86" s="5">
        <f t="shared" si="1"/>
        <v>2221.4590000000003</v>
      </c>
      <c r="F86" s="5">
        <f>SUM(F87:F88)</f>
        <v>2221.4590000000003</v>
      </c>
      <c r="G86" s="5">
        <f>SUM(G87)</f>
        <v>0</v>
      </c>
      <c r="H86" s="5">
        <f>SUM(H87)</f>
        <v>0</v>
      </c>
    </row>
    <row r="87" spans="1:8" ht="52.5" customHeight="1">
      <c r="A87" s="89"/>
      <c r="B87" s="39" t="s">
        <v>49</v>
      </c>
      <c r="C87" s="96"/>
      <c r="D87" s="98"/>
      <c r="E87" s="7">
        <f t="shared" si="1"/>
        <v>2058.416</v>
      </c>
      <c r="F87" s="7">
        <f>1754.26+439.901-135.745</f>
        <v>2058.416</v>
      </c>
      <c r="G87" s="7">
        <v>0</v>
      </c>
      <c r="H87" s="7">
        <f>G87*1.055</f>
        <v>0</v>
      </c>
    </row>
    <row r="88" spans="1:8" ht="42" customHeight="1">
      <c r="A88" s="90"/>
      <c r="B88" s="39" t="s">
        <v>156</v>
      </c>
      <c r="C88" s="92"/>
      <c r="D88" s="99"/>
      <c r="E88" s="7">
        <f>F88+G88+H88</f>
        <v>163.043</v>
      </c>
      <c r="F88" s="7">
        <v>163.043</v>
      </c>
      <c r="G88" s="7"/>
      <c r="H88" s="7"/>
    </row>
    <row r="89" spans="1:8" ht="12.75">
      <c r="A89" s="93" t="s">
        <v>90</v>
      </c>
      <c r="B89" s="94"/>
      <c r="C89" s="94"/>
      <c r="D89" s="94"/>
      <c r="E89" s="94"/>
      <c r="F89" s="94"/>
      <c r="G89" s="94"/>
      <c r="H89" s="95"/>
    </row>
    <row r="90" spans="1:8" ht="14.25" customHeight="1">
      <c r="A90" s="88" t="s">
        <v>91</v>
      </c>
      <c r="B90" s="39"/>
      <c r="C90" s="104" t="s">
        <v>143</v>
      </c>
      <c r="D90" s="104" t="s">
        <v>19</v>
      </c>
      <c r="E90" s="5">
        <f>F90+G90+H90</f>
        <v>28209.242</v>
      </c>
      <c r="F90" s="5">
        <f>F91</f>
        <v>28209.242</v>
      </c>
      <c r="G90" s="5">
        <f>G91</f>
        <v>0</v>
      </c>
      <c r="H90" s="5">
        <f>H91</f>
        <v>0</v>
      </c>
    </row>
    <row r="91" spans="1:8" ht="51.75" customHeight="1">
      <c r="A91" s="90"/>
      <c r="B91" s="39" t="s">
        <v>92</v>
      </c>
      <c r="C91" s="104"/>
      <c r="D91" s="104"/>
      <c r="E91" s="7">
        <f>F91+G91+H91</f>
        <v>28209.242</v>
      </c>
      <c r="F91" s="7">
        <v>28209.242</v>
      </c>
      <c r="G91" s="7"/>
      <c r="H91" s="7"/>
    </row>
    <row r="92" spans="1:8" s="4" customFormat="1" ht="12.75">
      <c r="A92" s="93" t="s">
        <v>34</v>
      </c>
      <c r="B92" s="94"/>
      <c r="C92" s="94"/>
      <c r="D92" s="94"/>
      <c r="E92" s="94"/>
      <c r="F92" s="94"/>
      <c r="G92" s="94"/>
      <c r="H92" s="95"/>
    </row>
    <row r="93" spans="1:10" s="4" customFormat="1" ht="12.75" customHeight="1">
      <c r="A93" s="88" t="s">
        <v>36</v>
      </c>
      <c r="B93" s="27"/>
      <c r="C93" s="91" t="s">
        <v>143</v>
      </c>
      <c r="D93" s="91" t="s">
        <v>19</v>
      </c>
      <c r="E93" s="5">
        <f>E94+E99+E100+E95</f>
        <v>504238.06692499993</v>
      </c>
      <c r="F93" s="5">
        <f>F94+F99+F100+F95</f>
        <v>106302.28900000002</v>
      </c>
      <c r="G93" s="5">
        <f>G94+G99+G100+G95</f>
        <v>203378.75999999998</v>
      </c>
      <c r="H93" s="5">
        <f>H94+H99+H100+H95</f>
        <v>194557.01792499996</v>
      </c>
      <c r="J93" s="80"/>
    </row>
    <row r="94" spans="1:10" s="4" customFormat="1" ht="38.25">
      <c r="A94" s="89"/>
      <c r="B94" s="6" t="s">
        <v>44</v>
      </c>
      <c r="C94" s="96"/>
      <c r="D94" s="96"/>
      <c r="E94" s="7">
        <f>F94+G94+H94</f>
        <v>470087.3899249999</v>
      </c>
      <c r="F94" s="7">
        <f>113687.369+5576.126+500-500-23422.52-7148.073+45422.782-36282.375-4025-3681.035+1708.445-719.582</f>
        <v>91116.13700000002</v>
      </c>
      <c r="G94" s="7">
        <f>145480+2651.86+36282.375</f>
        <v>184414.235</v>
      </c>
      <c r="H94" s="7">
        <f>G94*1.055</f>
        <v>194557.01792499996</v>
      </c>
      <c r="J94" s="80"/>
    </row>
    <row r="95" spans="1:10" s="4" customFormat="1" ht="51">
      <c r="A95" s="89"/>
      <c r="B95" s="6" t="s">
        <v>126</v>
      </c>
      <c r="C95" s="96"/>
      <c r="D95" s="96"/>
      <c r="E95" s="7">
        <f>F95+G95+H95</f>
        <v>13408.085000000001</v>
      </c>
      <c r="F95" s="7">
        <f>F96+F97+F98</f>
        <v>13408.085000000001</v>
      </c>
      <c r="G95" s="7"/>
      <c r="H95" s="7"/>
      <c r="J95" s="80"/>
    </row>
    <row r="96" spans="1:10" s="54" customFormat="1" ht="24">
      <c r="A96" s="89"/>
      <c r="B96" s="79" t="s">
        <v>127</v>
      </c>
      <c r="C96" s="96"/>
      <c r="D96" s="96"/>
      <c r="E96" s="46">
        <f>F96</f>
        <v>9890</v>
      </c>
      <c r="F96" s="46">
        <f>11070.997-1180.997</f>
        <v>9890</v>
      </c>
      <c r="G96" s="46"/>
      <c r="H96" s="46"/>
      <c r="I96" s="4"/>
      <c r="J96" s="80"/>
    </row>
    <row r="97" spans="1:8" s="54" customFormat="1" ht="27.75" customHeight="1">
      <c r="A97" s="89"/>
      <c r="B97" s="79" t="s">
        <v>135</v>
      </c>
      <c r="C97" s="96"/>
      <c r="D97" s="96"/>
      <c r="E97" s="46">
        <f>F97</f>
        <v>194.235</v>
      </c>
      <c r="F97" s="46">
        <v>194.235</v>
      </c>
      <c r="G97" s="46"/>
      <c r="H97" s="46"/>
    </row>
    <row r="98" spans="1:8" s="54" customFormat="1" ht="18" customHeight="1">
      <c r="A98" s="90"/>
      <c r="B98" s="79" t="s">
        <v>145</v>
      </c>
      <c r="C98" s="92"/>
      <c r="D98" s="92"/>
      <c r="E98" s="46">
        <f>F98</f>
        <v>3323.85</v>
      </c>
      <c r="F98" s="46">
        <v>3323.85</v>
      </c>
      <c r="G98" s="46"/>
      <c r="H98" s="46"/>
    </row>
    <row r="99" spans="1:8" s="4" customFormat="1" ht="38.25" customHeight="1">
      <c r="A99" s="50" t="s">
        <v>36</v>
      </c>
      <c r="B99" s="34" t="s">
        <v>93</v>
      </c>
      <c r="C99" s="27" t="s">
        <v>94</v>
      </c>
      <c r="D99" s="27" t="s">
        <v>19</v>
      </c>
      <c r="E99" s="7">
        <f>F99+G99+H99</f>
        <v>425.70500000000175</v>
      </c>
      <c r="F99" s="7">
        <f>4924.761+36449.462+4600-125.736-45422.782</f>
        <v>425.70500000000175</v>
      </c>
      <c r="G99" s="7"/>
      <c r="H99" s="7"/>
    </row>
    <row r="100" spans="1:8" s="4" customFormat="1" ht="51" customHeight="1">
      <c r="A100" s="55" t="s">
        <v>95</v>
      </c>
      <c r="B100" s="40" t="s">
        <v>96</v>
      </c>
      <c r="C100" s="27" t="s">
        <v>143</v>
      </c>
      <c r="D100" s="27" t="s">
        <v>19</v>
      </c>
      <c r="E100" s="7">
        <f>F100+G100</f>
        <v>20316.887000000002</v>
      </c>
      <c r="F100" s="7">
        <f>17.362+1335</f>
        <v>1352.362</v>
      </c>
      <c r="G100" s="7">
        <f>10925.038+8039.487</f>
        <v>18964.525</v>
      </c>
      <c r="H100" s="7"/>
    </row>
    <row r="101" spans="1:8" s="4" customFormat="1" ht="12.75">
      <c r="A101" s="93" t="s">
        <v>122</v>
      </c>
      <c r="B101" s="94"/>
      <c r="C101" s="94"/>
      <c r="D101" s="94"/>
      <c r="E101" s="94"/>
      <c r="F101" s="94"/>
      <c r="G101" s="94"/>
      <c r="H101" s="95"/>
    </row>
    <row r="102" spans="1:8" s="4" customFormat="1" ht="12.75">
      <c r="A102" s="88" t="s">
        <v>121</v>
      </c>
      <c r="B102" s="6"/>
      <c r="C102" s="101" t="s">
        <v>143</v>
      </c>
      <c r="D102" s="101" t="s">
        <v>19</v>
      </c>
      <c r="E102" s="5">
        <f>F102+G102+H102</f>
        <v>1319.2069999999999</v>
      </c>
      <c r="F102" s="5">
        <f>SUM(F103:F103)</f>
        <v>1319.2069999999999</v>
      </c>
      <c r="G102" s="5">
        <f>SUM(G103:G103)</f>
        <v>0</v>
      </c>
      <c r="H102" s="5">
        <f>SUM(H103:H103)</f>
        <v>0</v>
      </c>
    </row>
    <row r="103" spans="1:8" s="4" customFormat="1" ht="42" customHeight="1">
      <c r="A103" s="89"/>
      <c r="B103" s="6" t="s">
        <v>130</v>
      </c>
      <c r="C103" s="102"/>
      <c r="D103" s="102"/>
      <c r="E103" s="7">
        <f>F103+G103+H103</f>
        <v>1319.2069999999999</v>
      </c>
      <c r="F103" s="7">
        <f>1648.22-824.11+495.097</f>
        <v>1319.2069999999999</v>
      </c>
      <c r="G103" s="5"/>
      <c r="H103" s="5"/>
    </row>
    <row r="104" spans="1:8" ht="12.75" customHeight="1">
      <c r="A104" s="93" t="s">
        <v>97</v>
      </c>
      <c r="B104" s="94"/>
      <c r="C104" s="94"/>
      <c r="D104" s="94"/>
      <c r="E104" s="94"/>
      <c r="F104" s="94"/>
      <c r="G104" s="94"/>
      <c r="H104" s="95"/>
    </row>
    <row r="105" spans="1:8" ht="12.75" customHeight="1">
      <c r="A105" s="88" t="s">
        <v>141</v>
      </c>
      <c r="B105" s="31"/>
      <c r="C105" s="91" t="s">
        <v>143</v>
      </c>
      <c r="D105" s="91" t="s">
        <v>19</v>
      </c>
      <c r="E105" s="5">
        <f>F105+G105+H105</f>
        <v>453400</v>
      </c>
      <c r="F105" s="5">
        <f>SUM(F106:F106)</f>
        <v>453400</v>
      </c>
      <c r="G105" s="5">
        <f>SUM(G106:G106)</f>
        <v>0</v>
      </c>
      <c r="H105" s="5">
        <f>SUM(H106:H106)</f>
        <v>0</v>
      </c>
    </row>
    <row r="106" spans="1:8" ht="114" customHeight="1">
      <c r="A106" s="90"/>
      <c r="B106" s="41" t="s">
        <v>140</v>
      </c>
      <c r="C106" s="92"/>
      <c r="D106" s="92"/>
      <c r="E106" s="30">
        <f>F106+G106+H106</f>
        <v>453400</v>
      </c>
      <c r="F106" s="30">
        <f>50000+50000+23400+180000+150000</f>
        <v>453400</v>
      </c>
      <c r="G106" s="30"/>
      <c r="H106" s="30"/>
    </row>
    <row r="107" spans="1:8" ht="12.75" customHeight="1" hidden="1">
      <c r="A107" s="93" t="s">
        <v>115</v>
      </c>
      <c r="B107" s="94"/>
      <c r="C107" s="94"/>
      <c r="D107" s="94"/>
      <c r="E107" s="94"/>
      <c r="F107" s="94"/>
      <c r="G107" s="94"/>
      <c r="H107" s="95"/>
    </row>
    <row r="108" spans="1:8" ht="12.75" customHeight="1" hidden="1">
      <c r="A108" s="88" t="s">
        <v>116</v>
      </c>
      <c r="B108" s="31"/>
      <c r="C108" s="91" t="s">
        <v>60</v>
      </c>
      <c r="D108" s="91" t="s">
        <v>19</v>
      </c>
      <c r="E108" s="5">
        <f>F108+G108+H108</f>
        <v>0</v>
      </c>
      <c r="F108" s="5">
        <f>SUM(F109:F109)</f>
        <v>0</v>
      </c>
      <c r="G108" s="5">
        <f>SUM(G109:G109)</f>
        <v>0</v>
      </c>
      <c r="H108" s="5">
        <f>SUM(H109:H109)</f>
        <v>0</v>
      </c>
    </row>
    <row r="109" spans="1:8" ht="51" customHeight="1" hidden="1">
      <c r="A109" s="90"/>
      <c r="B109" s="6" t="s">
        <v>117</v>
      </c>
      <c r="C109" s="92"/>
      <c r="D109" s="92"/>
      <c r="E109" s="7">
        <f>F109+G109+H109</f>
        <v>0</v>
      </c>
      <c r="F109" s="7">
        <v>0</v>
      </c>
      <c r="G109" s="7"/>
      <c r="H109" s="7"/>
    </row>
    <row r="110" spans="1:8" ht="12.75">
      <c r="A110" s="100" t="s">
        <v>115</v>
      </c>
      <c r="B110" s="100"/>
      <c r="C110" s="100"/>
      <c r="D110" s="100"/>
      <c r="E110" s="100"/>
      <c r="F110" s="100"/>
      <c r="G110" s="100"/>
      <c r="H110" s="100"/>
    </row>
    <row r="111" spans="1:8" ht="15.75" customHeight="1">
      <c r="A111" s="88" t="s">
        <v>99</v>
      </c>
      <c r="B111" s="6"/>
      <c r="C111" s="91" t="s">
        <v>143</v>
      </c>
      <c r="D111" s="91" t="s">
        <v>19</v>
      </c>
      <c r="E111" s="5">
        <f>F111+G111+H111</f>
        <v>574.1959999999999</v>
      </c>
      <c r="F111" s="5">
        <f>F112+F113+F114</f>
        <v>574.1959999999999</v>
      </c>
      <c r="G111" s="5">
        <f>G112</f>
        <v>0</v>
      </c>
      <c r="H111" s="5">
        <f>H112</f>
        <v>0</v>
      </c>
    </row>
    <row r="112" spans="1:8" ht="42" customHeight="1">
      <c r="A112" s="89"/>
      <c r="B112" s="6" t="s">
        <v>100</v>
      </c>
      <c r="C112" s="96"/>
      <c r="D112" s="96"/>
      <c r="E112" s="7">
        <f>F112+G112+H112</f>
        <v>92.274</v>
      </c>
      <c r="F112" s="7">
        <f>109.041-16.767</f>
        <v>92.274</v>
      </c>
      <c r="G112" s="7"/>
      <c r="H112" s="7"/>
    </row>
    <row r="113" spans="1:8" ht="53.25" customHeight="1">
      <c r="A113" s="89"/>
      <c r="B113" s="82" t="s">
        <v>147</v>
      </c>
      <c r="C113" s="96"/>
      <c r="D113" s="96"/>
      <c r="E113" s="7">
        <f>F113+G113+H113</f>
        <v>435.364</v>
      </c>
      <c r="F113" s="83">
        <v>435.364</v>
      </c>
      <c r="G113" s="7"/>
      <c r="H113" s="7"/>
    </row>
    <row r="114" spans="1:8" ht="38.25">
      <c r="A114" s="90"/>
      <c r="B114" s="82" t="s">
        <v>148</v>
      </c>
      <c r="C114" s="92"/>
      <c r="D114" s="92"/>
      <c r="E114" s="7">
        <f>F114+G114+H114</f>
        <v>46.558</v>
      </c>
      <c r="F114" s="83">
        <v>46.558</v>
      </c>
      <c r="G114" s="7"/>
      <c r="H114" s="7"/>
    </row>
    <row r="115" spans="1:8" ht="12.75">
      <c r="A115" s="42" t="s">
        <v>37</v>
      </c>
      <c r="B115" s="42"/>
      <c r="C115" s="31"/>
      <c r="D115" s="31"/>
      <c r="E115" s="5">
        <f>F115+G115+H115</f>
        <v>1949877.9595243998</v>
      </c>
      <c r="F115" s="5">
        <f>F111+F108+F105+F93+F90+F42+F20+F86+F83+F80+F76+F72+F69+F66+F102</f>
        <v>966614.8471299999</v>
      </c>
      <c r="G115" s="5">
        <f>G111+G108+G105+G93+G90+G42+G20+G86+G83+G80+G76+G72+G69+G66</f>
        <v>475413.61107999994</v>
      </c>
      <c r="H115" s="5">
        <f>H111+H108+H105+H93+H90+H42+H20+H86+H83+H80+H76+H72+H69+H66</f>
        <v>507849.5013144</v>
      </c>
    </row>
    <row r="116" spans="1:8" s="15" customFormat="1" ht="20.25">
      <c r="A116" s="43"/>
      <c r="B116" s="43"/>
      <c r="C116" s="43"/>
      <c r="D116" s="43"/>
      <c r="E116" s="43"/>
      <c r="F116" s="43"/>
      <c r="G116" s="43"/>
      <c r="H116" s="43"/>
    </row>
    <row r="117" spans="1:8" s="15" customFormat="1" ht="18.75">
      <c r="A117" s="111" t="s">
        <v>38</v>
      </c>
      <c r="B117" s="111"/>
      <c r="C117" s="16"/>
      <c r="D117" s="16"/>
      <c r="E117" s="16"/>
      <c r="F117" s="47"/>
      <c r="G117" s="111" t="s">
        <v>47</v>
      </c>
      <c r="H117" s="111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</sheetData>
  <sheetProtection/>
  <mergeCells count="69">
    <mergeCell ref="D66:D68"/>
    <mergeCell ref="C83:C85"/>
    <mergeCell ref="D83:D85"/>
    <mergeCell ref="F9:H9"/>
    <mergeCell ref="B15:B17"/>
    <mergeCell ref="D15:D17"/>
    <mergeCell ref="A86:A88"/>
    <mergeCell ref="A83:A85"/>
    <mergeCell ref="A72:A75"/>
    <mergeCell ref="C72:C75"/>
    <mergeCell ref="D72:D75"/>
    <mergeCell ref="A66:A68"/>
    <mergeCell ref="C66:C68"/>
    <mergeCell ref="D69:D71"/>
    <mergeCell ref="C80:C82"/>
    <mergeCell ref="D80:D82"/>
    <mergeCell ref="F5:H5"/>
    <mergeCell ref="F6:H6"/>
    <mergeCell ref="F7:H7"/>
    <mergeCell ref="A13:H13"/>
    <mergeCell ref="A15:A17"/>
    <mergeCell ref="E16:E17"/>
    <mergeCell ref="F16:H16"/>
    <mergeCell ref="C15:C17"/>
    <mergeCell ref="A20:A40"/>
    <mergeCell ref="C20:C40"/>
    <mergeCell ref="A117:B117"/>
    <mergeCell ref="G117:H117"/>
    <mergeCell ref="A19:H19"/>
    <mergeCell ref="A101:H101"/>
    <mergeCell ref="A102:A103"/>
    <mergeCell ref="A41:H41"/>
    <mergeCell ref="D93:D98"/>
    <mergeCell ref="C86:C88"/>
    <mergeCell ref="D86:D88"/>
    <mergeCell ref="C76:C79"/>
    <mergeCell ref="D76:D79"/>
    <mergeCell ref="E15:H15"/>
    <mergeCell ref="F10:H10"/>
    <mergeCell ref="A12:H12"/>
    <mergeCell ref="A42:A62"/>
    <mergeCell ref="C42:C62"/>
    <mergeCell ref="D42:D62"/>
    <mergeCell ref="A107:H107"/>
    <mergeCell ref="D20:D40"/>
    <mergeCell ref="A110:H110"/>
    <mergeCell ref="A92:H92"/>
    <mergeCell ref="C102:C103"/>
    <mergeCell ref="D102:D103"/>
    <mergeCell ref="A104:H104"/>
    <mergeCell ref="A69:A71"/>
    <mergeCell ref="C69:C71"/>
    <mergeCell ref="C93:C98"/>
    <mergeCell ref="A111:A114"/>
    <mergeCell ref="C111:C114"/>
    <mergeCell ref="D111:D114"/>
    <mergeCell ref="A108:A109"/>
    <mergeCell ref="C108:C109"/>
    <mergeCell ref="D108:D109"/>
    <mergeCell ref="A76:A79"/>
    <mergeCell ref="A105:A106"/>
    <mergeCell ref="C105:C106"/>
    <mergeCell ref="D105:D106"/>
    <mergeCell ref="A89:H89"/>
    <mergeCell ref="A90:A91"/>
    <mergeCell ref="A93:A98"/>
    <mergeCell ref="A80:A82"/>
    <mergeCell ref="C90:C91"/>
    <mergeCell ref="D90:D91"/>
  </mergeCells>
  <printOptions/>
  <pageMargins left="0.7874015748031497" right="0.3937007874015748" top="1.1811023622047245" bottom="0.3937007874015748" header="0.7874015748031497" footer="0"/>
  <pageSetup fitToHeight="25" horizontalDpi="600" verticalDpi="600" orientation="landscape" paperSize="9" scale="87" r:id="rId1"/>
  <headerFooter differentFirst="1" alignWithMargins="0">
    <oddHeader>&amp;C&amp;P</oddHeader>
  </headerFooter>
  <rowBreaks count="3" manualBreakCount="3">
    <brk id="71" max="7" man="1"/>
    <brk id="82" max="7" man="1"/>
    <brk id="9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1">
      <selection activeCell="D7" sqref="D7:E7"/>
    </sheetView>
  </sheetViews>
  <sheetFormatPr defaultColWidth="9.140625" defaultRowHeight="12.75"/>
  <cols>
    <col min="1" max="1" width="46.00390625" style="8" customWidth="1"/>
    <col min="2" max="2" width="27.28125" style="8" customWidth="1"/>
    <col min="3" max="3" width="17.28125" style="8" customWidth="1"/>
    <col min="4" max="4" width="17.8515625" style="8" customWidth="1"/>
    <col min="5" max="5" width="16.7109375" style="8" customWidth="1"/>
    <col min="6" max="6" width="9.57421875" style="8" bestFit="1" customWidth="1"/>
    <col min="7" max="16384" width="9.140625" style="8" customWidth="1"/>
  </cols>
  <sheetData>
    <row r="5" spans="4:5" ht="18.75">
      <c r="D5" s="111" t="s">
        <v>45</v>
      </c>
      <c r="E5" s="111"/>
    </row>
    <row r="6" spans="4:5" ht="18.75">
      <c r="D6" s="111" t="s">
        <v>46</v>
      </c>
      <c r="E6" s="111"/>
    </row>
    <row r="7" spans="4:5" ht="20.25" customHeight="1">
      <c r="D7" s="132" t="s">
        <v>158</v>
      </c>
      <c r="E7" s="132"/>
    </row>
    <row r="9" spans="4:6" ht="18.75" customHeight="1">
      <c r="D9" s="17" t="s">
        <v>18</v>
      </c>
      <c r="E9" s="17"/>
      <c r="F9" s="15"/>
    </row>
    <row r="10" spans="4:6" ht="94.5" customHeight="1">
      <c r="D10" s="113" t="s">
        <v>113</v>
      </c>
      <c r="E10" s="113"/>
      <c r="F10" s="15"/>
    </row>
    <row r="12" spans="1:5" s="17" customFormat="1" ht="18.75">
      <c r="A12" s="115" t="s">
        <v>21</v>
      </c>
      <c r="B12" s="115"/>
      <c r="C12" s="115"/>
      <c r="D12" s="115"/>
      <c r="E12" s="115"/>
    </row>
    <row r="13" spans="1:5" s="17" customFormat="1" ht="18.75" customHeight="1">
      <c r="A13" s="116" t="s">
        <v>112</v>
      </c>
      <c r="B13" s="116"/>
      <c r="C13" s="116"/>
      <c r="D13" s="116"/>
      <c r="E13" s="116"/>
    </row>
    <row r="14" spans="1:5" ht="12.75">
      <c r="A14" s="9"/>
      <c r="B14" s="9"/>
      <c r="C14" s="9"/>
      <c r="D14" s="9"/>
      <c r="E14" s="9"/>
    </row>
    <row r="15" spans="1:5" ht="12.75">
      <c r="A15" s="114"/>
      <c r="B15" s="114" t="s">
        <v>8</v>
      </c>
      <c r="C15" s="114" t="s">
        <v>9</v>
      </c>
      <c r="D15" s="114"/>
      <c r="E15" s="114"/>
    </row>
    <row r="16" spans="1:5" ht="12.75">
      <c r="A16" s="114"/>
      <c r="B16" s="114"/>
      <c r="C16" s="10">
        <v>2016</v>
      </c>
      <c r="D16" s="10">
        <v>2017</v>
      </c>
      <c r="E16" s="10">
        <v>2018</v>
      </c>
    </row>
    <row r="17" spans="1:5" s="9" customFormat="1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6" ht="12.75">
      <c r="A18" s="11" t="s">
        <v>41</v>
      </c>
      <c r="B18" s="12">
        <f>C18+D18+E18</f>
        <v>1949877.9595243998</v>
      </c>
      <c r="C18" s="12">
        <f>'додаток 1'!F115</f>
        <v>966614.8471299999</v>
      </c>
      <c r="D18" s="12">
        <f>'додаток 1'!G115</f>
        <v>475413.61107999994</v>
      </c>
      <c r="E18" s="12">
        <f>'додаток 1'!H115</f>
        <v>507849.5013144</v>
      </c>
      <c r="F18" s="13"/>
    </row>
    <row r="19" spans="1:6" ht="12.75">
      <c r="A19" s="11" t="s">
        <v>42</v>
      </c>
      <c r="B19" s="12"/>
      <c r="C19" s="12"/>
      <c r="D19" s="12"/>
      <c r="E19" s="12"/>
      <c r="F19" s="13"/>
    </row>
    <row r="20" spans="1:6" s="20" customFormat="1" ht="12.75">
      <c r="A20" s="21" t="s">
        <v>43</v>
      </c>
      <c r="B20" s="18">
        <f>C20+D20+E20</f>
        <v>0</v>
      </c>
      <c r="C20" s="18"/>
      <c r="D20" s="18"/>
      <c r="E20" s="18"/>
      <c r="F20" s="19"/>
    </row>
    <row r="21" spans="1:5" ht="12.75">
      <c r="A21" s="11" t="s">
        <v>10</v>
      </c>
      <c r="B21" s="12">
        <f>C21+D21+E21</f>
        <v>0</v>
      </c>
      <c r="C21" s="12"/>
      <c r="D21" s="12"/>
      <c r="E21" s="12"/>
    </row>
    <row r="22" spans="1:5" ht="12.75">
      <c r="A22" s="11" t="s">
        <v>11</v>
      </c>
      <c r="B22" s="12">
        <f>C22+D22+E22</f>
        <v>0</v>
      </c>
      <c r="C22" s="10"/>
      <c r="D22" s="12"/>
      <c r="E22" s="12"/>
    </row>
    <row r="23" spans="1:5" ht="12.75" customHeight="1">
      <c r="A23" s="11" t="s">
        <v>28</v>
      </c>
      <c r="B23" s="12">
        <f>C23+D23+E23</f>
        <v>0</v>
      </c>
      <c r="C23" s="10"/>
      <c r="D23" s="14"/>
      <c r="E23" s="14"/>
    </row>
    <row r="24" spans="1:5" ht="19.5" customHeight="1">
      <c r="A24" s="11" t="s">
        <v>12</v>
      </c>
      <c r="B24" s="12">
        <f>B18+B21+B22+B23</f>
        <v>1949877.9595243998</v>
      </c>
      <c r="C24" s="12">
        <f>C18+C21+C22+C23</f>
        <v>966614.8471299999</v>
      </c>
      <c r="D24" s="12">
        <f>D18+D21+D22+D23</f>
        <v>475413.61107999994</v>
      </c>
      <c r="E24" s="12">
        <f>E18+E21+E22+E23</f>
        <v>507849.5013144</v>
      </c>
    </row>
    <row r="27" spans="1:5" s="17" customFormat="1" ht="18.75">
      <c r="A27" s="17" t="s">
        <v>38</v>
      </c>
      <c r="D27" s="111" t="s">
        <v>47</v>
      </c>
      <c r="E27" s="111"/>
    </row>
  </sheetData>
  <sheetProtection/>
  <mergeCells count="10">
    <mergeCell ref="D5:E5"/>
    <mergeCell ref="D6:E6"/>
    <mergeCell ref="D7:E7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1.1811023622047245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H133"/>
  <sheetViews>
    <sheetView tabSelected="1" view="pageBreakPreview" zoomScale="90" zoomScaleSheetLayoutView="90" zoomScalePageLayoutView="70" workbookViewId="0" topLeftCell="A1">
      <selection activeCell="E8" sqref="E8"/>
    </sheetView>
  </sheetViews>
  <sheetFormatPr defaultColWidth="9.140625" defaultRowHeight="12.75"/>
  <cols>
    <col min="1" max="1" width="36.7109375" style="56" customWidth="1"/>
    <col min="2" max="2" width="28.00390625" style="23" customWidth="1"/>
    <col min="3" max="3" width="9.140625" style="4" customWidth="1"/>
    <col min="4" max="4" width="16.421875" style="23" customWidth="1"/>
    <col min="5" max="5" width="16.7109375" style="23" customWidth="1"/>
    <col min="6" max="6" width="15.140625" style="23" customWidth="1"/>
    <col min="7" max="7" width="16.140625" style="23" customWidth="1"/>
    <col min="8" max="8" width="0.13671875" style="23" customWidth="1"/>
    <col min="9" max="16384" width="9.140625" style="23" customWidth="1"/>
  </cols>
  <sheetData>
    <row r="5" spans="5:6" ht="18.75">
      <c r="E5" s="111" t="s">
        <v>45</v>
      </c>
      <c r="F5" s="111"/>
    </row>
    <row r="6" spans="5:6" ht="18.75">
      <c r="E6" s="111" t="s">
        <v>46</v>
      </c>
      <c r="F6" s="111"/>
    </row>
    <row r="7" spans="5:7" ht="17.25" customHeight="1">
      <c r="E7" s="131" t="s">
        <v>158</v>
      </c>
      <c r="F7" s="131"/>
      <c r="G7" s="87"/>
    </row>
    <row r="9" spans="1:7" ht="18.75">
      <c r="A9" s="23"/>
      <c r="E9" s="127" t="s">
        <v>27</v>
      </c>
      <c r="F9" s="127"/>
      <c r="G9" s="127"/>
    </row>
    <row r="10" spans="1:7" ht="58.5" customHeight="1">
      <c r="A10" s="23"/>
      <c r="E10" s="127" t="s">
        <v>102</v>
      </c>
      <c r="F10" s="127"/>
      <c r="G10" s="127"/>
    </row>
    <row r="11" ht="9.75" customHeight="1">
      <c r="A11" s="23"/>
    </row>
    <row r="12" spans="1:7" s="22" customFormat="1" ht="18.75">
      <c r="A12" s="129" t="s">
        <v>20</v>
      </c>
      <c r="B12" s="129"/>
      <c r="C12" s="129"/>
      <c r="D12" s="129"/>
      <c r="E12" s="129"/>
      <c r="F12" s="129"/>
      <c r="G12" s="129"/>
    </row>
    <row r="13" spans="1:7" s="22" customFormat="1" ht="18.75" customHeight="1">
      <c r="A13" s="128" t="s">
        <v>103</v>
      </c>
      <c r="B13" s="128"/>
      <c r="C13" s="128"/>
      <c r="D13" s="128"/>
      <c r="E13" s="128"/>
      <c r="F13" s="128"/>
      <c r="G13" s="128"/>
    </row>
    <row r="14" spans="1:7" s="22" customFormat="1" ht="10.5" customHeight="1">
      <c r="A14" s="57"/>
      <c r="B14" s="57"/>
      <c r="C14" s="57"/>
      <c r="D14" s="57"/>
      <c r="E14" s="57"/>
      <c r="F14" s="57"/>
      <c r="G14" s="57"/>
    </row>
    <row r="15" spans="1:8" ht="12.75">
      <c r="A15" s="105" t="s">
        <v>0</v>
      </c>
      <c r="B15" s="105" t="s">
        <v>13</v>
      </c>
      <c r="C15" s="105" t="s">
        <v>14</v>
      </c>
      <c r="D15" s="105" t="s">
        <v>17</v>
      </c>
      <c r="E15" s="105"/>
      <c r="F15" s="105"/>
      <c r="G15" s="105"/>
      <c r="H15" s="24"/>
    </row>
    <row r="16" spans="1:8" ht="12.75">
      <c r="A16" s="105"/>
      <c r="B16" s="105"/>
      <c r="C16" s="105"/>
      <c r="D16" s="105" t="s">
        <v>15</v>
      </c>
      <c r="E16" s="105" t="s">
        <v>16</v>
      </c>
      <c r="F16" s="105"/>
      <c r="G16" s="105"/>
      <c r="H16" s="24"/>
    </row>
    <row r="17" spans="1:8" ht="24" customHeight="1">
      <c r="A17" s="105"/>
      <c r="B17" s="105"/>
      <c r="C17" s="105"/>
      <c r="D17" s="105"/>
      <c r="E17" s="3">
        <v>2016</v>
      </c>
      <c r="F17" s="3">
        <v>2017</v>
      </c>
      <c r="G17" s="3">
        <v>2018</v>
      </c>
      <c r="H17" s="24"/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/>
    </row>
    <row r="19" spans="1:8" s="4" customFormat="1" ht="12.75">
      <c r="A19" s="100" t="s">
        <v>58</v>
      </c>
      <c r="B19" s="122"/>
      <c r="C19" s="122"/>
      <c r="D19" s="122"/>
      <c r="E19" s="122"/>
      <c r="F19" s="122"/>
      <c r="G19" s="122"/>
      <c r="H19" s="122"/>
    </row>
    <row r="20" spans="1:8" s="4" customFormat="1" ht="12.75">
      <c r="A20" s="104" t="s">
        <v>144</v>
      </c>
      <c r="B20" s="104"/>
      <c r="C20" s="104"/>
      <c r="D20" s="104"/>
      <c r="E20" s="104"/>
      <c r="F20" s="104"/>
      <c r="G20" s="104"/>
      <c r="H20" s="3"/>
    </row>
    <row r="21" spans="1:8" s="4" customFormat="1" ht="20.25" customHeight="1">
      <c r="A21" s="88" t="s">
        <v>59</v>
      </c>
      <c r="B21" s="123" t="s">
        <v>61</v>
      </c>
      <c r="C21" s="27" t="s">
        <v>105</v>
      </c>
      <c r="D21" s="28">
        <f>E21+F21+G21</f>
        <v>528</v>
      </c>
      <c r="E21" s="27">
        <f>59+225-5+5+4+7+8+93</f>
        <v>396</v>
      </c>
      <c r="F21" s="27">
        <v>62</v>
      </c>
      <c r="G21" s="27">
        <v>70</v>
      </c>
      <c r="H21" s="3"/>
    </row>
    <row r="22" spans="1:8" s="4" customFormat="1" ht="17.25" customHeight="1">
      <c r="A22" s="89"/>
      <c r="B22" s="124"/>
      <c r="C22" s="27" t="s">
        <v>39</v>
      </c>
      <c r="D22" s="7">
        <f aca="true" t="shared" si="0" ref="D22:D43">E22+F22+G22</f>
        <v>1829.495</v>
      </c>
      <c r="E22" s="27">
        <f>273.664+1.792+773.108-7.121+33.38+21.89+18.63+47.822</f>
        <v>1163.165</v>
      </c>
      <c r="F22" s="27">
        <v>312.973</v>
      </c>
      <c r="G22" s="27">
        <v>353.357</v>
      </c>
      <c r="H22" s="3"/>
    </row>
    <row r="23" spans="1:8" s="4" customFormat="1" ht="25.5">
      <c r="A23" s="89"/>
      <c r="B23" s="6" t="s">
        <v>62</v>
      </c>
      <c r="C23" s="27" t="s">
        <v>39</v>
      </c>
      <c r="D23" s="7">
        <f t="shared" si="0"/>
        <v>290.776</v>
      </c>
      <c r="E23" s="27">
        <f>123.056+0.21-1.325-1.532-0.857</f>
        <v>119.55199999999999</v>
      </c>
      <c r="F23" s="27">
        <v>70.995</v>
      </c>
      <c r="G23" s="27">
        <v>100.229</v>
      </c>
      <c r="H23" s="3"/>
    </row>
    <row r="24" spans="1:8" s="4" customFormat="1" ht="25.5">
      <c r="A24" s="89"/>
      <c r="B24" s="6" t="s">
        <v>63</v>
      </c>
      <c r="C24" s="27" t="s">
        <v>106</v>
      </c>
      <c r="D24" s="7">
        <f t="shared" si="0"/>
        <v>60.266</v>
      </c>
      <c r="E24" s="58">
        <f>21.999+0.156</f>
        <v>22.154999999999998</v>
      </c>
      <c r="F24" s="27">
        <v>18.026</v>
      </c>
      <c r="G24" s="27">
        <v>20.085</v>
      </c>
      <c r="H24" s="3"/>
    </row>
    <row r="25" spans="1:8" s="4" customFormat="1" ht="12.75" customHeight="1" hidden="1">
      <c r="A25" s="89"/>
      <c r="B25" s="6"/>
      <c r="C25" s="27"/>
      <c r="D25" s="28"/>
      <c r="E25" s="59"/>
      <c r="F25" s="27"/>
      <c r="G25" s="27"/>
      <c r="H25" s="3"/>
    </row>
    <row r="26" spans="1:8" s="4" customFormat="1" ht="25.5">
      <c r="A26" s="89"/>
      <c r="B26" s="41" t="s">
        <v>64</v>
      </c>
      <c r="C26" s="27" t="s">
        <v>106</v>
      </c>
      <c r="D26" s="7">
        <f>E26+F26+G26</f>
        <v>59.311</v>
      </c>
      <c r="E26" s="27">
        <v>59.311</v>
      </c>
      <c r="F26" s="27">
        <v>0</v>
      </c>
      <c r="G26" s="27">
        <v>0</v>
      </c>
      <c r="H26" s="3"/>
    </row>
    <row r="27" spans="1:8" s="4" customFormat="1" ht="25.5">
      <c r="A27" s="89"/>
      <c r="B27" s="6" t="s">
        <v>139</v>
      </c>
      <c r="C27" s="27" t="s">
        <v>26</v>
      </c>
      <c r="D27" s="28">
        <f>E27+F27+G27</f>
        <v>248</v>
      </c>
      <c r="E27" s="27">
        <v>248</v>
      </c>
      <c r="F27" s="27"/>
      <c r="G27" s="27"/>
      <c r="H27" s="3"/>
    </row>
    <row r="28" spans="1:8" s="4" customFormat="1" ht="12.75">
      <c r="A28" s="89"/>
      <c r="B28" s="6" t="s">
        <v>65</v>
      </c>
      <c r="C28" s="27" t="s">
        <v>26</v>
      </c>
      <c r="D28" s="28">
        <f t="shared" si="0"/>
        <v>20</v>
      </c>
      <c r="E28" s="27">
        <v>20</v>
      </c>
      <c r="F28" s="27">
        <v>0</v>
      </c>
      <c r="G28" s="27">
        <v>0</v>
      </c>
      <c r="H28" s="3"/>
    </row>
    <row r="29" spans="1:8" s="4" customFormat="1" ht="21" customHeight="1">
      <c r="A29" s="89"/>
      <c r="B29" s="123" t="s">
        <v>66</v>
      </c>
      <c r="C29" s="91" t="s">
        <v>26</v>
      </c>
      <c r="D29" s="125">
        <f t="shared" si="0"/>
        <v>715</v>
      </c>
      <c r="E29" s="91">
        <f>62+153+73+1</f>
        <v>289</v>
      </c>
      <c r="F29" s="91">
        <v>198</v>
      </c>
      <c r="G29" s="91">
        <v>228</v>
      </c>
      <c r="H29" s="3"/>
    </row>
    <row r="30" spans="1:8" s="4" customFormat="1" ht="18" customHeight="1">
      <c r="A30" s="89"/>
      <c r="B30" s="124"/>
      <c r="C30" s="92"/>
      <c r="D30" s="126"/>
      <c r="E30" s="92"/>
      <c r="F30" s="92"/>
      <c r="G30" s="92"/>
      <c r="H30" s="3"/>
    </row>
    <row r="31" spans="1:8" s="4" customFormat="1" ht="27.75" customHeight="1">
      <c r="A31" s="89"/>
      <c r="B31" s="6" t="s">
        <v>118</v>
      </c>
      <c r="C31" s="27" t="s">
        <v>26</v>
      </c>
      <c r="D31" s="28">
        <f>E31+F31+G31</f>
        <v>10</v>
      </c>
      <c r="E31" s="27">
        <v>10</v>
      </c>
      <c r="F31" s="27"/>
      <c r="G31" s="27"/>
      <c r="H31" s="3"/>
    </row>
    <row r="32" spans="1:8" s="4" customFormat="1" ht="29.25" customHeight="1">
      <c r="A32" s="89"/>
      <c r="B32" s="40" t="s">
        <v>67</v>
      </c>
      <c r="C32" s="51" t="s">
        <v>26</v>
      </c>
      <c r="D32" s="60">
        <f>E32+F32+G32</f>
        <v>307</v>
      </c>
      <c r="E32" s="53">
        <v>307</v>
      </c>
      <c r="F32" s="53"/>
      <c r="G32" s="53"/>
      <c r="H32" s="3"/>
    </row>
    <row r="33" spans="1:8" s="4" customFormat="1" ht="29.25" customHeight="1">
      <c r="A33" s="89"/>
      <c r="B33" s="6" t="s">
        <v>132</v>
      </c>
      <c r="C33" s="51" t="s">
        <v>123</v>
      </c>
      <c r="D33" s="60">
        <f>E33+F33+G33</f>
        <v>9</v>
      </c>
      <c r="E33" s="53">
        <v>9</v>
      </c>
      <c r="F33" s="53"/>
      <c r="G33" s="53"/>
      <c r="H33" s="3"/>
    </row>
    <row r="34" spans="1:8" s="4" customFormat="1" ht="12.75">
      <c r="A34" s="89"/>
      <c r="B34" s="6" t="s">
        <v>68</v>
      </c>
      <c r="C34" s="51" t="s">
        <v>26</v>
      </c>
      <c r="D34" s="28">
        <f t="shared" si="0"/>
        <v>49</v>
      </c>
      <c r="E34" s="27">
        <v>13</v>
      </c>
      <c r="F34" s="27">
        <v>20</v>
      </c>
      <c r="G34" s="27">
        <v>16</v>
      </c>
      <c r="H34" s="3"/>
    </row>
    <row r="35" spans="1:8" s="4" customFormat="1" ht="25.5">
      <c r="A35" s="89"/>
      <c r="B35" s="6" t="s">
        <v>69</v>
      </c>
      <c r="C35" s="27" t="s">
        <v>105</v>
      </c>
      <c r="D35" s="28">
        <f>E35+F35+G35</f>
        <v>195</v>
      </c>
      <c r="E35" s="27">
        <f>23+20+20-1-1</f>
        <v>61</v>
      </c>
      <c r="F35" s="27">
        <v>48</v>
      </c>
      <c r="G35" s="27">
        <v>86</v>
      </c>
      <c r="H35" s="3"/>
    </row>
    <row r="36" spans="1:8" s="4" customFormat="1" ht="38.25">
      <c r="A36" s="89"/>
      <c r="B36" s="6" t="s">
        <v>107</v>
      </c>
      <c r="C36" s="27" t="s">
        <v>105</v>
      </c>
      <c r="D36" s="28">
        <f t="shared" si="0"/>
        <v>4</v>
      </c>
      <c r="E36" s="27">
        <f>24-20</f>
        <v>4</v>
      </c>
      <c r="F36" s="27"/>
      <c r="G36" s="27"/>
      <c r="H36" s="3"/>
    </row>
    <row r="37" spans="1:8" s="4" customFormat="1" ht="12.75">
      <c r="A37" s="89"/>
      <c r="B37" s="6" t="s">
        <v>71</v>
      </c>
      <c r="C37" s="27" t="s">
        <v>26</v>
      </c>
      <c r="D37" s="28">
        <f t="shared" si="0"/>
        <v>236</v>
      </c>
      <c r="E37" s="28">
        <f>E38+1</f>
        <v>80</v>
      </c>
      <c r="F37" s="28">
        <f>F38</f>
        <v>78</v>
      </c>
      <c r="G37" s="28">
        <f>G38</f>
        <v>78</v>
      </c>
      <c r="H37" s="3"/>
    </row>
    <row r="38" spans="1:8" s="4" customFormat="1" ht="41.25" customHeight="1">
      <c r="A38" s="89"/>
      <c r="B38" s="33" t="s">
        <v>72</v>
      </c>
      <c r="C38" s="27" t="s">
        <v>26</v>
      </c>
      <c r="D38" s="28">
        <f t="shared" si="0"/>
        <v>235</v>
      </c>
      <c r="E38" s="28">
        <f>78+1</f>
        <v>79</v>
      </c>
      <c r="F38" s="28">
        <v>78</v>
      </c>
      <c r="G38" s="28">
        <v>78</v>
      </c>
      <c r="H38" s="7"/>
    </row>
    <row r="39" spans="1:8" s="4" customFormat="1" ht="12.75">
      <c r="A39" s="89"/>
      <c r="B39" s="6" t="s">
        <v>73</v>
      </c>
      <c r="C39" s="27" t="s">
        <v>105</v>
      </c>
      <c r="D39" s="28">
        <f t="shared" si="0"/>
        <v>4</v>
      </c>
      <c r="E39" s="59">
        <f>3-1</f>
        <v>2</v>
      </c>
      <c r="F39" s="27">
        <v>2</v>
      </c>
      <c r="G39" s="27">
        <v>0</v>
      </c>
      <c r="H39" s="3"/>
    </row>
    <row r="40" spans="1:8" s="4" customFormat="1" ht="38.25">
      <c r="A40" s="89"/>
      <c r="B40" s="6" t="s">
        <v>74</v>
      </c>
      <c r="C40" s="27" t="s">
        <v>105</v>
      </c>
      <c r="D40" s="28">
        <f t="shared" si="0"/>
        <v>25</v>
      </c>
      <c r="E40" s="27">
        <v>11</v>
      </c>
      <c r="F40" s="27">
        <v>7</v>
      </c>
      <c r="G40" s="27">
        <v>7</v>
      </c>
      <c r="H40" s="3"/>
    </row>
    <row r="41" spans="1:8" s="4" customFormat="1" ht="38.25" customHeight="1" hidden="1">
      <c r="A41" s="89"/>
      <c r="B41" s="6" t="s">
        <v>108</v>
      </c>
      <c r="C41" s="27" t="s">
        <v>56</v>
      </c>
      <c r="D41" s="28">
        <f t="shared" si="0"/>
        <v>0</v>
      </c>
      <c r="E41" s="7"/>
      <c r="F41" s="27"/>
      <c r="G41" s="27"/>
      <c r="H41" s="3"/>
    </row>
    <row r="42" spans="1:8" s="4" customFormat="1" ht="40.5" customHeight="1">
      <c r="A42" s="89"/>
      <c r="B42" s="34" t="s">
        <v>124</v>
      </c>
      <c r="C42" s="27" t="s">
        <v>123</v>
      </c>
      <c r="D42" s="28">
        <f t="shared" si="0"/>
        <v>427</v>
      </c>
      <c r="E42" s="28">
        <f>208+219</f>
        <v>427</v>
      </c>
      <c r="F42" s="7"/>
      <c r="G42" s="7"/>
      <c r="H42" s="7"/>
    </row>
    <row r="43" spans="1:8" s="4" customFormat="1" ht="38.25">
      <c r="A43" s="89"/>
      <c r="B43" s="34" t="s">
        <v>125</v>
      </c>
      <c r="C43" s="27" t="s">
        <v>123</v>
      </c>
      <c r="D43" s="28">
        <f t="shared" si="0"/>
        <v>1</v>
      </c>
      <c r="E43" s="28">
        <v>1</v>
      </c>
      <c r="F43" s="7"/>
      <c r="G43" s="7"/>
      <c r="H43" s="7"/>
    </row>
    <row r="44" spans="1:8" s="4" customFormat="1" ht="38.25" hidden="1">
      <c r="A44" s="90"/>
      <c r="B44" s="37" t="s">
        <v>146</v>
      </c>
      <c r="C44" s="62" t="s">
        <v>26</v>
      </c>
      <c r="D44" s="63">
        <f>E44</f>
        <v>99</v>
      </c>
      <c r="E44" s="63">
        <v>99</v>
      </c>
      <c r="F44" s="27"/>
      <c r="G44" s="27"/>
      <c r="H44" s="3"/>
    </row>
    <row r="45" spans="1:8" s="4" customFormat="1" ht="12.75" customHeight="1">
      <c r="A45" s="93" t="s">
        <v>75</v>
      </c>
      <c r="B45" s="94"/>
      <c r="C45" s="94"/>
      <c r="D45" s="94"/>
      <c r="E45" s="94"/>
      <c r="F45" s="94"/>
      <c r="G45" s="94"/>
      <c r="H45" s="95"/>
    </row>
    <row r="46" spans="1:8" s="4" customFormat="1" ht="12.75">
      <c r="A46" s="104" t="s">
        <v>144</v>
      </c>
      <c r="B46" s="104"/>
      <c r="C46" s="104"/>
      <c r="D46" s="104"/>
      <c r="E46" s="104"/>
      <c r="F46" s="104"/>
      <c r="G46" s="104"/>
      <c r="H46" s="3"/>
    </row>
    <row r="47" spans="1:8" s="4" customFormat="1" ht="52.5" customHeight="1">
      <c r="A47" s="88" t="s">
        <v>35</v>
      </c>
      <c r="B47" s="123" t="s">
        <v>76</v>
      </c>
      <c r="C47" s="91" t="s">
        <v>109</v>
      </c>
      <c r="D47" s="125">
        <v>7</v>
      </c>
      <c r="E47" s="91">
        <v>7</v>
      </c>
      <c r="F47" s="91">
        <v>7</v>
      </c>
      <c r="G47" s="91">
        <v>7</v>
      </c>
      <c r="H47" s="3"/>
    </row>
    <row r="48" spans="1:8" s="4" customFormat="1" ht="39" customHeight="1">
      <c r="A48" s="89"/>
      <c r="B48" s="124"/>
      <c r="C48" s="92"/>
      <c r="D48" s="126"/>
      <c r="E48" s="92"/>
      <c r="F48" s="92"/>
      <c r="G48" s="92"/>
      <c r="H48" s="3"/>
    </row>
    <row r="49" spans="1:8" s="4" customFormat="1" ht="38.25">
      <c r="A49" s="89"/>
      <c r="B49" s="6" t="s">
        <v>157</v>
      </c>
      <c r="C49" s="27" t="s">
        <v>26</v>
      </c>
      <c r="D49" s="28">
        <f>E49+F49+G49</f>
        <v>129</v>
      </c>
      <c r="E49" s="60">
        <v>129</v>
      </c>
      <c r="F49" s="53"/>
      <c r="G49" s="53"/>
      <c r="H49" s="3"/>
    </row>
    <row r="50" spans="1:8" s="4" customFormat="1" ht="18.75" customHeight="1">
      <c r="A50" s="89"/>
      <c r="B50" s="24" t="s">
        <v>154</v>
      </c>
      <c r="C50" s="27" t="s">
        <v>110</v>
      </c>
      <c r="D50" s="7">
        <f>E50+F50+G50</f>
        <v>1.1429999999999998</v>
      </c>
      <c r="E50" s="27">
        <f>3.589-2.446</f>
        <v>1.1429999999999998</v>
      </c>
      <c r="F50" s="27"/>
      <c r="G50" s="27"/>
      <c r="H50" s="3"/>
    </row>
    <row r="51" spans="1:8" s="4" customFormat="1" ht="25.5">
      <c r="A51" s="89"/>
      <c r="B51" s="6" t="s">
        <v>153</v>
      </c>
      <c r="C51" s="27" t="s">
        <v>136</v>
      </c>
      <c r="D51" s="61">
        <f>E51+F51+G51</f>
        <v>800</v>
      </c>
      <c r="E51" s="68">
        <v>800</v>
      </c>
      <c r="F51" s="27"/>
      <c r="G51" s="27"/>
      <c r="H51" s="3"/>
    </row>
    <row r="52" spans="1:8" s="4" customFormat="1" ht="51">
      <c r="A52" s="89"/>
      <c r="B52" s="6" t="s">
        <v>77</v>
      </c>
      <c r="C52" s="27" t="s">
        <v>26</v>
      </c>
      <c r="D52" s="28">
        <v>275</v>
      </c>
      <c r="E52" s="27">
        <v>275</v>
      </c>
      <c r="F52" s="27"/>
      <c r="G52" s="27"/>
      <c r="H52" s="3"/>
    </row>
    <row r="53" spans="1:8" s="4" customFormat="1" ht="51">
      <c r="A53" s="89"/>
      <c r="B53" s="35" t="s">
        <v>78</v>
      </c>
      <c r="C53" s="27"/>
      <c r="D53" s="61"/>
      <c r="E53" s="27"/>
      <c r="F53" s="27"/>
      <c r="G53" s="27"/>
      <c r="H53" s="3"/>
    </row>
    <row r="54" spans="1:8" s="4" customFormat="1" ht="25.5">
      <c r="A54" s="89"/>
      <c r="B54" s="36" t="s">
        <v>79</v>
      </c>
      <c r="C54" s="62" t="s">
        <v>26</v>
      </c>
      <c r="D54" s="63">
        <f aca="true" t="shared" si="1" ref="D54:D66">E54+F54+G54</f>
        <v>92</v>
      </c>
      <c r="E54" s="63">
        <v>92</v>
      </c>
      <c r="F54" s="27"/>
      <c r="G54" s="27"/>
      <c r="H54" s="3"/>
    </row>
    <row r="55" spans="1:8" s="4" customFormat="1" ht="25.5">
      <c r="A55" s="89"/>
      <c r="B55" s="36" t="s">
        <v>80</v>
      </c>
      <c r="C55" s="62" t="s">
        <v>26</v>
      </c>
      <c r="D55" s="63">
        <f t="shared" si="1"/>
        <v>742</v>
      </c>
      <c r="E55" s="63">
        <v>742</v>
      </c>
      <c r="F55" s="27"/>
      <c r="G55" s="27"/>
      <c r="H55" s="3"/>
    </row>
    <row r="56" spans="1:8" s="4" customFormat="1" ht="25.5">
      <c r="A56" s="89"/>
      <c r="B56" s="36" t="s">
        <v>81</v>
      </c>
      <c r="C56" s="62" t="s">
        <v>26</v>
      </c>
      <c r="D56" s="63">
        <f t="shared" si="1"/>
        <v>1091</v>
      </c>
      <c r="E56" s="63">
        <v>1091</v>
      </c>
      <c r="F56" s="27"/>
      <c r="G56" s="27"/>
      <c r="H56" s="3"/>
    </row>
    <row r="57" spans="1:8" s="4" customFormat="1" ht="38.25">
      <c r="A57" s="89"/>
      <c r="B57" s="36" t="s">
        <v>82</v>
      </c>
      <c r="C57" s="62" t="s">
        <v>26</v>
      </c>
      <c r="D57" s="63">
        <f t="shared" si="1"/>
        <v>977</v>
      </c>
      <c r="E57" s="63">
        <v>977</v>
      </c>
      <c r="F57" s="27"/>
      <c r="G57" s="27"/>
      <c r="H57" s="3"/>
    </row>
    <row r="58" spans="1:8" s="4" customFormat="1" ht="38.25">
      <c r="A58" s="89"/>
      <c r="B58" s="36" t="s">
        <v>83</v>
      </c>
      <c r="C58" s="62" t="s">
        <v>26</v>
      </c>
      <c r="D58" s="63">
        <f t="shared" si="1"/>
        <v>26</v>
      </c>
      <c r="E58" s="63">
        <v>26</v>
      </c>
      <c r="F58" s="27"/>
      <c r="G58" s="27"/>
      <c r="H58" s="3"/>
    </row>
    <row r="59" spans="1:8" s="4" customFormat="1" ht="63.75" customHeight="1" hidden="1">
      <c r="A59" s="89"/>
      <c r="B59" s="36" t="s">
        <v>84</v>
      </c>
      <c r="C59" s="62" t="s">
        <v>26</v>
      </c>
      <c r="D59" s="63">
        <f t="shared" si="1"/>
        <v>0</v>
      </c>
      <c r="E59" s="63">
        <f>2850-2850</f>
        <v>0</v>
      </c>
      <c r="F59" s="27"/>
      <c r="G59" s="27"/>
      <c r="H59" s="3"/>
    </row>
    <row r="60" spans="1:8" s="4" customFormat="1" ht="25.5">
      <c r="A60" s="89"/>
      <c r="B60" s="37" t="s">
        <v>85</v>
      </c>
      <c r="C60" s="62" t="s">
        <v>105</v>
      </c>
      <c r="D60" s="63">
        <f t="shared" si="1"/>
        <v>5</v>
      </c>
      <c r="E60" s="63">
        <f>3+2</f>
        <v>5</v>
      </c>
      <c r="F60" s="27"/>
      <c r="G60" s="27"/>
      <c r="H60" s="3"/>
    </row>
    <row r="61" spans="1:8" s="4" customFormat="1" ht="38.25">
      <c r="A61" s="89"/>
      <c r="B61" s="38" t="s">
        <v>86</v>
      </c>
      <c r="C61" s="62" t="s">
        <v>105</v>
      </c>
      <c r="D61" s="64">
        <f t="shared" si="1"/>
        <v>5</v>
      </c>
      <c r="E61" s="64">
        <v>5</v>
      </c>
      <c r="F61" s="27"/>
      <c r="G61" s="27"/>
      <c r="H61" s="3"/>
    </row>
    <row r="62" spans="1:8" s="4" customFormat="1" ht="25.5">
      <c r="A62" s="89"/>
      <c r="B62" s="38" t="s">
        <v>87</v>
      </c>
      <c r="C62" s="62" t="s">
        <v>105</v>
      </c>
      <c r="D62" s="64">
        <f t="shared" si="1"/>
        <v>4</v>
      </c>
      <c r="E62" s="64">
        <f>5-1</f>
        <v>4</v>
      </c>
      <c r="F62" s="27"/>
      <c r="G62" s="27"/>
      <c r="H62" s="3"/>
    </row>
    <row r="63" spans="1:8" s="4" customFormat="1" ht="89.25">
      <c r="A63" s="89"/>
      <c r="B63" s="37" t="s">
        <v>129</v>
      </c>
      <c r="C63" s="62" t="s">
        <v>26</v>
      </c>
      <c r="D63" s="63">
        <f t="shared" si="1"/>
        <v>1385</v>
      </c>
      <c r="E63" s="63">
        <v>1385</v>
      </c>
      <c r="F63" s="27"/>
      <c r="G63" s="27"/>
      <c r="H63" s="3"/>
    </row>
    <row r="64" spans="1:8" s="4" customFormat="1" ht="90" customHeight="1">
      <c r="A64" s="89"/>
      <c r="B64" s="37" t="s">
        <v>88</v>
      </c>
      <c r="C64" s="3" t="s">
        <v>105</v>
      </c>
      <c r="D64" s="63">
        <f t="shared" si="1"/>
        <v>3</v>
      </c>
      <c r="E64" s="63">
        <f>2+1</f>
        <v>3</v>
      </c>
      <c r="F64" s="27"/>
      <c r="G64" s="27"/>
      <c r="H64" s="3"/>
    </row>
    <row r="65" spans="1:8" s="4" customFormat="1" ht="51">
      <c r="A65" s="89"/>
      <c r="B65" s="6" t="s">
        <v>98</v>
      </c>
      <c r="C65" s="65" t="s">
        <v>26</v>
      </c>
      <c r="D65" s="65">
        <f>E65+F123+G123</f>
        <v>3084</v>
      </c>
      <c r="E65" s="3">
        <f>234+1900+950</f>
        <v>3084</v>
      </c>
      <c r="F65" s="27"/>
      <c r="G65" s="27"/>
      <c r="H65" s="3"/>
    </row>
    <row r="66" spans="1:8" s="4" customFormat="1" ht="38.25">
      <c r="A66" s="89"/>
      <c r="B66" s="24" t="s">
        <v>89</v>
      </c>
      <c r="C66" s="27" t="s">
        <v>105</v>
      </c>
      <c r="D66" s="28">
        <f t="shared" si="1"/>
        <v>1</v>
      </c>
      <c r="E66" s="27">
        <v>1</v>
      </c>
      <c r="F66" s="27"/>
      <c r="G66" s="27"/>
      <c r="H66" s="3"/>
    </row>
    <row r="67" spans="1:8" s="4" customFormat="1" ht="38.25">
      <c r="A67" s="89"/>
      <c r="B67" s="24" t="s">
        <v>142</v>
      </c>
      <c r="C67" s="27"/>
      <c r="D67" s="28"/>
      <c r="E67" s="27"/>
      <c r="F67" s="27"/>
      <c r="G67" s="27"/>
      <c r="H67" s="3"/>
    </row>
    <row r="68" spans="1:8" s="4" customFormat="1" ht="38.25">
      <c r="A68" s="89"/>
      <c r="B68" s="78" t="s">
        <v>134</v>
      </c>
      <c r="C68" s="27" t="s">
        <v>138</v>
      </c>
      <c r="D68" s="76">
        <f>E68</f>
        <v>61.192</v>
      </c>
      <c r="E68" s="27">
        <v>61.192</v>
      </c>
      <c r="F68" s="27"/>
      <c r="G68" s="27"/>
      <c r="H68" s="3"/>
    </row>
    <row r="69" spans="1:8" s="4" customFormat="1" ht="38.25">
      <c r="A69" s="90"/>
      <c r="B69" s="78" t="s">
        <v>137</v>
      </c>
      <c r="C69" s="27" t="s">
        <v>39</v>
      </c>
      <c r="D69" s="76">
        <f>E69</f>
        <v>13595.49</v>
      </c>
      <c r="E69" s="76">
        <v>13595.49</v>
      </c>
      <c r="F69" s="27"/>
      <c r="G69" s="27"/>
      <c r="H69" s="3"/>
    </row>
    <row r="70" spans="1:8" s="4" customFormat="1" ht="12.75">
      <c r="A70" s="104" t="s">
        <v>55</v>
      </c>
      <c r="B70" s="104"/>
      <c r="C70" s="104"/>
      <c r="D70" s="104"/>
      <c r="E70" s="104"/>
      <c r="F70" s="104"/>
      <c r="G70" s="104"/>
      <c r="H70" s="3"/>
    </row>
    <row r="71" spans="1:8" s="4" customFormat="1" ht="21.75" customHeight="1">
      <c r="A71" s="88" t="s">
        <v>35</v>
      </c>
      <c r="B71" s="39"/>
      <c r="C71" s="27"/>
      <c r="D71" s="66"/>
      <c r="E71" s="66"/>
      <c r="F71" s="66"/>
      <c r="G71" s="66"/>
      <c r="H71" s="3"/>
    </row>
    <row r="72" spans="1:8" s="4" customFormat="1" ht="63.75">
      <c r="A72" s="89"/>
      <c r="B72" s="39" t="s">
        <v>49</v>
      </c>
      <c r="C72" s="27" t="s">
        <v>39</v>
      </c>
      <c r="D72" s="58">
        <v>22.128</v>
      </c>
      <c r="E72" s="7">
        <v>22.128</v>
      </c>
      <c r="F72" s="67"/>
      <c r="G72" s="67"/>
      <c r="H72" s="3"/>
    </row>
    <row r="73" spans="1:8" s="4" customFormat="1" ht="39.75" customHeight="1">
      <c r="A73" s="90"/>
      <c r="B73" s="39" t="str">
        <f>'додаток 1'!B68</f>
        <v>звалювання аварійних та сухостійних дерев на прибудинкових територіях</v>
      </c>
      <c r="C73" s="27" t="s">
        <v>26</v>
      </c>
      <c r="D73" s="27">
        <f>E73+F73+G73</f>
        <v>83</v>
      </c>
      <c r="E73" s="27">
        <v>83</v>
      </c>
      <c r="F73" s="27"/>
      <c r="G73" s="27"/>
      <c r="H73" s="3"/>
    </row>
    <row r="74" spans="1:8" s="4" customFormat="1" ht="12.75">
      <c r="A74" s="104" t="s">
        <v>51</v>
      </c>
      <c r="B74" s="104"/>
      <c r="C74" s="104"/>
      <c r="D74" s="104"/>
      <c r="E74" s="104"/>
      <c r="F74" s="104"/>
      <c r="G74" s="104"/>
      <c r="H74" s="3"/>
    </row>
    <row r="75" spans="1:8" s="4" customFormat="1" ht="21.75" customHeight="1">
      <c r="A75" s="88" t="s">
        <v>35</v>
      </c>
      <c r="B75" s="39"/>
      <c r="C75" s="27"/>
      <c r="D75" s="66"/>
      <c r="E75" s="66"/>
      <c r="F75" s="66"/>
      <c r="G75" s="66"/>
      <c r="H75" s="3"/>
    </row>
    <row r="76" spans="1:8" s="4" customFormat="1" ht="63.75">
      <c r="A76" s="89"/>
      <c r="B76" s="39" t="s">
        <v>49</v>
      </c>
      <c r="C76" s="27" t="s">
        <v>39</v>
      </c>
      <c r="D76" s="58">
        <v>17.105</v>
      </c>
      <c r="E76" s="7">
        <v>17.105</v>
      </c>
      <c r="F76" s="67"/>
      <c r="G76" s="67"/>
      <c r="H76" s="3"/>
    </row>
    <row r="77" spans="1:8" s="4" customFormat="1" ht="63.75">
      <c r="A77" s="90"/>
      <c r="B77" s="39" t="s">
        <v>119</v>
      </c>
      <c r="C77" s="27" t="s">
        <v>120</v>
      </c>
      <c r="D77" s="27">
        <f>E77+F77+G77</f>
        <v>1</v>
      </c>
      <c r="E77" s="27">
        <v>1</v>
      </c>
      <c r="F77" s="27"/>
      <c r="G77" s="27"/>
      <c r="H77" s="3"/>
    </row>
    <row r="78" spans="1:8" s="4" customFormat="1" ht="12.75">
      <c r="A78" s="104" t="s">
        <v>53</v>
      </c>
      <c r="B78" s="104"/>
      <c r="C78" s="104"/>
      <c r="D78" s="104"/>
      <c r="E78" s="104"/>
      <c r="F78" s="104"/>
      <c r="G78" s="104"/>
      <c r="H78" s="3"/>
    </row>
    <row r="79" spans="1:8" s="4" customFormat="1" ht="12.75" customHeight="1">
      <c r="A79" s="88" t="s">
        <v>35</v>
      </c>
      <c r="B79" s="39"/>
      <c r="C79" s="27"/>
      <c r="D79" s="27"/>
      <c r="E79" s="27"/>
      <c r="F79" s="27"/>
      <c r="G79" s="27"/>
      <c r="H79" s="3"/>
    </row>
    <row r="80" spans="1:8" s="4" customFormat="1" ht="66.75" customHeight="1">
      <c r="A80" s="89"/>
      <c r="B80" s="39" t="s">
        <v>49</v>
      </c>
      <c r="C80" s="27" t="s">
        <v>39</v>
      </c>
      <c r="D80" s="27">
        <f>E80+F80+G80</f>
        <v>12.881</v>
      </c>
      <c r="E80" s="27">
        <v>12.881</v>
      </c>
      <c r="F80" s="27"/>
      <c r="G80" s="27"/>
      <c r="H80" s="3"/>
    </row>
    <row r="81" spans="1:8" s="4" customFormat="1" ht="63.75">
      <c r="A81" s="89"/>
      <c r="B81" s="39" t="s">
        <v>119</v>
      </c>
      <c r="C81" s="27" t="s">
        <v>120</v>
      </c>
      <c r="D81" s="27">
        <f>E81+F81+G81</f>
        <v>1</v>
      </c>
      <c r="E81" s="27">
        <v>1</v>
      </c>
      <c r="F81" s="27"/>
      <c r="G81" s="27"/>
      <c r="H81" s="3"/>
    </row>
    <row r="82" spans="1:8" s="4" customFormat="1" ht="39.75" customHeight="1">
      <c r="A82" s="90"/>
      <c r="B82" s="39" t="str">
        <f>'додаток 1'!B75</f>
        <v>обрізування і звалювання аварійних та сухостійних дерев на прибудинкових територіях</v>
      </c>
      <c r="C82" s="27" t="s">
        <v>26</v>
      </c>
      <c r="D82" s="27">
        <f>E82+F82+G82</f>
        <v>226</v>
      </c>
      <c r="E82" s="27">
        <v>226</v>
      </c>
      <c r="F82" s="27"/>
      <c r="G82" s="27"/>
      <c r="H82" s="3"/>
    </row>
    <row r="83" spans="1:8" s="4" customFormat="1" ht="12.75">
      <c r="A83" s="104" t="s">
        <v>29</v>
      </c>
      <c r="B83" s="104"/>
      <c r="C83" s="104"/>
      <c r="D83" s="104"/>
      <c r="E83" s="104"/>
      <c r="F83" s="104"/>
      <c r="G83" s="104"/>
      <c r="H83" s="3"/>
    </row>
    <row r="84" spans="1:8" s="4" customFormat="1" ht="12.75" customHeight="1">
      <c r="A84" s="88" t="s">
        <v>35</v>
      </c>
      <c r="B84" s="39"/>
      <c r="C84" s="27"/>
      <c r="D84" s="27"/>
      <c r="E84" s="27"/>
      <c r="F84" s="27"/>
      <c r="G84" s="27"/>
      <c r="H84" s="3"/>
    </row>
    <row r="85" spans="1:8" s="4" customFormat="1" ht="63.75">
      <c r="A85" s="89"/>
      <c r="B85" s="39" t="s">
        <v>49</v>
      </c>
      <c r="C85" s="27" t="s">
        <v>39</v>
      </c>
      <c r="D85" s="27">
        <f>E85+F85+G85</f>
        <v>29.106</v>
      </c>
      <c r="E85" s="58">
        <v>29.106</v>
      </c>
      <c r="F85" s="27"/>
      <c r="G85" s="27"/>
      <c r="H85" s="3"/>
    </row>
    <row r="86" spans="1:8" s="4" customFormat="1" ht="63.75">
      <c r="A86" s="89"/>
      <c r="B86" s="39" t="s">
        <v>119</v>
      </c>
      <c r="C86" s="27" t="s">
        <v>120</v>
      </c>
      <c r="D86" s="27">
        <f>E86+F86+G86</f>
        <v>2</v>
      </c>
      <c r="E86" s="59">
        <v>2</v>
      </c>
      <c r="F86" s="27"/>
      <c r="G86" s="27"/>
      <c r="H86" s="3"/>
    </row>
    <row r="87" spans="1:8" s="4" customFormat="1" ht="39.75" customHeight="1">
      <c r="A87" s="90"/>
      <c r="B87" s="39" t="str">
        <f>'додаток 1'!B79</f>
        <v>звалювання аварійних та сухостійних дерев на прибудинкових територіях</v>
      </c>
      <c r="C87" s="27" t="s">
        <v>26</v>
      </c>
      <c r="D87" s="27">
        <f>E87+F87+G87</f>
        <v>54</v>
      </c>
      <c r="E87" s="27">
        <v>54</v>
      </c>
      <c r="F87" s="27"/>
      <c r="G87" s="27"/>
      <c r="H87" s="3"/>
    </row>
    <row r="88" spans="1:8" s="4" customFormat="1" ht="12.75">
      <c r="A88" s="104" t="s">
        <v>30</v>
      </c>
      <c r="B88" s="104"/>
      <c r="C88" s="104"/>
      <c r="D88" s="104"/>
      <c r="E88" s="104"/>
      <c r="F88" s="104"/>
      <c r="G88" s="104"/>
      <c r="H88" s="3"/>
    </row>
    <row r="89" spans="1:8" s="4" customFormat="1" ht="12.75" customHeight="1">
      <c r="A89" s="88" t="s">
        <v>35</v>
      </c>
      <c r="B89" s="39"/>
      <c r="C89" s="27"/>
      <c r="D89" s="27"/>
      <c r="E89" s="27"/>
      <c r="F89" s="27"/>
      <c r="G89" s="27"/>
      <c r="H89" s="3"/>
    </row>
    <row r="90" spans="1:8" s="4" customFormat="1" ht="63.75">
      <c r="A90" s="89"/>
      <c r="B90" s="39" t="s">
        <v>49</v>
      </c>
      <c r="C90" s="27" t="s">
        <v>39</v>
      </c>
      <c r="D90" s="68">
        <f>E90+F90+G90</f>
        <v>30.5</v>
      </c>
      <c r="E90" s="68">
        <f>21.4+9.1</f>
        <v>30.5</v>
      </c>
      <c r="F90" s="27"/>
      <c r="G90" s="27"/>
      <c r="H90" s="3"/>
    </row>
    <row r="91" spans="1:8" s="4" customFormat="1" ht="63.75">
      <c r="A91" s="90"/>
      <c r="B91" s="39" t="s">
        <v>119</v>
      </c>
      <c r="C91" s="27" t="s">
        <v>120</v>
      </c>
      <c r="D91" s="27">
        <f>E91+F91+G91</f>
        <v>1</v>
      </c>
      <c r="E91" s="27">
        <v>1</v>
      </c>
      <c r="F91" s="27"/>
      <c r="G91" s="27"/>
      <c r="H91" s="3"/>
    </row>
    <row r="92" spans="1:8" s="4" customFormat="1" ht="12.75">
      <c r="A92" s="104" t="s">
        <v>31</v>
      </c>
      <c r="B92" s="104"/>
      <c r="C92" s="104"/>
      <c r="D92" s="104"/>
      <c r="E92" s="104"/>
      <c r="F92" s="104"/>
      <c r="G92" s="104"/>
      <c r="H92" s="3"/>
    </row>
    <row r="93" spans="1:8" s="4" customFormat="1" ht="12.75" customHeight="1">
      <c r="A93" s="88" t="s">
        <v>35</v>
      </c>
      <c r="B93" s="39"/>
      <c r="C93" s="27"/>
      <c r="D93" s="27"/>
      <c r="E93" s="27"/>
      <c r="F93" s="27"/>
      <c r="G93" s="27"/>
      <c r="H93" s="3"/>
    </row>
    <row r="94" spans="1:8" s="4" customFormat="1" ht="63.75">
      <c r="A94" s="89"/>
      <c r="B94" s="39" t="s">
        <v>49</v>
      </c>
      <c r="C94" s="27" t="s">
        <v>39</v>
      </c>
      <c r="D94" s="58">
        <f>E94+F94+G94</f>
        <v>16.96</v>
      </c>
      <c r="E94" s="58">
        <f>15.14+1.82</f>
        <v>16.96</v>
      </c>
      <c r="F94" s="27"/>
      <c r="G94" s="27"/>
      <c r="H94" s="3"/>
    </row>
    <row r="95" spans="1:8" s="4" customFormat="1" ht="39.75" customHeight="1">
      <c r="A95" s="90"/>
      <c r="B95" s="39" t="str">
        <f>'додаток 1'!B85</f>
        <v>звалювання аварійних та сухостійних дерев на прибудинкових територіях</v>
      </c>
      <c r="C95" s="27" t="s">
        <v>26</v>
      </c>
      <c r="D95" s="27">
        <f>E95+F95+G95</f>
        <v>108</v>
      </c>
      <c r="E95" s="27">
        <v>108</v>
      </c>
      <c r="F95" s="27"/>
      <c r="G95" s="27"/>
      <c r="H95" s="3"/>
    </row>
    <row r="96" spans="1:8" s="4" customFormat="1" ht="12.75">
      <c r="A96" s="104" t="s">
        <v>32</v>
      </c>
      <c r="B96" s="104"/>
      <c r="C96" s="104"/>
      <c r="D96" s="104"/>
      <c r="E96" s="104"/>
      <c r="F96" s="104"/>
      <c r="G96" s="104"/>
      <c r="H96" s="3"/>
    </row>
    <row r="97" spans="1:8" s="4" customFormat="1" ht="12.75" customHeight="1">
      <c r="A97" s="88" t="s">
        <v>35</v>
      </c>
      <c r="B97" s="39"/>
      <c r="C97" s="27"/>
      <c r="D97" s="27"/>
      <c r="E97" s="27"/>
      <c r="F97" s="27"/>
      <c r="G97" s="27"/>
      <c r="H97" s="3"/>
    </row>
    <row r="98" spans="1:8" s="4" customFormat="1" ht="63" customHeight="1">
      <c r="A98" s="89"/>
      <c r="B98" s="39" t="s">
        <v>49</v>
      </c>
      <c r="C98" s="27" t="s">
        <v>39</v>
      </c>
      <c r="D98" s="58">
        <f>E98</f>
        <v>9.376999999999999</v>
      </c>
      <c r="E98" s="58">
        <f>7.497+1.88</f>
        <v>9.376999999999999</v>
      </c>
      <c r="F98" s="27"/>
      <c r="G98" s="27"/>
      <c r="H98" s="3"/>
    </row>
    <row r="99" spans="1:8" s="4" customFormat="1" ht="39.75" customHeight="1">
      <c r="A99" s="90"/>
      <c r="B99" s="39" t="str">
        <f>'додаток 1'!B88</f>
        <v>звалювання аварійних та сухостійних дерев на прибудинкових територіях</v>
      </c>
      <c r="C99" s="27" t="s">
        <v>26</v>
      </c>
      <c r="D99" s="27">
        <f>E99+F99+G99</f>
        <v>101</v>
      </c>
      <c r="E99" s="27">
        <v>101</v>
      </c>
      <c r="F99" s="27"/>
      <c r="G99" s="27"/>
      <c r="H99" s="3"/>
    </row>
    <row r="100" spans="1:8" s="4" customFormat="1" ht="12.75">
      <c r="A100" s="93" t="s">
        <v>90</v>
      </c>
      <c r="B100" s="94"/>
      <c r="C100" s="94"/>
      <c r="D100" s="94"/>
      <c r="E100" s="94"/>
      <c r="F100" s="94"/>
      <c r="G100" s="94"/>
      <c r="H100" s="95"/>
    </row>
    <row r="101" spans="1:8" s="4" customFormat="1" ht="12.75">
      <c r="A101" s="88" t="s">
        <v>91</v>
      </c>
      <c r="B101" s="39"/>
      <c r="C101" s="6"/>
      <c r="D101" s="6"/>
      <c r="E101" s="5"/>
      <c r="F101" s="5"/>
      <c r="G101" s="5"/>
      <c r="H101" s="5">
        <f>H102</f>
        <v>0</v>
      </c>
    </row>
    <row r="102" spans="1:8" s="4" customFormat="1" ht="38.25">
      <c r="A102" s="90"/>
      <c r="B102" s="39" t="s">
        <v>92</v>
      </c>
      <c r="C102" s="27" t="s">
        <v>26</v>
      </c>
      <c r="D102" s="28">
        <f>E102+F102+G102</f>
        <v>450</v>
      </c>
      <c r="E102" s="59">
        <f>228+222</f>
        <v>450</v>
      </c>
      <c r="F102" s="27">
        <v>0</v>
      </c>
      <c r="G102" s="27">
        <v>0</v>
      </c>
      <c r="H102" s="7"/>
    </row>
    <row r="103" spans="1:8" s="4" customFormat="1" ht="12.75">
      <c r="A103" s="100" t="s">
        <v>34</v>
      </c>
      <c r="B103" s="122"/>
      <c r="C103" s="122"/>
      <c r="D103" s="122"/>
      <c r="E103" s="122"/>
      <c r="F103" s="122"/>
      <c r="G103" s="122"/>
      <c r="H103" s="122"/>
    </row>
    <row r="104" spans="1:8" s="4" customFormat="1" ht="12.75">
      <c r="A104" s="104" t="s">
        <v>144</v>
      </c>
      <c r="B104" s="104"/>
      <c r="C104" s="104"/>
      <c r="D104" s="104"/>
      <c r="E104" s="104"/>
      <c r="F104" s="104"/>
      <c r="G104" s="104"/>
      <c r="H104" s="3"/>
    </row>
    <row r="105" spans="1:8" s="4" customFormat="1" ht="12.75" customHeight="1">
      <c r="A105" s="88" t="s">
        <v>36</v>
      </c>
      <c r="B105" s="27"/>
      <c r="C105" s="27"/>
      <c r="D105" s="27"/>
      <c r="E105" s="27"/>
      <c r="F105" s="27"/>
      <c r="G105" s="27"/>
      <c r="H105" s="3"/>
    </row>
    <row r="106" spans="1:8" s="4" customFormat="1" ht="38.25">
      <c r="A106" s="89"/>
      <c r="B106" s="6" t="s">
        <v>44</v>
      </c>
      <c r="C106" s="27" t="s">
        <v>48</v>
      </c>
      <c r="D106" s="28">
        <f>E106+F106+G106</f>
        <v>111</v>
      </c>
      <c r="E106" s="27">
        <f>45-10+3-4+3-2-1-1</f>
        <v>33</v>
      </c>
      <c r="F106" s="27">
        <f>37+2</f>
        <v>39</v>
      </c>
      <c r="G106" s="27">
        <f>F106</f>
        <v>39</v>
      </c>
      <c r="H106" s="3"/>
    </row>
    <row r="107" spans="1:8" s="4" customFormat="1" ht="38.25">
      <c r="A107" s="90"/>
      <c r="B107" s="6" t="s">
        <v>128</v>
      </c>
      <c r="C107" s="27" t="s">
        <v>40</v>
      </c>
      <c r="D107" s="28">
        <f>E107+F107+G107</f>
        <v>3</v>
      </c>
      <c r="E107" s="27">
        <v>3</v>
      </c>
      <c r="F107" s="27"/>
      <c r="G107" s="27"/>
      <c r="H107" s="3"/>
    </row>
    <row r="108" spans="1:8" s="4" customFormat="1" ht="12.75">
      <c r="A108" s="104" t="s">
        <v>111</v>
      </c>
      <c r="B108" s="104"/>
      <c r="C108" s="104"/>
      <c r="D108" s="104"/>
      <c r="E108" s="104"/>
      <c r="F108" s="104"/>
      <c r="G108" s="104"/>
      <c r="H108" s="3"/>
    </row>
    <row r="109" spans="1:8" s="4" customFormat="1" ht="12.75" customHeight="1">
      <c r="A109" s="88" t="s">
        <v>36</v>
      </c>
      <c r="B109" s="27"/>
      <c r="C109" s="27"/>
      <c r="D109" s="27"/>
      <c r="E109" s="27"/>
      <c r="F109" s="27"/>
      <c r="G109" s="27"/>
      <c r="H109" s="3"/>
    </row>
    <row r="110" spans="1:8" s="4" customFormat="1" ht="25.5">
      <c r="A110" s="89"/>
      <c r="B110" s="34" t="s">
        <v>93</v>
      </c>
      <c r="C110" s="27" t="s">
        <v>48</v>
      </c>
      <c r="D110" s="27">
        <f>E110+F110+G110</f>
        <v>2</v>
      </c>
      <c r="E110" s="27">
        <f>4-3</f>
        <v>1</v>
      </c>
      <c r="F110" s="27">
        <v>1</v>
      </c>
      <c r="G110" s="27"/>
      <c r="H110" s="3"/>
    </row>
    <row r="111" spans="1:8" s="4" customFormat="1" ht="25.5">
      <c r="A111" s="89"/>
      <c r="B111" s="6" t="s">
        <v>96</v>
      </c>
      <c r="C111" s="27" t="s">
        <v>48</v>
      </c>
      <c r="D111" s="27">
        <f>E111+F111+G111</f>
        <v>2</v>
      </c>
      <c r="E111" s="27">
        <v>1</v>
      </c>
      <c r="F111" s="27">
        <v>1</v>
      </c>
      <c r="G111" s="27"/>
      <c r="H111" s="3"/>
    </row>
    <row r="112" spans="1:8" s="4" customFormat="1" ht="12.75">
      <c r="A112" s="93" t="str">
        <f>'додаток 1'!A101:H101</f>
        <v>Будівництво та придбання житла для окремих категорій населення</v>
      </c>
      <c r="B112" s="94"/>
      <c r="C112" s="94"/>
      <c r="D112" s="94"/>
      <c r="E112" s="94"/>
      <c r="F112" s="94"/>
      <c r="G112" s="94"/>
      <c r="H112" s="95"/>
    </row>
    <row r="113" spans="1:8" s="4" customFormat="1" ht="12.75">
      <c r="A113" s="119" t="s">
        <v>144</v>
      </c>
      <c r="B113" s="120"/>
      <c r="C113" s="120"/>
      <c r="D113" s="120"/>
      <c r="E113" s="120"/>
      <c r="F113" s="120"/>
      <c r="G113" s="121"/>
      <c r="H113" s="3"/>
    </row>
    <row r="114" spans="1:8" s="4" customFormat="1" ht="17.25" customHeight="1">
      <c r="A114" s="88" t="s">
        <v>121</v>
      </c>
      <c r="B114" s="6"/>
      <c r="C114" s="27"/>
      <c r="D114" s="28"/>
      <c r="E114" s="27"/>
      <c r="F114" s="27"/>
      <c r="G114" s="27"/>
      <c r="H114" s="3"/>
    </row>
    <row r="115" spans="1:8" s="4" customFormat="1" ht="29.25" customHeight="1">
      <c r="A115" s="89"/>
      <c r="B115" s="6" t="s">
        <v>130</v>
      </c>
      <c r="C115" s="27" t="s">
        <v>26</v>
      </c>
      <c r="D115" s="28">
        <f>E115+F115+G115</f>
        <v>2</v>
      </c>
      <c r="E115" s="28">
        <v>2</v>
      </c>
      <c r="F115" s="27"/>
      <c r="G115" s="27"/>
      <c r="H115" s="3"/>
    </row>
    <row r="116" spans="1:8" s="1" customFormat="1" ht="12.75">
      <c r="A116" s="118" t="s">
        <v>97</v>
      </c>
      <c r="B116" s="118"/>
      <c r="C116" s="118"/>
      <c r="D116" s="118"/>
      <c r="E116" s="118"/>
      <c r="F116" s="118"/>
      <c r="G116" s="118"/>
      <c r="H116" s="6"/>
    </row>
    <row r="117" spans="1:8" s="1" customFormat="1" ht="12.75">
      <c r="A117" s="105" t="s">
        <v>144</v>
      </c>
      <c r="B117" s="105"/>
      <c r="C117" s="105"/>
      <c r="D117" s="105"/>
      <c r="E117" s="105"/>
      <c r="F117" s="105"/>
      <c r="G117" s="105"/>
      <c r="H117" s="6"/>
    </row>
    <row r="118" spans="1:8" s="1" customFormat="1" ht="12.75" customHeight="1">
      <c r="A118" s="88" t="s">
        <v>141</v>
      </c>
      <c r="B118" s="31"/>
      <c r="C118" s="3"/>
      <c r="D118" s="24"/>
      <c r="E118" s="24"/>
      <c r="F118" s="24"/>
      <c r="G118" s="24"/>
      <c r="H118" s="6"/>
    </row>
    <row r="119" spans="1:8" s="1" customFormat="1" ht="67.5" customHeight="1">
      <c r="A119" s="90"/>
      <c r="B119" s="41" t="s">
        <v>140</v>
      </c>
      <c r="C119" s="51" t="s">
        <v>40</v>
      </c>
      <c r="D119" s="69">
        <f>E119+F119+G119</f>
        <v>6</v>
      </c>
      <c r="E119" s="69">
        <f>4+2</f>
        <v>6</v>
      </c>
      <c r="F119" s="69"/>
      <c r="G119" s="69"/>
      <c r="H119" s="6"/>
    </row>
    <row r="120" spans="1:8" s="1" customFormat="1" ht="12.75" hidden="1">
      <c r="A120" s="93" t="s">
        <v>115</v>
      </c>
      <c r="B120" s="94"/>
      <c r="C120" s="94"/>
      <c r="D120" s="94"/>
      <c r="E120" s="94"/>
      <c r="F120" s="94"/>
      <c r="G120" s="94"/>
      <c r="H120" s="95"/>
    </row>
    <row r="121" spans="1:8" s="1" customFormat="1" ht="12.75" hidden="1">
      <c r="A121" s="105" t="s">
        <v>104</v>
      </c>
      <c r="B121" s="105"/>
      <c r="C121" s="105"/>
      <c r="D121" s="105"/>
      <c r="E121" s="105"/>
      <c r="F121" s="105"/>
      <c r="G121" s="105"/>
      <c r="H121" s="6"/>
    </row>
    <row r="122" spans="1:8" s="1" customFormat="1" ht="12.75" customHeight="1" hidden="1">
      <c r="A122" s="88" t="s">
        <v>116</v>
      </c>
      <c r="B122" s="31"/>
      <c r="C122" s="3"/>
      <c r="D122" s="24"/>
      <c r="E122" s="24"/>
      <c r="F122" s="24"/>
      <c r="G122" s="24"/>
      <c r="H122" s="6"/>
    </row>
    <row r="123" spans="1:8" s="1" customFormat="1" ht="54.75" customHeight="1" hidden="1">
      <c r="A123" s="90"/>
      <c r="B123" s="6" t="s">
        <v>117</v>
      </c>
      <c r="C123" s="3" t="s">
        <v>26</v>
      </c>
      <c r="D123" s="69">
        <f>E123+F123+G123</f>
        <v>0</v>
      </c>
      <c r="E123" s="69"/>
      <c r="F123" s="3"/>
      <c r="G123" s="3"/>
      <c r="H123" s="6"/>
    </row>
    <row r="124" spans="1:8" ht="12.75">
      <c r="A124" s="118" t="s">
        <v>115</v>
      </c>
      <c r="B124" s="118"/>
      <c r="C124" s="118"/>
      <c r="D124" s="118"/>
      <c r="E124" s="118"/>
      <c r="F124" s="118"/>
      <c r="G124" s="118"/>
      <c r="H124" s="25"/>
    </row>
    <row r="125" spans="1:8" ht="12.75">
      <c r="A125" s="105" t="s">
        <v>144</v>
      </c>
      <c r="B125" s="105"/>
      <c r="C125" s="105"/>
      <c r="D125" s="105"/>
      <c r="E125" s="105"/>
      <c r="F125" s="105"/>
      <c r="G125" s="105"/>
      <c r="H125" s="25"/>
    </row>
    <row r="126" spans="1:8" ht="38.25">
      <c r="A126" s="117" t="s">
        <v>99</v>
      </c>
      <c r="B126" s="6" t="s">
        <v>100</v>
      </c>
      <c r="C126" s="65" t="s">
        <v>26</v>
      </c>
      <c r="D126" s="65">
        <f>E126+F126+G126</f>
        <v>9</v>
      </c>
      <c r="E126" s="70">
        <f>14-5</f>
        <v>9</v>
      </c>
      <c r="F126" s="70"/>
      <c r="G126" s="70"/>
      <c r="H126" s="25"/>
    </row>
    <row r="127" spans="1:8" s="1" customFormat="1" ht="53.25" customHeight="1">
      <c r="A127" s="117"/>
      <c r="B127" s="24" t="s">
        <v>149</v>
      </c>
      <c r="C127" s="65" t="s">
        <v>150</v>
      </c>
      <c r="D127" s="70">
        <f>E127+F127+G127</f>
        <v>210</v>
      </c>
      <c r="E127" s="70">
        <v>210</v>
      </c>
      <c r="F127" s="83"/>
      <c r="G127" s="7"/>
      <c r="H127" s="7"/>
    </row>
    <row r="128" spans="1:8" s="1" customFormat="1" ht="38.25">
      <c r="A128" s="117"/>
      <c r="B128" s="82" t="s">
        <v>151</v>
      </c>
      <c r="C128" s="27" t="s">
        <v>123</v>
      </c>
      <c r="D128" s="62">
        <v>1</v>
      </c>
      <c r="E128" s="63">
        <v>1</v>
      </c>
      <c r="F128" s="83"/>
      <c r="G128" s="7"/>
      <c r="H128" s="7"/>
    </row>
    <row r="129" spans="1:8" s="1" customFormat="1" ht="12.75">
      <c r="A129" s="71"/>
      <c r="B129" s="26"/>
      <c r="C129" s="72"/>
      <c r="D129" s="73"/>
      <c r="E129" s="84"/>
      <c r="F129" s="86"/>
      <c r="G129" s="85"/>
      <c r="H129" s="85"/>
    </row>
    <row r="130" spans="1:7" s="22" customFormat="1" ht="18.75" customHeight="1">
      <c r="A130" s="22" t="s">
        <v>38</v>
      </c>
      <c r="C130" s="57"/>
      <c r="F130" s="111" t="s">
        <v>47</v>
      </c>
      <c r="G130" s="111"/>
    </row>
    <row r="131" spans="1:7" s="4" customFormat="1" ht="25.5" customHeight="1">
      <c r="A131" s="56"/>
      <c r="B131" s="23"/>
      <c r="D131" s="23"/>
      <c r="E131" s="23"/>
      <c r="F131" s="23"/>
      <c r="G131" s="23"/>
    </row>
    <row r="132" spans="1:7" s="4" customFormat="1" ht="17.25" customHeight="1">
      <c r="A132" s="56"/>
      <c r="B132" s="23"/>
      <c r="D132" s="23"/>
      <c r="E132" s="23"/>
      <c r="F132" s="23"/>
      <c r="G132" s="23"/>
    </row>
    <row r="133" spans="1:7" s="4" customFormat="1" ht="12.75">
      <c r="A133" s="56"/>
      <c r="B133" s="23"/>
      <c r="D133" s="23"/>
      <c r="E133" s="23"/>
      <c r="F133" s="23"/>
      <c r="G133" s="23"/>
    </row>
  </sheetData>
  <sheetProtection/>
  <mergeCells count="66">
    <mergeCell ref="A45:H45"/>
    <mergeCell ref="F130:G130"/>
    <mergeCell ref="E5:F5"/>
    <mergeCell ref="E6:F6"/>
    <mergeCell ref="E7:F7"/>
    <mergeCell ref="E9:G9"/>
    <mergeCell ref="E10:G10"/>
    <mergeCell ref="A13:G13"/>
    <mergeCell ref="A12:G12"/>
    <mergeCell ref="A15:A17"/>
    <mergeCell ref="B15:B17"/>
    <mergeCell ref="C15:C17"/>
    <mergeCell ref="D15:G15"/>
    <mergeCell ref="D16:D17"/>
    <mergeCell ref="E16:G16"/>
    <mergeCell ref="A19:H19"/>
    <mergeCell ref="A20:G20"/>
    <mergeCell ref="B21:B22"/>
    <mergeCell ref="B29:B30"/>
    <mergeCell ref="C29:C30"/>
    <mergeCell ref="D29:D30"/>
    <mergeCell ref="E29:E30"/>
    <mergeCell ref="F29:F30"/>
    <mergeCell ref="G29:G30"/>
    <mergeCell ref="A21:A44"/>
    <mergeCell ref="A46:G46"/>
    <mergeCell ref="B47:B48"/>
    <mergeCell ref="C47:C48"/>
    <mergeCell ref="D47:D48"/>
    <mergeCell ref="E47:E48"/>
    <mergeCell ref="F47:F48"/>
    <mergeCell ref="G47:G48"/>
    <mergeCell ref="A47:A69"/>
    <mergeCell ref="A70:G70"/>
    <mergeCell ref="A74:G74"/>
    <mergeCell ref="A78:G78"/>
    <mergeCell ref="A79:A82"/>
    <mergeCell ref="A71:A73"/>
    <mergeCell ref="A75:A77"/>
    <mergeCell ref="A83:G83"/>
    <mergeCell ref="A88:G88"/>
    <mergeCell ref="A92:G92"/>
    <mergeCell ref="A93:A95"/>
    <mergeCell ref="A97:A99"/>
    <mergeCell ref="A89:A91"/>
    <mergeCell ref="A84:A87"/>
    <mergeCell ref="A116:G116"/>
    <mergeCell ref="A117:G117"/>
    <mergeCell ref="A112:H112"/>
    <mergeCell ref="A113:G113"/>
    <mergeCell ref="A114:A115"/>
    <mergeCell ref="A96:G96"/>
    <mergeCell ref="A100:H100"/>
    <mergeCell ref="A101:A102"/>
    <mergeCell ref="A103:H103"/>
    <mergeCell ref="A104:G104"/>
    <mergeCell ref="A126:A128"/>
    <mergeCell ref="A105:A107"/>
    <mergeCell ref="A118:A119"/>
    <mergeCell ref="A121:G121"/>
    <mergeCell ref="A122:A123"/>
    <mergeCell ref="A124:G124"/>
    <mergeCell ref="A125:G125"/>
    <mergeCell ref="A120:H120"/>
    <mergeCell ref="A108:G108"/>
    <mergeCell ref="A109:A111"/>
  </mergeCells>
  <printOptions/>
  <pageMargins left="1.1811023622047245" right="0.3937007874015748" top="1.1811023622047245" bottom="0.5905511811023623" header="0.7874015748031497" footer="0"/>
  <pageSetup fitToHeight="25" horizontalDpi="600" verticalDpi="600" orientation="landscape" paperSize="9" scale="95" r:id="rId1"/>
  <headerFooter differentFirst="1" alignWithMargins="0">
    <oddHeader>&amp;C&amp;P</oddHeader>
  </headerFooter>
  <rowBreaks count="1" manualBreakCount="1">
    <brk id="1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2016-11-28T15:04:25Z</cp:lastPrinted>
  <dcterms:created xsi:type="dcterms:W3CDTF">1996-10-08T23:32:33Z</dcterms:created>
  <dcterms:modified xsi:type="dcterms:W3CDTF">2016-12-07T11:47:30Z</dcterms:modified>
  <cp:category/>
  <cp:version/>
  <cp:contentType/>
  <cp:contentStatus/>
</cp:coreProperties>
</file>