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5" activeTab="0"/>
  </bookViews>
  <sheets>
    <sheet name="додаток 7" sheetId="1" r:id="rId1"/>
    <sheet name="власні надходж" sheetId="2" state="hidden" r:id="rId2"/>
    <sheet name="в т.ч.погашення" sheetId="3" state="hidden" r:id="rId3"/>
  </sheets>
  <definedNames>
    <definedName name="_xlnm._FilterDatabase" localSheetId="0" hidden="1">'додаток 7'!$A$10:$P$534</definedName>
    <definedName name="_xlnm.Print_Area" localSheetId="2">'в т.ч.погашення'!$A$1:$G$319</definedName>
    <definedName name="_xlnm.Print_Area" localSheetId="1">'власні надходж'!$A$1:$H$329</definedName>
    <definedName name="_xlnm.Print_Area" localSheetId="0">'додаток 7'!$A$1:$I$536</definedName>
  </definedNames>
  <calcPr fullCalcOnLoad="1"/>
</workbook>
</file>

<file path=xl/sharedStrings.xml><?xml version="1.0" encoding="utf-8"?>
<sst xmlns="http://schemas.openxmlformats.org/spreadsheetml/2006/main" count="4011" uniqueCount="1253">
  <si>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</si>
  <si>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</si>
  <si>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</si>
  <si>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</si>
  <si>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</si>
  <si>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</si>
  <si>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</si>
  <si>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</si>
  <si>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</si>
  <si>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</si>
  <si>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</si>
  <si>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</si>
  <si>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</si>
  <si>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</si>
  <si>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</si>
  <si>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</si>
  <si>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№30 (зі змінами)</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</si>
  <si>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</si>
  <si>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</si>
  <si>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</si>
  <si>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</si>
  <si>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</si>
  <si>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</si>
  <si>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</si>
  <si>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</si>
  <si>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</si>
  <si>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</si>
  <si>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</si>
  <si>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</si>
  <si>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</si>
  <si>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</si>
  <si>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</si>
  <si>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</si>
  <si>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</si>
  <si>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</si>
  <si>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</si>
  <si>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</si>
  <si>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</si>
  <si>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</si>
  <si>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</si>
  <si>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</si>
  <si>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</si>
  <si>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</si>
  <si>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</si>
  <si>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</si>
  <si>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</si>
  <si>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</si>
  <si>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</si>
  <si>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</si>
  <si>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</si>
  <si>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</si>
  <si>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</si>
  <si>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</si>
  <si>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</si>
  <si>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</si>
  <si>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</si>
  <si>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</si>
  <si>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</si>
  <si>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</si>
  <si>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</si>
  <si>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</si>
  <si>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</si>
  <si>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</si>
  <si>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</si>
  <si>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</si>
  <si>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</si>
  <si>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</si>
  <si>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</si>
  <si>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</si>
  <si>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</si>
  <si>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</si>
  <si>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</si>
  <si>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</si>
  <si>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</si>
  <si>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</si>
  <si>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</si>
  <si>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</si>
  <si>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</si>
  <si>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</si>
  <si>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</si>
  <si>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</si>
  <si>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</si>
  <si>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</si>
  <si>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</si>
  <si>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</si>
  <si>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</si>
  <si>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</si>
  <si>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</si>
  <si>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</si>
  <si>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</si>
  <si>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</si>
  <si>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</si>
  <si>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</si>
  <si>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</si>
  <si>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</si>
  <si>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</si>
  <si>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</si>
  <si>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</si>
  <si>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</si>
  <si>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</si>
  <si>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</si>
  <si>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</si>
  <si>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</si>
  <si>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</si>
  <si>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</si>
  <si>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</si>
  <si>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</si>
  <si>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</si>
  <si>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</si>
  <si>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</si>
  <si>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</si>
  <si>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</si>
  <si>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</si>
  <si>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</si>
  <si>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</si>
  <si>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</si>
  <si>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</si>
  <si>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</si>
  <si>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</si>
  <si>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</si>
  <si>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</si>
  <si>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</si>
  <si>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</si>
  <si>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</si>
  <si>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</si>
  <si>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</si>
  <si>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070806</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</si>
  <si>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</si>
  <si>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</si>
  <si>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</si>
  <si>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</si>
  <si>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</si>
  <si>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</si>
  <si>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</si>
  <si>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</si>
  <si>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</si>
  <si>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</si>
  <si>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</si>
  <si>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</si>
  <si>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</si>
  <si>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</si>
  <si>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</si>
  <si>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</si>
  <si>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</si>
  <si>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</si>
  <si>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</si>
  <si>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</si>
  <si>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</si>
  <si>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</si>
  <si>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</si>
  <si>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</si>
  <si>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</si>
  <si>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</si>
  <si>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</si>
  <si>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</si>
  <si>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</si>
  <si>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</si>
  <si>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</si>
  <si>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</si>
  <si>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</si>
  <si>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</si>
  <si>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</si>
  <si>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</si>
  <si>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</si>
  <si>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</si>
  <si>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</si>
  <si>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</si>
  <si>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</si>
  <si>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</si>
  <si>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</si>
  <si>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</si>
  <si>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</si>
  <si>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</si>
  <si>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</si>
  <si>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</si>
  <si>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</si>
  <si>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</si>
  <si>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</si>
  <si>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</si>
  <si>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</si>
  <si>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</si>
  <si>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</si>
  <si>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</si>
  <si>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</si>
  <si>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</si>
  <si>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</si>
  <si>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</si>
  <si>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</si>
  <si>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</si>
  <si>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</si>
  <si>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</si>
  <si>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</si>
  <si>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</si>
  <si>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</si>
  <si>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</si>
  <si>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</si>
  <si>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</si>
  <si>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</si>
  <si>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</si>
  <si>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</si>
  <si>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</si>
  <si>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</si>
  <si>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</si>
  <si>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</si>
  <si>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</si>
  <si>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</si>
  <si>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180410</t>
  </si>
  <si>
    <t>Інші заходи, пов'язані з економічною діяльністю</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</si>
  <si>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</si>
  <si>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</si>
  <si>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</si>
  <si>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</si>
  <si>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</si>
  <si>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</si>
  <si>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</si>
  <si>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</si>
  <si>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</si>
  <si>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</si>
  <si>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</si>
  <si>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</si>
  <si>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</si>
  <si>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</si>
  <si>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</si>
  <si>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</si>
  <si>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</si>
  <si>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</si>
  <si>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</si>
  <si>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</si>
  <si>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</si>
  <si>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</si>
  <si>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</si>
  <si>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</si>
  <si>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</si>
  <si>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</si>
  <si>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</si>
  <si>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</si>
  <si>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</si>
  <si>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</si>
  <si>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</si>
  <si>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</si>
  <si>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</si>
  <si>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</si>
  <si>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</si>
  <si>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</si>
  <si>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</si>
  <si>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</si>
  <si>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</si>
  <si>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</si>
  <si>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</si>
  <si>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</si>
  <si>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</si>
  <si>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</si>
  <si>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</si>
  <si>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</si>
  <si>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</si>
  <si>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</si>
  <si>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</si>
  <si>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</si>
  <si>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</si>
  <si>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</si>
  <si>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</si>
  <si>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</si>
  <si>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</si>
  <si>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</si>
  <si>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</si>
  <si>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РАЗОМ</t>
  </si>
  <si>
    <t>власні надходження бюджетних установ</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</si>
  <si>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</si>
  <si>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</si>
  <si>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</si>
  <si>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</si>
  <si>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</si>
  <si>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</si>
  <si>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</si>
  <si>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</si>
  <si>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</si>
  <si>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</si>
  <si>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</si>
  <si>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</si>
  <si>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</si>
  <si>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</si>
  <si>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</si>
  <si>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</si>
  <si>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</si>
  <si>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</si>
  <si>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</si>
  <si>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</si>
  <si>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</si>
  <si>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</si>
  <si>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</si>
  <si>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</si>
  <si>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</si>
  <si>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</si>
  <si>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</si>
  <si>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</si>
  <si>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</si>
  <si>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</si>
  <si>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</si>
  <si>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</si>
  <si>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</si>
  <si>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</si>
  <si>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</si>
  <si>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</si>
  <si>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</si>
  <si>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</si>
  <si>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</si>
  <si>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</si>
  <si>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</si>
  <si>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</si>
  <si>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</si>
  <si>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</si>
  <si>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</si>
  <si>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</si>
  <si>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</si>
  <si>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</si>
  <si>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</si>
  <si>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</si>
  <si>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</si>
  <si>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</si>
  <si>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</si>
  <si>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</si>
  <si>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</si>
  <si>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</si>
  <si>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</si>
  <si>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</si>
  <si>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</si>
  <si>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</si>
  <si>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</si>
  <si>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</si>
  <si>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</si>
  <si>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</si>
  <si>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</si>
  <si>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</si>
  <si>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</si>
  <si>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</si>
  <si>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</si>
  <si>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</si>
  <si>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</si>
  <si>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</si>
  <si>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</si>
  <si>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</si>
  <si>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</si>
  <si>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</si>
  <si>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</si>
  <si>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</si>
  <si>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</si>
  <si>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</si>
  <si>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</si>
  <si>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</si>
  <si>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</si>
  <si>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</si>
  <si>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</si>
  <si>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</si>
  <si>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</si>
  <si>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</si>
  <si>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</si>
  <si>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</si>
  <si>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</si>
  <si>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</si>
  <si>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</si>
  <si>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</si>
  <si>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</si>
  <si>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</si>
  <si>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</si>
  <si>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</si>
  <si>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</si>
  <si>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</si>
  <si>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</si>
  <si>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</si>
  <si>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</si>
  <si>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</si>
  <si>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</si>
  <si>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</si>
  <si>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</si>
  <si>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</si>
  <si>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</si>
  <si>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</si>
  <si>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</si>
  <si>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</si>
  <si>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</si>
  <si>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</si>
  <si>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</si>
  <si>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</si>
  <si>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</si>
  <si>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</si>
  <si>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</si>
  <si>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</si>
  <si>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</si>
  <si>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</si>
  <si>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</si>
  <si>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</si>
  <si>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</si>
  <si>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</si>
  <si>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</si>
  <si>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</si>
  <si>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</si>
  <si>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</si>
  <si>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</si>
  <si>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</si>
  <si>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</si>
  <si>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</si>
  <si>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</si>
  <si>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</si>
  <si>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</si>
  <si>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</si>
  <si>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</si>
  <si>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</si>
  <si>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</si>
  <si>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</si>
  <si>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</si>
  <si>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</si>
  <si>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</si>
  <si>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</si>
  <si>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</si>
  <si>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</si>
  <si>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</si>
  <si>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</si>
  <si>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</si>
  <si>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</si>
  <si>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</si>
  <si>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</si>
  <si>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</si>
  <si>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</si>
  <si>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</si>
  <si>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</si>
  <si>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</si>
  <si>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</si>
  <si>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</si>
  <si>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</si>
  <si>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</si>
  <si>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</si>
  <si>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</si>
  <si>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</si>
  <si>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</si>
  <si>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Разом</t>
  </si>
  <si>
    <t>Програма використання коштів депутатського фонду у 2015 році, затверджена рішенням міської ради від  15.01.2015 № 5</t>
  </si>
  <si>
    <t>0111</t>
  </si>
  <si>
    <t>0830</t>
  </si>
  <si>
    <t>0490</t>
  </si>
  <si>
    <t>0133</t>
  </si>
  <si>
    <t>0910</t>
  </si>
  <si>
    <t>0921</t>
  </si>
  <si>
    <t>0960</t>
  </si>
  <si>
    <t>0990</t>
  </si>
  <si>
    <t>1040</t>
  </si>
  <si>
    <t>0810</t>
  </si>
  <si>
    <t>0411</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</si>
  <si>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</si>
  <si>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</si>
  <si>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</si>
  <si>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</si>
  <si>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</si>
  <si>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</si>
  <si>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</si>
  <si>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</si>
  <si>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</si>
  <si>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</si>
  <si>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</si>
  <si>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</si>
  <si>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</si>
  <si>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</si>
  <si>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</si>
  <si>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</si>
  <si>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</si>
  <si>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</si>
  <si>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</si>
  <si>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</si>
  <si>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</si>
  <si>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</si>
  <si>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</si>
  <si>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</si>
  <si>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0180</t>
  </si>
  <si>
    <t>150110</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</si>
  <si>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</si>
  <si>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</si>
  <si>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</si>
  <si>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150112</t>
  </si>
  <si>
    <t>Проведення невідкладних відновлювальних робіт, будівництво та реконструкція позашкільних навчальних закладів</t>
  </si>
  <si>
    <t>Р.О.Пидорич</t>
  </si>
  <si>
    <t>10116 с.ф.</t>
  </si>
  <si>
    <t>090203</t>
  </si>
  <si>
    <t>090209</t>
  </si>
  <si>
    <t>090214</t>
  </si>
  <si>
    <t>170302</t>
  </si>
  <si>
    <t>Компенсаційні виплати за пільговий проїзд окремих категорій громадян на залізничному транспорті</t>
  </si>
  <si>
    <t>070501</t>
  </si>
  <si>
    <t>0930</t>
  </si>
  <si>
    <t>Міська цільова програма забезпечення членства Запорізької міської ради в Асоціаціях, затверджена рішенням міської ради від 25.12.2015  №  3</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</si>
  <si>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t>
  </si>
  <si>
    <t>Програма "Оздоровлення та відпочинок на 2016-2018 роки", затверджена рішенням міської ради від 25.12.2015  № 18</t>
  </si>
  <si>
    <t>Програма раціонального використання території та комплексного містобудівного розвитку міста Запоріжжя, затверджена рішенням міської ради від 31.01.2014 № 22 (зі змінами)</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</si>
  <si>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</si>
  <si>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</si>
  <si>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фінансової підтримки КП "Запорізької міської друкарні "Дніпровський металург", затверджена рішенням міської ради від 25.12.2015  № 7</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</si>
  <si>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 (зі змінами)</t>
  </si>
  <si>
    <t>090501</t>
  </si>
  <si>
    <t>1050</t>
  </si>
  <si>
    <t>Організація та проведення громадських робіт</t>
  </si>
  <si>
    <t>Міська програма "Підтримка комунальних закладів культури міста Запоріжжя у  2016-2018 роках", затверджена рішенням міської ради від 25.12.2015  № 17 (зі змінами)</t>
  </si>
  <si>
    <t>Програма "Освіта на 2016-2018 роки", затверджена рішенням міської ради від 25.12.2015  № 18 (зі змінами)</t>
  </si>
  <si>
    <t>Міська цільова програма "Сприяння органів місцевого самоврядування призову громадян та забезпечення проведення заходів з мобілізації у  м.Запоріжжі на 2016 рік", затверджена рішенням міської ради від 26.02.2016  № 17</t>
  </si>
  <si>
    <t>Програма професійно-технічна освіта на 2016-2018 роки, затверджена рішенням міської ради від 26.02.2016  № 16</t>
  </si>
  <si>
    <t>Програма підтримки муніципального рейтингу, затверджена рішенням міської ради від 26.02.2016  № 23</t>
  </si>
  <si>
    <t xml:space="preserve">Міська цільова програма" Заходи щодо оптимізації фінансово-господарської діяльності комунального підприємства "Преса", затверджена рішенням міської  ради від ______№ </t>
  </si>
  <si>
    <t>Районна адміністрація Запорізької міської ради по Дніпровському району</t>
  </si>
  <si>
    <t>Районна адміністрація Запорізької міської ради по Вознесенівському району</t>
  </si>
  <si>
    <t>Районна адміністрація Запорізької міської ради по Олександрівському району</t>
  </si>
  <si>
    <t>Цільова комплексна програма забезпечення молоді міста Запоріжжя житлом, затверджена рішенням міської ради від 25.12.2015 № 18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</si>
  <si>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</si>
  <si>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Міська цільова програма створення філій Центру надання адміністративних послуг у м. Запоріжжі, затверджена рішенням міської ради від 25.03.2015  № 27 (зі змінами)</t>
  </si>
  <si>
    <t>Програма розвитку та утримання житлово-комунального господарства м.Запоріжжя на 2016-2018 роки, затверджена рішенням міської ради від 25.12.2015  № 25 (зі змінами)</t>
  </si>
  <si>
    <t>Міська цільова програма запобігання і ліквідації надзвичайних ситуацій техногенного та природного характеру, організація рятування на водах на 2016-2018 роки, затверджена рішенням міської ради від 25.12.2015 № 10 (зі змінами)</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</si>
  <si>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2015-2019 роки, затверджена рішенням міської ради від 26.08.2015 № 56 (зі змінами)</t>
  </si>
  <si>
    <t>Міська комплексна програма соціального захисту населення міста Запоріжжя на 2016-2018 роки, затверджена рішенням міської ради від 25.12.2015  № 9 (зі змінами)</t>
  </si>
  <si>
    <t>Програма "Охорона здоров'я міста Запоріжжя на період 2016-2018 роки", затверджена рішенням міської ради від 25.12.2015 № 16 (зі змінами)</t>
  </si>
  <si>
    <t>грн.</t>
  </si>
  <si>
    <t>100208</t>
  </si>
  <si>
    <t>Впровадження засобів обліку витрат та регулювання споживання води та теплової енергії</t>
  </si>
  <si>
    <t>Департамент реєстраційних послуг Запорізької міської ради</t>
  </si>
  <si>
    <t>Виконавчий комітет Запорізької міської ради</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</si>
  <si>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</si>
  <si>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</si>
  <si>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</si>
  <si>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</si>
  <si>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</si>
  <si>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</si>
  <si>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</si>
  <si>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ріщенням міської ради від 30.03.2016  № 16</t>
  </si>
  <si>
    <t xml:space="preserve"> проведення капітального ремонту багатоквартирних житлових будинків житлово-будівельних кооперативів в м. Запоріжжя </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</si>
  <si>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25.12.2015 № 21 (зі змінами)</t>
  </si>
  <si>
    <t>Програма "Фізична культура та спорт на 2016-2018 роки", затверджена рішенням міської ради від 25.12.2015 № 18 (зі змінами)</t>
  </si>
  <si>
    <t>130113</t>
  </si>
  <si>
    <t>Департамент правового забезпечення Запорізької міської ради</t>
  </si>
  <si>
    <t>Департамент освіти і науки Запорізької міської ради</t>
  </si>
  <si>
    <t>11</t>
  </si>
  <si>
    <t xml:space="preserve"> Програма фінансування деяких заходів щодо сприяння  розвитку малого та середнього підприємництва у місті Запоріжжі на 2016 рік, затверджена рішенням міської ради від 27.04.2016 № 25 (зі змінами)</t>
  </si>
  <si>
    <t>Міська цільова програма "Фінансова підтримка комунального підприємства "Муніципальна телевізійна мережа" (Телеканал "МТМ")", затверджена рішенням міської ради від 25.12.2015 № 12 (зі змінами)</t>
  </si>
  <si>
    <t>Міська цільова програма "Проведення комплексного обстеження пасажиропотоків на маршрутах міського пасажирського транспорту загального користування в м. Запоріжжі", затверджена рішенням міської ради від 30.06.2016 № 40</t>
  </si>
  <si>
    <t>070303</t>
  </si>
  <si>
    <t>090802</t>
  </si>
  <si>
    <t>Міська цільова програма  "Запорізька Муніципальна Інтегрована Система Обробки Інформації", затверджена рішенням міської ради від 30.06.2016 № 45</t>
  </si>
  <si>
    <t>Міська цільова програма підтримки засобу масової інформації місцевого значення - КП "Редакція газети "Запорозька Січ" затверджена рішенням міської ради від 25.12.2015  № 4 (зі змінами)</t>
  </si>
  <si>
    <t xml:space="preserve">Програма "Фінансова прідтримка комунального науково-виробничого підприємства "Екоцентр" на 2016 рік, затверджена рішенням від              № </t>
  </si>
  <si>
    <t xml:space="preserve"> </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</si>
  <si>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Служби безпеки України і Служби з надзвичайних ситуацій України на 2016 рік, затверджена рішенням міської ради від 30.03.2016 № 11 (зі змінами)</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</si>
  <si>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26.02.2016 №   18 (зі змінами)</t>
  </si>
  <si>
    <t>Програма "Забезпечення дитячих будинків сімейного типу необхідними меблями, побутовою технікою та іншими предметами тривалого вжитку на 2016 -2018 роки", затверджена рішенням міської ради від   25.08.2016    № 33</t>
  </si>
  <si>
    <t>Міська програма "Програма соціального захисту дітей та розвитку сімейних форм виховання дітей-сиріт та дітей, позбавлених батьківського піклування, у м. Запоріжжі 2016-2018 роки", затверджена рішенням міської ради від  25.08.2016   № 32</t>
  </si>
  <si>
    <t xml:space="preserve">Програма соціального захисту населення міста Запоряжжя "З теплом до людей" на 2016-2017 роки, затверджена рішенням міської ради від   № </t>
  </si>
  <si>
    <t>Програма "Муніципальної аварійної служби та служби технічного обслуговування систем диспетчеризації ліфтів м. Запоріжжя", затверджена рішенням міської ради від   №</t>
  </si>
  <si>
    <t>Міська цільова програма розширення мережі філій Центру надання адміністративних послуг у м.Запоріжжі, затверджена рішенням міської ради від №</t>
  </si>
  <si>
    <t>Департамент з управління житлово-комунальним господарством Запорізької міської ради</t>
  </si>
  <si>
    <t>0310170</t>
  </si>
  <si>
    <t>0317210</t>
  </si>
  <si>
    <t>0317211</t>
  </si>
  <si>
    <t>0317470</t>
  </si>
  <si>
    <t>Перелік місцевих (регіональних) програм, які фінансуватимуться за рахунок коштів бюджету міста у 2017 році</t>
  </si>
  <si>
    <t>0310000</t>
  </si>
  <si>
    <t>0310100</t>
  </si>
  <si>
    <t>010000</t>
  </si>
  <si>
    <t>Державне управління</t>
  </si>
  <si>
    <t>0317200</t>
  </si>
  <si>
    <t>120000</t>
  </si>
  <si>
    <t>Засоби масової інформації</t>
  </si>
  <si>
    <t>Підтримка засобів масової інформації</t>
  </si>
  <si>
    <t>Сприяння діяльності телебачення і радіомовлення</t>
  </si>
  <si>
    <t>0317212</t>
  </si>
  <si>
    <t>Підтримка періодичних видань (газет та журналів)</t>
  </si>
  <si>
    <t>0317400</t>
  </si>
  <si>
    <t>180000</t>
  </si>
  <si>
    <t>Інші послуги, пов'язані з економічною діяльністю</t>
  </si>
  <si>
    <t>0316300</t>
  </si>
  <si>
    <t>150000</t>
  </si>
  <si>
    <t xml:space="preserve">Будівництво </t>
  </si>
  <si>
    <t>0316310</t>
  </si>
  <si>
    <t>Реалізація заходів щодо інвестиційного розвитку території</t>
  </si>
  <si>
    <t>0316322</t>
  </si>
  <si>
    <t>0319100</t>
  </si>
  <si>
    <t>240000</t>
  </si>
  <si>
    <t>Цільові фонди</t>
  </si>
  <si>
    <t>0319180</t>
  </si>
  <si>
    <t>0319181</t>
  </si>
  <si>
    <t>Цільовий фонд, утворений міською радою</t>
  </si>
  <si>
    <t>0318000</t>
  </si>
  <si>
    <t>250000</t>
  </si>
  <si>
    <t>Видатки, не віднесені до основних груп</t>
  </si>
  <si>
    <t>0318600</t>
  </si>
  <si>
    <t>Фінансова підтримка комунальних підприємств, організацій, органів самоорганізації населення</t>
  </si>
  <si>
    <t>Заходи з інвентаризації, оцінки та оформлення права власності об’єктів нерухомості, утримання та охорона об'єктів комунальної власності</t>
  </si>
  <si>
    <t>Підготовка та проведення масових заходів, забезпечення відеоконтролю у місцях масового перебування громадян</t>
  </si>
  <si>
    <t>1010000</t>
  </si>
  <si>
    <t>1010180</t>
  </si>
  <si>
    <t>1010100</t>
  </si>
  <si>
    <t>1011000</t>
  </si>
  <si>
    <t>070000</t>
  </si>
  <si>
    <t>Освіта</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</si>
  <si>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</si>
  <si>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</si>
  <si>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</si>
  <si>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</si>
  <si>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</si>
  <si>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1011090</t>
  </si>
  <si>
    <t>Надання позашкільної освіти позашкільними закладами освіти, заходи із позашкільної роботи з дітьми</t>
  </si>
  <si>
    <t>1011100</t>
  </si>
  <si>
    <t>Підготовка робітничих кадрів закладами професійно-технічної освіти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</si>
  <si>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</si>
  <si>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</si>
  <si>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</si>
  <si>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</si>
  <si>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</si>
  <si>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</si>
  <si>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</si>
  <si>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</si>
  <si>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</si>
  <si>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</si>
  <si>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1013000</t>
  </si>
  <si>
    <t>090000</t>
  </si>
  <si>
    <t>Соціальний захист та соціальне забезпечення</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</si>
  <si>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</si>
  <si>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</si>
  <si>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t>
  </si>
  <si>
    <t>1016300</t>
  </si>
  <si>
    <t>1016310</t>
  </si>
  <si>
    <t>1016330</t>
  </si>
  <si>
    <t>Проведення невідкладних відновлювальних робіт, будівництво та реконструкція загальноосвітніх навчальних закладів</t>
  </si>
  <si>
    <t>1016340</t>
  </si>
  <si>
    <t>150111</t>
  </si>
  <si>
    <t>0922</t>
  </si>
  <si>
    <t>Проведення невідкладних відновлювальних робіт, будівництво та реконструкція спеціалізованих навчальних закладів</t>
  </si>
  <si>
    <t>1016350</t>
  </si>
  <si>
    <t>1019100</t>
  </si>
  <si>
    <t>1019110</t>
  </si>
  <si>
    <t>1019180</t>
  </si>
  <si>
    <t>1019181</t>
  </si>
  <si>
    <t>1110000</t>
  </si>
  <si>
    <t>1110100</t>
  </si>
  <si>
    <t>1110180</t>
  </si>
  <si>
    <t>Керівництво і управління у сфері спорту, сім'ї та молоді</t>
  </si>
  <si>
    <t>1113000</t>
  </si>
  <si>
    <t>1113140</t>
  </si>
  <si>
    <t>Заходи державної політики з питань молоді</t>
  </si>
  <si>
    <t>1115000</t>
  </si>
  <si>
    <t>130000</t>
  </si>
  <si>
    <t>Фізична культура і спорт</t>
  </si>
  <si>
    <t>1115010</t>
  </si>
  <si>
    <t>Проведення спортивної роботи в регіоні</t>
  </si>
  <si>
    <t>1115011</t>
  </si>
  <si>
    <t>Проведення навчально-тренувальних зборів і змагань з олімпійських видів спорту</t>
  </si>
  <si>
    <t>1115012</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</si>
  <si>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</si>
  <si>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</si>
  <si>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1115050</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</si>
  <si>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</si>
  <si>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1116300</t>
  </si>
  <si>
    <t>1116310</t>
  </si>
  <si>
    <t>1118000</t>
  </si>
  <si>
    <t>1118108</t>
  </si>
  <si>
    <t>1118103</t>
  </si>
  <si>
    <t>1018100</t>
  </si>
  <si>
    <t>Надання та повернення пільгового довгострокового кредиту на будівництво (реконструкцію) та придбання житла</t>
  </si>
  <si>
    <t>1410000</t>
  </si>
  <si>
    <t>Департамент охорони здоров'я Запорізької міської ради</t>
  </si>
  <si>
    <t>1410100</t>
  </si>
  <si>
    <t>1410180</t>
  </si>
  <si>
    <t>Керівництво і управління у сфері охорони здоров'я</t>
  </si>
  <si>
    <t>1412000</t>
  </si>
  <si>
    <t>080000</t>
  </si>
  <si>
    <t>Охорона здоров'я</t>
  </si>
  <si>
    <t>1412010</t>
  </si>
  <si>
    <t>Багатопрофільна стаціонарна медична допомога населенню</t>
  </si>
  <si>
    <t>1412050</t>
  </si>
  <si>
    <t>Лкарсько-акушерська допомога вагітним, породіллям та новонародженим</t>
  </si>
  <si>
    <t>1412120</t>
  </si>
  <si>
    <t>Амбулаторно-поліклінічна допомога населенню</t>
  </si>
  <si>
    <t>1412140</t>
  </si>
  <si>
    <t>Надання стоматологічної допомоги населенню</t>
  </si>
  <si>
    <t>1412170</t>
  </si>
  <si>
    <t>080704</t>
  </si>
  <si>
    <t>0740</t>
  </si>
  <si>
    <t>Інформаційно-методичне та просвітницьке забезпечення в галузі охорони здоров'я</t>
  </si>
  <si>
    <t>1412180</t>
  </si>
  <si>
    <t>Первинна медична допомога населенню</t>
  </si>
  <si>
    <t>1412200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</si>
  <si>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</si>
  <si>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1412210</t>
  </si>
  <si>
    <t>Програми і централізовані заходи у галузі охорони здоров'я</t>
  </si>
  <si>
    <t>1412214</t>
  </si>
  <si>
    <t>1412220</t>
  </si>
  <si>
    <t>Інші заходи в галузі охорони здоров'я</t>
  </si>
  <si>
    <t>1412221</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</si>
  <si>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</si>
  <si>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1412222</t>
  </si>
  <si>
    <t>Медична статистика та інформаційна підтримка виконання програм по галузі охорони здоров'я міста</t>
  </si>
  <si>
    <t>1416300</t>
  </si>
  <si>
    <t>Будівництво</t>
  </si>
  <si>
    <t>1416310</t>
  </si>
  <si>
    <t>1510000</t>
  </si>
  <si>
    <t>1510100</t>
  </si>
  <si>
    <t>1510180</t>
  </si>
  <si>
    <t>Керівництво і управління у сфері соціального захисту населення</t>
  </si>
  <si>
    <t>1513000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</si>
  <si>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</si>
  <si>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</si>
  <si>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</si>
  <si>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</si>
  <si>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</si>
  <si>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</si>
  <si>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</si>
  <si>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Надання пільг окремим категоріям громадян з оплати послуг зв'язку</t>
  </si>
  <si>
    <t>1513035</t>
  </si>
  <si>
    <t>Компенсаційні виплати на пільговий проїзд автомобільним транспортом окремим категоріям громадян</t>
  </si>
  <si>
    <t>1513036</t>
  </si>
  <si>
    <t>Компенсаційні виплати за пільговий проїзд окремих категорій громадян на  водному транспорті</t>
  </si>
  <si>
    <t>1513037</t>
  </si>
  <si>
    <t>1513038</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</si>
  <si>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</si>
  <si>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</si>
  <si>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</si>
  <si>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</si>
  <si>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1513240</t>
  </si>
  <si>
    <t>1513130</t>
  </si>
  <si>
    <t>Здійснення соціальної роботи з вразливими категоріями населення</t>
  </si>
  <si>
    <t>1513131</t>
  </si>
  <si>
    <t>Центри соціальних служб для сім'ї, дітей та молоді</t>
  </si>
  <si>
    <t>1513132</t>
  </si>
  <si>
    <t>1513200</t>
  </si>
  <si>
    <t>Соціальний захист ветеранів війни і праці</t>
  </si>
  <si>
    <t>1513202</t>
  </si>
  <si>
    <t>Надання фінансової підтримки громадським організаціям інвалідів і ветеранів, діяльність яких має соціальну спрямованість</t>
  </si>
  <si>
    <t>1513400</t>
  </si>
  <si>
    <t xml:space="preserve">Міська комплексна програма соціального захисту та інші соціальні виплати населенню </t>
  </si>
  <si>
    <t>1516300</t>
  </si>
  <si>
    <t>1516310</t>
  </si>
  <si>
    <t>2010000</t>
  </si>
  <si>
    <t>2010100</t>
  </si>
  <si>
    <t>2010180</t>
  </si>
  <si>
    <t>Керівництво і управління у сфері справ дітей</t>
  </si>
  <si>
    <t>2013110</t>
  </si>
  <si>
    <t>Заклади і заходи з питань дітей та їх соціального захисту</t>
  </si>
  <si>
    <t>2013112</t>
  </si>
  <si>
    <t>1040 </t>
  </si>
  <si>
    <t>Заходи державної політики з питань дітей та їх соціального захисту</t>
  </si>
  <si>
    <t>2011060</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</si>
  <si>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</si>
  <si>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2310000</t>
  </si>
  <si>
    <t>2310100</t>
  </si>
  <si>
    <t>2310180</t>
  </si>
  <si>
    <t>Керівництво і управління у сфері правового забезпечення</t>
  </si>
  <si>
    <t>2410000</t>
  </si>
  <si>
    <t>2410100</t>
  </si>
  <si>
    <t>2410180</t>
  </si>
  <si>
    <t>2414000</t>
  </si>
  <si>
    <t>110000</t>
  </si>
  <si>
    <t>Культура і мистецтво</t>
  </si>
  <si>
    <t>2414020</t>
  </si>
  <si>
    <t>2414060</t>
  </si>
  <si>
    <t>2414090</t>
  </si>
  <si>
    <t>2414100</t>
  </si>
  <si>
    <t>2414110</t>
  </si>
  <si>
    <t>110300</t>
  </si>
  <si>
    <t>2414200</t>
  </si>
  <si>
    <t>110502</t>
  </si>
  <si>
    <t>2414205</t>
  </si>
  <si>
    <t>Оцінка вартості пам’яток історії та монументального мистецтва</t>
  </si>
  <si>
    <t>2416300</t>
  </si>
  <si>
    <t>2416310</t>
  </si>
  <si>
    <t>Заходи з розвитку туризму</t>
  </si>
  <si>
    <t>2417500</t>
  </si>
  <si>
    <t>2417501</t>
  </si>
  <si>
    <t>3210000</t>
  </si>
  <si>
    <t>3210100</t>
  </si>
  <si>
    <t>3210180</t>
  </si>
  <si>
    <t>Керівництво і управління у сфері підтримки підприємництва, регуляторної політики, організації надання адміністративних послуг</t>
  </si>
  <si>
    <t>3216300</t>
  </si>
  <si>
    <t>3216310</t>
  </si>
  <si>
    <t>3217400</t>
  </si>
  <si>
    <t>3217450</t>
  </si>
  <si>
    <t>Сприяння розвитку малого та середнього підприємництва</t>
  </si>
  <si>
    <t>3218000</t>
  </si>
  <si>
    <t>3218600</t>
  </si>
  <si>
    <t>3310000</t>
  </si>
  <si>
    <t>Департамент реєстраційних послуг міської ради</t>
  </si>
  <si>
    <t>3310100</t>
  </si>
  <si>
    <t>3310180</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</si>
  <si>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</si>
  <si>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4010000</t>
  </si>
  <si>
    <t>Департамент з управління житлового-комунальним господарством Запорізької міської ради</t>
  </si>
  <si>
    <t>4010100</t>
  </si>
  <si>
    <t>4010180</t>
  </si>
  <si>
    <t>Керівництво і управління у сфері житлово-комунального господарства</t>
  </si>
  <si>
    <t>4016000</t>
  </si>
  <si>
    <t>100000</t>
  </si>
  <si>
    <t>Житлово-комунальне господарство</t>
  </si>
  <si>
    <t>4016010</t>
  </si>
  <si>
    <t>Забезпечення надійного та безперебійного функціонування житлово-експлуатаційного господарства</t>
  </si>
  <si>
    <t>4016020</t>
  </si>
  <si>
    <t>Капітальний ремонт об'єктів житлового господарства</t>
  </si>
  <si>
    <t>4016021</t>
  </si>
  <si>
    <t xml:space="preserve">Капітальний ремонт житлового фонду </t>
  </si>
  <si>
    <t>4016022</t>
  </si>
  <si>
    <t>4016100</t>
  </si>
  <si>
    <t>4016300</t>
  </si>
  <si>
    <t>4016310</t>
  </si>
  <si>
    <t>4016320</t>
  </si>
  <si>
    <t>Надання допомоги у вирішенні житлових питань</t>
  </si>
  <si>
    <t>4016324</t>
  </si>
  <si>
    <t>Будівництво та придбання житла для окремих категорій населення</t>
  </si>
  <si>
    <t>4016400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</si>
  <si>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</si>
  <si>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4017400</t>
  </si>
  <si>
    <t>4017470</t>
  </si>
  <si>
    <t>Внески до статутного капіталу суб'єктів господарювання</t>
  </si>
  <si>
    <t>4018000</t>
  </si>
  <si>
    <t>4018600</t>
  </si>
  <si>
    <t>4018605</t>
  </si>
  <si>
    <t>4019100</t>
  </si>
  <si>
    <t>4019110</t>
  </si>
  <si>
    <t>4110000</t>
  </si>
  <si>
    <t>Департамент інфраструктури та благоустрою міста Запорізької міської ради</t>
  </si>
  <si>
    <t>4110100</t>
  </si>
  <si>
    <t>4110180</t>
  </si>
  <si>
    <t>Керівництво і управління у сфері інфраструктури та благоустрою</t>
  </si>
  <si>
    <t>4113000</t>
  </si>
  <si>
    <t>4113240</t>
  </si>
  <si>
    <t>4113400</t>
  </si>
  <si>
    <t>4116000</t>
  </si>
  <si>
    <t>4116060</t>
  </si>
  <si>
    <t>4116300</t>
  </si>
  <si>
    <t>4116310</t>
  </si>
  <si>
    <t>4116600</t>
  </si>
  <si>
    <t>170000</t>
  </si>
  <si>
    <t>Транспорт, дорожнє господарство, зв'язок, телекомунікації та інформатика</t>
  </si>
  <si>
    <t>4117400</t>
  </si>
  <si>
    <t>4118000</t>
  </si>
  <si>
    <t>4118600</t>
  </si>
  <si>
    <t>4118603</t>
  </si>
  <si>
    <t>4119100</t>
  </si>
  <si>
    <t>4119110</t>
  </si>
  <si>
    <t>4510000</t>
  </si>
  <si>
    <t>4510100</t>
  </si>
  <si>
    <t>4510180</t>
  </si>
  <si>
    <t>Керівництво і управління у сфері управління майном права комунальної власності</t>
  </si>
  <si>
    <t>4518000</t>
  </si>
  <si>
    <t>4518600</t>
  </si>
  <si>
    <t>4518605</t>
  </si>
  <si>
    <t>4810000</t>
  </si>
  <si>
    <t>4810100</t>
  </si>
  <si>
    <t>4810180</t>
  </si>
  <si>
    <t>Керівництво і управління у сфері містобудування та архітектури</t>
  </si>
  <si>
    <t>4816430</t>
  </si>
  <si>
    <t>4818000</t>
  </si>
  <si>
    <t>4818600</t>
  </si>
  <si>
    <t>4818602</t>
  </si>
  <si>
    <t>4910000</t>
  </si>
  <si>
    <t>Інспекція державного архітектурно-будівельного контролю Запорізької міської ради</t>
  </si>
  <si>
    <t>4910100</t>
  </si>
  <si>
    <t>4910180</t>
  </si>
  <si>
    <t>Керівництво і управління у сфері державного архітеркурно-будівельного контролю</t>
  </si>
  <si>
    <t>5010000</t>
  </si>
  <si>
    <t>5010100</t>
  </si>
  <si>
    <t>5010180</t>
  </si>
  <si>
    <t>Керівництво і управління у сфері контролю за дотриманням законодавства про благоустрій</t>
  </si>
  <si>
    <t>5610000</t>
  </si>
  <si>
    <t>5610100</t>
  </si>
  <si>
    <t>5610180</t>
  </si>
  <si>
    <t>Керівництво і управління у сфері земельних відносин</t>
  </si>
  <si>
    <t>5617300</t>
  </si>
  <si>
    <t>Сільське і лісове господарство, рибне господарство та мисливство</t>
  </si>
  <si>
    <t>5617310</t>
  </si>
  <si>
    <t>0421</t>
  </si>
  <si>
    <t>Проведення заходів із землеустрою</t>
  </si>
  <si>
    <t>6010000</t>
  </si>
  <si>
    <t>6010100</t>
  </si>
  <si>
    <t>6010180</t>
  </si>
  <si>
    <t>Керівництво і управління у сфері охорони навколишнього природного  середовища</t>
  </si>
  <si>
    <t>6016300</t>
  </si>
  <si>
    <t>6016310</t>
  </si>
  <si>
    <t>6018000</t>
  </si>
  <si>
    <t>6018600</t>
  </si>
  <si>
    <t>6018602</t>
  </si>
  <si>
    <t>6019100</t>
  </si>
  <si>
    <t>6019110</t>
  </si>
  <si>
    <t>6510000</t>
  </si>
  <si>
    <t>6510100</t>
  </si>
  <si>
    <t>6510180</t>
  </si>
  <si>
    <t>Керівництво і управління у сфері транспортну та зв'язку</t>
  </si>
  <si>
    <t>6516300</t>
  </si>
  <si>
    <t>6516310</t>
  </si>
  <si>
    <t>6516600</t>
  </si>
  <si>
    <t>6516640</t>
  </si>
  <si>
    <t>6516700</t>
  </si>
  <si>
    <t>6517400</t>
  </si>
  <si>
    <t>6517470</t>
  </si>
  <si>
    <t>6518600</t>
  </si>
  <si>
    <t>6518602</t>
  </si>
  <si>
    <t>6518606</t>
  </si>
  <si>
    <t>6710000</t>
  </si>
  <si>
    <t>6710100</t>
  </si>
  <si>
    <t>6710180</t>
  </si>
  <si>
    <t>Керівництво і управління у сфері техногенно-екологічної безпеки цивільного захисту та надзвичайних ситуацій</t>
  </si>
  <si>
    <t>6717800</t>
  </si>
  <si>
    <t>210000</t>
  </si>
  <si>
    <t>Запобігання та ліквідація надзвичайних ситуацій та наслідків стихійного лиха</t>
  </si>
  <si>
    <t>6717810</t>
  </si>
  <si>
    <t>6717840</t>
  </si>
  <si>
    <t xml:space="preserve">Організація рятування на водах </t>
  </si>
  <si>
    <t>7310000</t>
  </si>
  <si>
    <t>7310100</t>
  </si>
  <si>
    <t>7310180</t>
  </si>
  <si>
    <t>Керівництво і управління у сфері соціально-економічного розвитку</t>
  </si>
  <si>
    <t>7316300</t>
  </si>
  <si>
    <t>7316310</t>
  </si>
  <si>
    <t>7316400</t>
  </si>
  <si>
    <t>7317400</t>
  </si>
  <si>
    <t>7317470</t>
  </si>
  <si>
    <t>7318000</t>
  </si>
  <si>
    <t>7318600</t>
  </si>
  <si>
    <t>7318602</t>
  </si>
  <si>
    <t>7319100</t>
  </si>
  <si>
    <t>7319180</t>
  </si>
  <si>
    <t>7319181</t>
  </si>
  <si>
    <t>7510000</t>
  </si>
  <si>
    <t>7510100</t>
  </si>
  <si>
    <t>7510180</t>
  </si>
  <si>
    <t>Керівництво і управління у сфері бюджету та фінансів</t>
  </si>
  <si>
    <t>7518000</t>
  </si>
  <si>
    <t>7518600</t>
  </si>
  <si>
    <t>7518607</t>
  </si>
  <si>
    <t>7610000</t>
  </si>
  <si>
    <t>7618000</t>
  </si>
  <si>
    <t>7618370</t>
  </si>
  <si>
    <t>Субвенція з місцевого бюджету державному бюджету на виконання програм соціально-економічного та культурного розвитку регіонів</t>
  </si>
  <si>
    <t>7618800</t>
  </si>
  <si>
    <t>250380</t>
  </si>
  <si>
    <t>9010000</t>
  </si>
  <si>
    <t>9010100</t>
  </si>
  <si>
    <t>9010180</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</si>
  <si>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</si>
  <si>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9016000</t>
  </si>
  <si>
    <t>9016010</t>
  </si>
  <si>
    <t>9016060</t>
  </si>
  <si>
    <t>9016300</t>
  </si>
  <si>
    <t>9016310</t>
  </si>
  <si>
    <t>9018000</t>
  </si>
  <si>
    <t>9018600</t>
  </si>
  <si>
    <t>Підтримка призову на військову службу та заходи з мобілізації</t>
  </si>
  <si>
    <t>9110000</t>
  </si>
  <si>
    <t>9110100</t>
  </si>
  <si>
    <t>9110180</t>
  </si>
  <si>
    <t>9116000</t>
  </si>
  <si>
    <t>9116010</t>
  </si>
  <si>
    <t>9116060</t>
  </si>
  <si>
    <t>9116300</t>
  </si>
  <si>
    <t>9116310</t>
  </si>
  <si>
    <t>9119100</t>
  </si>
  <si>
    <t>9119180</t>
  </si>
  <si>
    <t>9119181</t>
  </si>
  <si>
    <t>9210000</t>
  </si>
  <si>
    <t xml:space="preserve"> Районна адміністрація Запорізької міської ради по Вознесенівському району</t>
  </si>
  <si>
    <t>9210100</t>
  </si>
  <si>
    <t>9210180</t>
  </si>
  <si>
    <t>9216000</t>
  </si>
  <si>
    <t>9216010</t>
  </si>
  <si>
    <t>9216060</t>
  </si>
  <si>
    <t>9216300</t>
  </si>
  <si>
    <t>9216310</t>
  </si>
  <si>
    <t>9218600</t>
  </si>
  <si>
    <t>9118000</t>
  </si>
  <si>
    <t>9118600</t>
  </si>
  <si>
    <t>9219100</t>
  </si>
  <si>
    <t>9219181</t>
  </si>
  <si>
    <t>9310000</t>
  </si>
  <si>
    <t xml:space="preserve"> Районна адміністрація Запорізької міської ради по Олександрівському району</t>
  </si>
  <si>
    <t>9310100</t>
  </si>
  <si>
    <t>9310180</t>
  </si>
  <si>
    <t>9316000</t>
  </si>
  <si>
    <t>9316010</t>
  </si>
  <si>
    <t>9316060</t>
  </si>
  <si>
    <t>9316300</t>
  </si>
  <si>
    <t>9316310</t>
  </si>
  <si>
    <t>9218000</t>
  </si>
  <si>
    <t>9318000</t>
  </si>
  <si>
    <t>9318600</t>
  </si>
  <si>
    <t>9319100</t>
  </si>
  <si>
    <t>9319181</t>
  </si>
  <si>
    <t>9410000</t>
  </si>
  <si>
    <t xml:space="preserve"> Районна адміністрація Запорізької міської ради по Шевченківському району</t>
  </si>
  <si>
    <t>9410100</t>
  </si>
  <si>
    <t>9410180</t>
  </si>
  <si>
    <t>9416000</t>
  </si>
  <si>
    <t>9416010</t>
  </si>
  <si>
    <t>9416060</t>
  </si>
  <si>
    <t>9416300</t>
  </si>
  <si>
    <t>9416310</t>
  </si>
  <si>
    <t>9418000</t>
  </si>
  <si>
    <t>9418600</t>
  </si>
  <si>
    <t>9419100</t>
  </si>
  <si>
    <t>9510000</t>
  </si>
  <si>
    <t xml:space="preserve"> Районна адміністрація Запорізької міської ради по Заводському району</t>
  </si>
  <si>
    <t>9510100</t>
  </si>
  <si>
    <t>9510180</t>
  </si>
  <si>
    <t>9516300</t>
  </si>
  <si>
    <t>9516310</t>
  </si>
  <si>
    <t>9516000</t>
  </si>
  <si>
    <t>9516010</t>
  </si>
  <si>
    <t>9516060</t>
  </si>
  <si>
    <t>9610000</t>
  </si>
  <si>
    <t xml:space="preserve"> Районна адміністрація Запорізької міської ради по Комунарському району</t>
  </si>
  <si>
    <t>9610100</t>
  </si>
  <si>
    <t>9610180</t>
  </si>
  <si>
    <t>9616000</t>
  </si>
  <si>
    <t>9616010</t>
  </si>
  <si>
    <t>9616300</t>
  </si>
  <si>
    <t>9616310</t>
  </si>
  <si>
    <t>9518000</t>
  </si>
  <si>
    <t>9518600</t>
  </si>
  <si>
    <t>9519100</t>
  </si>
  <si>
    <t>9549181</t>
  </si>
  <si>
    <t>9618000</t>
  </si>
  <si>
    <t>9618600</t>
  </si>
  <si>
    <t>9618608</t>
  </si>
  <si>
    <t>9619100</t>
  </si>
  <si>
    <t>9619181</t>
  </si>
  <si>
    <t>9649181</t>
  </si>
  <si>
    <t>9019100</t>
  </si>
  <si>
    <t>9019180</t>
  </si>
  <si>
    <t>9019181</t>
  </si>
  <si>
    <t>Керівництво і управління у сфері освіти і науки</t>
  </si>
  <si>
    <t>100204</t>
  </si>
  <si>
    <t>4116650</t>
  </si>
  <si>
    <t>4117470</t>
  </si>
  <si>
    <t>9449181</t>
  </si>
  <si>
    <t>9616060</t>
  </si>
  <si>
    <t>Апарат управління</t>
  </si>
  <si>
    <t>Утримання та розвиток інфраструктури доріг</t>
  </si>
  <si>
    <t>Видатки на запобігання та ліквідацію надзвич. Ситуац.</t>
  </si>
  <si>
    <t>Організація рятування на водах</t>
  </si>
  <si>
    <t>Забезпечення належних умов для виховання та розвиткудітей-сиріт і дітей, позб.</t>
  </si>
  <si>
    <t>Оздоровлення та відпочинок</t>
  </si>
  <si>
    <t>Надання інших пільг ветер. Війні</t>
  </si>
  <si>
    <t>Надання інших пільг чорнобильцям</t>
  </si>
  <si>
    <t>Надання пільг з послуг звязку</t>
  </si>
  <si>
    <t>Соціальний захист ветеранів війни та праці</t>
  </si>
  <si>
    <t>91103+091102+091101</t>
  </si>
  <si>
    <t xml:space="preserve">Здійснення соц. роботи з вразлив. катег.+зоходи </t>
  </si>
  <si>
    <t>Забезпечення соціальними послугами за місцем проживання громадян,</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</si>
  <si>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________ № </t>
  </si>
  <si>
    <t xml:space="preserve">Програма проведення в м.Запоріжжі Покровського ярмарку з нагоди святкування Дня міста у 2017 році, затверджена рішенням міської ради від  № </t>
  </si>
  <si>
    <t>Міська цільова програма "Безпечне місто", затверджена рішенням від  №</t>
  </si>
  <si>
    <t>Програма сприяння молодіжному руху "Молодь для міста" на 2017-2018 роки, затверджена рішенням міської ради від   №</t>
  </si>
  <si>
    <t xml:space="preserve">Міська цільова програма з організації та відзначення в м. Запоріжжя загальнодержавних, міських та районних свят, державних пам'ятних дат, та історичних подій на 2017 рік, атверджена рішенням міської ради від ________ № </t>
  </si>
  <si>
    <t>забезпечення над. і безпер. Функц. Жит-експ. Господ.</t>
  </si>
  <si>
    <t>благоустрій</t>
  </si>
  <si>
    <t>в том числе 170102+170302+170602+170203</t>
  </si>
  <si>
    <t>Діяльність і послуги не віднесені до інших категорій</t>
  </si>
  <si>
    <t>Підтримка малого та середнього підприємництва</t>
  </si>
  <si>
    <t>Інші заходи, пов'язані з економічною діяльністю (заходи програми розвитку туризму)</t>
  </si>
  <si>
    <t>Кап.вкладення</t>
  </si>
  <si>
    <t>Будівництво та придбання житла</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</si>
  <si>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</si>
  <si>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розробка схем та проектних рішень масового застосування</t>
  </si>
  <si>
    <t>Внески в статутні фонди</t>
  </si>
  <si>
    <t>Інші природоохоронні заходи</t>
  </si>
  <si>
    <t>Субвенція державному бюджету (на правоохоронні органи)</t>
  </si>
  <si>
    <t>Видатки на впровадження засобів обліку витрат та регулювання споживання води та теплової енергії</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</si>
  <si>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</si>
  <si>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Код типової програмної класифікації видатків та кредитування місцевих бюджетів (КТПККВК)</t>
  </si>
  <si>
    <t>0170</t>
  </si>
  <si>
    <t>0100</t>
  </si>
  <si>
    <t>7200</t>
  </si>
  <si>
    <t>7210</t>
  </si>
  <si>
    <t>7211</t>
  </si>
  <si>
    <t>7212</t>
  </si>
  <si>
    <t>6300</t>
  </si>
  <si>
    <t>6310</t>
  </si>
  <si>
    <t>6322</t>
  </si>
  <si>
    <t>7400</t>
  </si>
  <si>
    <t>7470</t>
  </si>
  <si>
    <t>8000</t>
  </si>
  <si>
    <t>8600</t>
  </si>
  <si>
    <t>8602</t>
  </si>
  <si>
    <t>8605</t>
  </si>
  <si>
    <t>8606</t>
  </si>
  <si>
    <t>8607</t>
  </si>
  <si>
    <t>9100</t>
  </si>
  <si>
    <t>9180</t>
  </si>
  <si>
    <t>9181</t>
  </si>
  <si>
    <t>1000</t>
  </si>
  <si>
    <t>1010</t>
  </si>
  <si>
    <t>1100</t>
  </si>
  <si>
    <t>1170</t>
  </si>
  <si>
    <t>1180</t>
  </si>
  <si>
    <t>1190</t>
  </si>
  <si>
    <t>1200</t>
  </si>
  <si>
    <t>1210</t>
  </si>
  <si>
    <t>3000</t>
  </si>
  <si>
    <t>3160</t>
  </si>
  <si>
    <t>3240</t>
  </si>
  <si>
    <t>6330</t>
  </si>
  <si>
    <t>6340</t>
  </si>
  <si>
    <t>6350</t>
  </si>
  <si>
    <t>9110</t>
  </si>
  <si>
    <t>3140</t>
  </si>
  <si>
    <t>5000</t>
  </si>
  <si>
    <t>5010</t>
  </si>
  <si>
    <t>5011</t>
  </si>
  <si>
    <t>5012</t>
  </si>
  <si>
    <t>5050</t>
  </si>
  <si>
    <t>8100</t>
  </si>
  <si>
    <t>8103</t>
  </si>
  <si>
    <t>8108</t>
  </si>
  <si>
    <t>2000</t>
  </si>
  <si>
    <t>2010</t>
  </si>
  <si>
    <t>2050</t>
  </si>
  <si>
    <t>2120</t>
  </si>
  <si>
    <t>2140</t>
  </si>
  <si>
    <t>2170</t>
  </si>
  <si>
    <t>2180</t>
  </si>
  <si>
    <t>2200</t>
  </si>
  <si>
    <t>2210</t>
  </si>
  <si>
    <t>2214</t>
  </si>
  <si>
    <t>2220</t>
  </si>
  <si>
    <t>2221</t>
  </si>
  <si>
    <t>2222</t>
  </si>
  <si>
    <t>3030</t>
  </si>
  <si>
    <t>3031</t>
  </si>
  <si>
    <t>3033</t>
  </si>
  <si>
    <t>3034</t>
  </si>
  <si>
    <t>3035</t>
  </si>
  <si>
    <t>3036</t>
  </si>
  <si>
    <t>3037</t>
  </si>
  <si>
    <t>3038</t>
  </si>
  <si>
    <t>3100</t>
  </si>
  <si>
    <t>3104</t>
  </si>
  <si>
    <t>3130</t>
  </si>
  <si>
    <t>3131</t>
  </si>
  <si>
    <t>3132</t>
  </si>
  <si>
    <t>3200</t>
  </si>
  <si>
    <t>3202</t>
  </si>
  <si>
    <t>3400</t>
  </si>
  <si>
    <t>3401</t>
  </si>
  <si>
    <t>3110</t>
  </si>
  <si>
    <t>3112</t>
  </si>
  <si>
    <t>4000</t>
  </si>
  <si>
    <t>4020</t>
  </si>
  <si>
    <t>4060</t>
  </si>
  <si>
    <t>4090</t>
  </si>
  <si>
    <t>4100</t>
  </si>
  <si>
    <t>4110</t>
  </si>
  <si>
    <t>4200</t>
  </si>
  <si>
    <t>4205</t>
  </si>
  <si>
    <t>7500</t>
  </si>
  <si>
    <t>7501</t>
  </si>
  <si>
    <t>7450</t>
  </si>
  <si>
    <t>6000</t>
  </si>
  <si>
    <t>6010</t>
  </si>
  <si>
    <t>6020</t>
  </si>
  <si>
    <t>6021</t>
  </si>
  <si>
    <t>6022</t>
  </si>
  <si>
    <t>6100</t>
  </si>
  <si>
    <t>6320</t>
  </si>
  <si>
    <t>6324</t>
  </si>
  <si>
    <t>6400</t>
  </si>
  <si>
    <t>6060</t>
  </si>
  <si>
    <t>6600</t>
  </si>
  <si>
    <t>6650</t>
  </si>
  <si>
    <t>8603</t>
  </si>
  <si>
    <t>6430</t>
  </si>
  <si>
    <t>7300</t>
  </si>
  <si>
    <t>7310</t>
  </si>
  <si>
    <t>91110</t>
  </si>
  <si>
    <t>6640</t>
  </si>
  <si>
    <t>6700</t>
  </si>
  <si>
    <t>7800</t>
  </si>
  <si>
    <t>7810</t>
  </si>
  <si>
    <t>7840</t>
  </si>
  <si>
    <t>8370</t>
  </si>
  <si>
    <t>8800</t>
  </si>
  <si>
    <t>8608</t>
  </si>
  <si>
    <t>Міська цільова програма "Вікна" по встановлення нових енергозберігаючих вікон у бюджетних установах міста Запоріжжя на 2017-2020 роки</t>
  </si>
  <si>
    <t>1113401</t>
  </si>
  <si>
    <t>1113400</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</si>
  <si>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</si>
  <si>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Проведення навчально-тренувальних зборів і змагань з не олімпійських видів спорту</t>
  </si>
  <si>
    <t>Централізований бухгалтерський та фінансовий облік у сфері фізичної культури та спорту</t>
  </si>
  <si>
    <t>Програма розвитку та утримання житлово-комунального господарства м. Запоріжжя на 2016-2018 роки, затверджена рішенням міської ради від 25.12.2015  № 25 (зі змінами)</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</si>
  <si>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рішенням міської ради від 30.03.2016  № 16</t>
  </si>
  <si>
    <t>Інші видатки в сфері житлово-комунального господарства та фінансування заходів з дезінсекції та дератизації</t>
  </si>
  <si>
    <t xml:space="preserve">Програма "Фінансова підтримка комунального науково-виробничого підприємства "Екоцентр" на 2016 рік, затверджена рішенням від              № </t>
  </si>
  <si>
    <t>Керівництво і управління у сфері культури та мистецтва, туризму</t>
  </si>
  <si>
    <t>Організаційне, інформаційно-аналітичне та матеріально-технічне забезпечення діяльності міської ради та її виконавчого комітету</t>
  </si>
  <si>
    <t>Програма Громадський бюджет</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</si>
  <si>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 (зі змінами)</t>
  </si>
  <si>
    <t>Міська цільова програма забезпечення членства Запорізької міської ради в Асоціаціях, затверджена рішенням міської ради від 25.12.2015  №  3 (зі змінами)</t>
  </si>
  <si>
    <t>Міська  програма  "Запорізька Муніципальна Інтегрована Система Обробки Інформації", затверджена рішенням міської ради від 30.06.2016 № 45 (зі змінами)</t>
  </si>
  <si>
    <t>Програма соціального захисту населення міста Запоріжжя "З теплом до людей" на 2016-2017 роки, затверджена рішенням міської ради від   28.09.2016 № 41</t>
  </si>
  <si>
    <t>Програма економічного і соціального розвитку м.Запоріжжя на 2017 рік, затверджена рішенням міської ради від 30.03.2016 № 5 (зі змінами)</t>
  </si>
  <si>
    <t>Проверка</t>
  </si>
  <si>
    <t>ПРОВЕРКА</t>
  </si>
  <si>
    <t>Інші заходи, пов'язані з економічною діяльністю (стратегія економічного розвитку )</t>
  </si>
  <si>
    <t>7317500</t>
  </si>
  <si>
    <t>Програма "Стратегія економічного розвитку"</t>
  </si>
  <si>
    <t xml:space="preserve">Програма "Фінансова підтримка комунального підприємства "Преса" на 2017 рік", затверджена рішенням міської ради від          № </t>
  </si>
  <si>
    <t>1113143</t>
  </si>
  <si>
    <t>3143</t>
  </si>
  <si>
    <t>Інші заходи та заклади молодіжної політики</t>
  </si>
  <si>
    <t>1115030</t>
  </si>
  <si>
    <t>1115031</t>
  </si>
  <si>
    <t>Розвиток дитячо-юнацького та резервного спорту</t>
  </si>
  <si>
    <t>1115040</t>
  </si>
  <si>
    <t>5031</t>
  </si>
  <si>
    <t>5030</t>
  </si>
  <si>
    <t>5040</t>
  </si>
  <si>
    <t>Підтримка і розвиток спортивної інфрастуртури</t>
  </si>
  <si>
    <t>1115041</t>
  </si>
  <si>
    <t>5041</t>
  </si>
  <si>
    <t>1115060</t>
  </si>
  <si>
    <t>5060</t>
  </si>
  <si>
    <t>1115062</t>
  </si>
  <si>
    <t>5062</t>
  </si>
  <si>
    <t>9419180</t>
  </si>
  <si>
    <t>9519180</t>
  </si>
  <si>
    <t>Програма економічного і соціального розвитку м.Запоріжжя на 2017 рік, затверджена рішенням міської ради від 21.12.2016  № 47</t>
  </si>
  <si>
    <t>Міська цільова програма  організації та відзначення в м. Запоріжжя загальнодержавних, міських та районних свят, державних пам'ятних дат, та історичних подій на 2017 рік, затверджена рішенням міської ради від  21.12.2016 № 22</t>
  </si>
  <si>
    <t>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21.12.2016 № 16</t>
  </si>
  <si>
    <t>Міська  програма "Цифрова стратегія міста на 2017-2020 роки", затверджена рішенням міської ради від  21.12.2016 № 24</t>
  </si>
  <si>
    <t>Програма  використання коштів цільового фонду міської ради на 2017рік, затверджена рішенням міської ради від 21.12.2016  № 31</t>
  </si>
  <si>
    <t>Програма "Про фінансування природоохоронних заходів за рахунок екологічних надходжень на 2017-2019 роки", затверджена рішенням міської ради від 21.12.2016 № 34</t>
  </si>
  <si>
    <t>Програма фінансування заходів з питань сім'ї та молоді на 2017 рік, затверджена рішенням міської ради від 21.12.2016 № 14</t>
  </si>
  <si>
    <t>Міська програма підтримки обдарованої молоді м. Запоріжжя, затверджена рішенням міської ради від 21.12.2016 № 14</t>
  </si>
  <si>
    <t>Програма "Розвитку первинної медико-санітарної допомоги міста Запоріжжя на 2017 рік", затверджена рішенням міської ради від 21.12.2016 № 12</t>
  </si>
  <si>
    <t>Програма використання коштів депутатського фонду у 2017 році, затверджена рішенням міської ради від 21.12.2016  № 27</t>
  </si>
  <si>
    <t>Програма розвитку туризму в місті Запоріжжі на 2017-2019 роки, затверджена рішенням міської ради від 21.12.2016 № 10</t>
  </si>
  <si>
    <t xml:space="preserve"> Програма фінансування деяких заходів щодо сприяння  розвитку малого та середнього підприємництва у місті Запоріжжі на 2017 рік, затверджена рішенням міської ради від 21.12.2016  №  35</t>
  </si>
  <si>
    <t>Програма проведення в м. Запоріжжі Покровського ярмарку з нагоди святкування Дня міста у 2017 році, затверджена рішенням міської ради від  21.12.2016 № 8</t>
  </si>
  <si>
    <t>Програма "Фінансова підтримка комунального підприємства "Преса" на 2017 рік", затверджена рішенням міської ради від 21.12.2016  № 38</t>
  </si>
  <si>
    <t xml:space="preserve">Програма розвитку та утримання житлово-комунального господарства м. Запоріжжя на 2017-2019 роки, затверджена рішенням міської ради від 21.12.2016  № 5 </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</si>
  <si>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2017-2019 роки, затверджена рішенням міської ради від 21.12.2016  № 6</t>
  </si>
  <si>
    <t>Програма  розвитку інфраструктури та комплексного благоустрою міста Запоріжжя на 2017-2019 роки, затверджена рішенням міської ради від 21.12.2016  № 7</t>
  </si>
  <si>
    <t>Міська цільова програма "Безпечне місто Запоріжжя", затверджена рішенням від 21.12.2016 № 30</t>
  </si>
  <si>
    <t>Міська цільова програма запобігання і ліквідації надзвичайних ситуацій техногенного та природного характеру, організація рятування на водах на 2017-2019 роки, затверджена рішенням міської ради від 21.12.2016 № 36</t>
  </si>
  <si>
    <t>Програма підтримки діяльності органів самоорганізації населення міста Запоріжжя, затверджена рішенням міської ради від 21.12.2016 № 26</t>
  </si>
  <si>
    <t xml:space="preserve"> Програма "Фінансування заходів з дератизації відкритих стацій та дезінсекції анофелогенних водоймищ м. Запоріжжя ", затверджена рішенням міської ради від 21.12.2016 № 25</t>
  </si>
  <si>
    <t xml:space="preserve"> Програма "Сприяння органів місцевого самоврядування призову громадян  м. Запоріжжя ", затверджена рішенням міської ради від 21.12.2016  № 41</t>
  </si>
  <si>
    <t>Програма сприяння молодіжному руху "Молодь для міста" на 2017-2018 роки, затверджена рішенням міської ради від 21.12.2016  № 23</t>
  </si>
  <si>
    <t>Програма підтримки діяльності органів самоорганізації населення міста Запоріжжя, затверджена рішенням міської ради від 21.12.2016    № 26</t>
  </si>
  <si>
    <t>Програма підтримки діяльності органів самоорганізації населення міста Запоріжжя, затверджена рішенням міської ради від 21.12.2016   № 26</t>
  </si>
  <si>
    <t>Програма розвитку і функціонування української мови в м. Запоріжжя на  2016-2020 роки, затверджена рішенням міської ради від 30.11.2016 № 98</t>
  </si>
  <si>
    <t>Міська цільова Програма «ВІКНА» по заміні старих вікон на нові енергозберігаючі у бюджетних установах міста Запоріжжя на 2017- 2021 роки, затверджена рішенням міської ради від  30.11.2016 № 83</t>
  </si>
  <si>
    <t>Програма "Муніципальної аварійної служби та служби технічного обслуговування систем диспетчеризації ліфтів м. Запоріжжя на 2017-2019 роки", затверджена рішенням міської ради від 21.12.2016  № 60</t>
  </si>
  <si>
    <t>Міська цільова програма розширення мережі філій Центру надання адміністративних послуг у м. Запоріжжі, затверджена рішенням міської ради від  26.10.2016 № 39</t>
  </si>
  <si>
    <t>0961</t>
  </si>
  <si>
    <t>25.01.2017 №42</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</si>
</sst>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000"/>
    <numFmt numFmtId="198" formatCode="0.0"/>
    <numFmt numFmtId="199" formatCode="0.00000000"/>
    <numFmt numFmtId="200" formatCode="0.0000000"/>
    <numFmt numFmtId="201" formatCode="0.000000"/>
    <numFmt numFmtId="202" formatCode="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FC19]d\ mmmm\ yyyy\ &quot;г.&quot;"/>
    <numFmt numFmtId="208" formatCode="000000"/>
    <numFmt numFmtId="209" formatCode="#,##0.000"/>
  </numFmts>
  <fonts count="108">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b/>
      <sz val="11"/>
      <name val="Times New Roman"/>
      <family val="1"/>
    </font>
    <font>
      <b/>
      <sz val="12"/>
      <color indexed="56"/>
      <name val="Times New Roman"/>
      <family val="1"/>
    </font>
    <font>
      <sz val="14"/>
      <color indexed="10"/>
      <name val="Times New Roman"/>
      <family val="1"/>
    </font>
    <font>
      <b/>
      <sz val="12"/>
      <color indexed="17"/>
      <name val="Times New Roman"/>
      <family val="1"/>
    </font>
    <font>
      <b/>
      <sz val="14"/>
      <color indexed="10"/>
      <name val="Times New Roman"/>
      <family val="1"/>
    </font>
    <font>
      <sz val="12"/>
      <color indexed="17"/>
      <name val="Times New Roman"/>
      <family val="1"/>
    </font>
    <font>
      <sz val="18"/>
      <name val="Arial Cyr"/>
      <family val="0"/>
    </font>
    <font>
      <b/>
      <sz val="18"/>
      <name val="Arial Cyr"/>
      <family val="0"/>
    </font>
    <font>
      <sz val="20"/>
      <name val="Arial"/>
      <family val="2"/>
    </font>
    <font>
      <b/>
      <sz val="14"/>
      <color indexed="17"/>
      <name val="Times New Roman"/>
      <family val="1"/>
    </font>
    <font>
      <b/>
      <sz val="12"/>
      <color indexed="10"/>
      <name val="Times New Roman"/>
      <family val="1"/>
    </font>
    <font>
      <sz val="25"/>
      <name val="Times New Roman"/>
      <family val="1"/>
    </font>
    <font>
      <sz val="10"/>
      <color indexed="10"/>
      <name val="Arial Cyr"/>
      <family val="0"/>
    </font>
    <font>
      <b/>
      <sz val="16"/>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40"/>
      <name val="Times New Roman"/>
      <family val="1"/>
    </font>
    <font>
      <b/>
      <sz val="12"/>
      <color indexed="30"/>
      <name val="Times New Roman"/>
      <family val="1"/>
    </font>
    <font>
      <b/>
      <sz val="12"/>
      <color indexed="9"/>
      <name val="Times New Roman"/>
      <family val="1"/>
    </font>
    <font>
      <sz val="12"/>
      <color indexed="9"/>
      <name val="Times New Roman"/>
      <family val="1"/>
    </font>
    <font>
      <b/>
      <sz val="14"/>
      <color indexed="8"/>
      <name val="Times New Roman"/>
      <family val="1"/>
    </font>
    <font>
      <sz val="10"/>
      <color indexed="56"/>
      <name val="Arial Cyr"/>
      <family val="0"/>
    </font>
    <font>
      <sz val="12"/>
      <color indexed="60"/>
      <name val="Times New Roman"/>
      <family val="1"/>
    </font>
    <font>
      <sz val="12"/>
      <color indexed="8"/>
      <name val="Times New Roman"/>
      <family val="1"/>
    </font>
    <font>
      <b/>
      <sz val="12"/>
      <color indexed="40"/>
      <name val="Times New Roman"/>
      <family val="1"/>
    </font>
    <font>
      <sz val="10"/>
      <color indexed="60"/>
      <name val="Arial"/>
      <family val="2"/>
    </font>
    <font>
      <b/>
      <sz val="12"/>
      <color indexed="8"/>
      <name val="Times New Roman"/>
      <family val="1"/>
    </font>
    <font>
      <sz val="8"/>
      <name val="Segoe UI"/>
      <family val="2"/>
    </font>
    <font>
      <b/>
      <u val="single"/>
      <sz val="2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70C0"/>
      <name val="Times New Roman"/>
      <family val="1"/>
    </font>
    <font>
      <b/>
      <sz val="14"/>
      <color rgb="FF00B0F0"/>
      <name val="Times New Roman"/>
      <family val="1"/>
    </font>
    <font>
      <b/>
      <sz val="12"/>
      <color rgb="FF0070C0"/>
      <name val="Times New Roman"/>
      <family val="1"/>
    </font>
    <font>
      <b/>
      <sz val="12"/>
      <color rgb="FF006600"/>
      <name val="Times New Roman"/>
      <family val="1"/>
    </font>
    <font>
      <sz val="12"/>
      <color rgb="FF006600"/>
      <name val="Times New Roman"/>
      <family val="1"/>
    </font>
    <font>
      <b/>
      <sz val="12"/>
      <color rgb="FFFF0000"/>
      <name val="Times New Roman"/>
      <family val="1"/>
    </font>
    <font>
      <sz val="12"/>
      <color rgb="FFFF0000"/>
      <name val="Times New Roman"/>
      <family val="1"/>
    </font>
    <font>
      <b/>
      <sz val="12"/>
      <color theme="0"/>
      <name val="Times New Roman"/>
      <family val="1"/>
    </font>
    <font>
      <sz val="12"/>
      <color theme="0"/>
      <name val="Times New Roman"/>
      <family val="1"/>
    </font>
    <font>
      <b/>
      <sz val="14"/>
      <color theme="1"/>
      <name val="Times New Roman"/>
      <family val="1"/>
    </font>
    <font>
      <sz val="10"/>
      <color rgb="FF002060"/>
      <name val="Arial Cyr"/>
      <family val="0"/>
    </font>
    <font>
      <sz val="12"/>
      <color theme="3" tint="-0.24997000396251678"/>
      <name val="Times New Roman"/>
      <family val="1"/>
    </font>
    <font>
      <sz val="12"/>
      <color theme="5" tint="-0.24997000396251678"/>
      <name val="Times New Roman"/>
      <family val="1"/>
    </font>
    <font>
      <sz val="12"/>
      <color rgb="FF008000"/>
      <name val="Times New Roman"/>
      <family val="1"/>
    </font>
    <font>
      <sz val="12"/>
      <color theme="1"/>
      <name val="Times New Roman"/>
      <family val="1"/>
    </font>
    <font>
      <b/>
      <sz val="12"/>
      <color rgb="FF00B0F0"/>
      <name val="Times New Roman"/>
      <family val="1"/>
    </font>
    <font>
      <sz val="12"/>
      <color rgb="FF002060"/>
      <name val="Times New Roman"/>
      <family val="1"/>
    </font>
    <font>
      <sz val="10"/>
      <color theme="5" tint="-0.24997000396251678"/>
      <name val="Arial"/>
      <family val="2"/>
    </font>
    <font>
      <b/>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color indexed="9"/>
      </left>
      <right>
        <color indexed="63"/>
      </right>
      <top style="thin">
        <color indexed="9"/>
      </top>
      <bottom style="thin">
        <color indexed="9"/>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28" borderId="7" applyNumberFormat="0" applyAlignment="0" applyProtection="0"/>
    <xf numFmtId="0" fontId="82" fillId="0" borderId="0" applyNumberFormat="0" applyFill="0" applyBorder="0" applyAlignment="0" applyProtection="0"/>
    <xf numFmtId="0" fontId="83"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84" fillId="30" borderId="0" applyNumberFormat="0" applyBorder="0" applyAlignment="0" applyProtection="0"/>
    <xf numFmtId="0" fontId="8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32" borderId="0" applyNumberFormat="0" applyBorder="0" applyAlignment="0" applyProtection="0"/>
  </cellStyleXfs>
  <cellXfs count="473">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96"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33" borderId="0" xfId="0" applyFont="1" applyFill="1" applyAlignment="1">
      <alignment horizontal="center" vertical="center" wrapText="1"/>
    </xf>
    <xf numFmtId="1" fontId="1" fillId="33" borderId="0" xfId="0" applyNumberFormat="1" applyFont="1" applyFill="1" applyAlignment="1">
      <alignment horizontal="center" vertical="center" wrapText="1"/>
    </xf>
    <xf numFmtId="0" fontId="1" fillId="34"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96"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33"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35" borderId="10" xfId="0" applyNumberFormat="1" applyFont="1" applyFill="1" applyBorder="1" applyAlignment="1">
      <alignment vertical="center" wrapText="1"/>
    </xf>
    <xf numFmtId="1" fontId="15" fillId="35" borderId="10" xfId="0" applyNumberFormat="1" applyFont="1" applyFill="1" applyBorder="1" applyAlignment="1">
      <alignment wrapText="1"/>
    </xf>
    <xf numFmtId="0" fontId="17" fillId="35" borderId="0" xfId="0" applyFont="1" applyFill="1" applyAlignment="1">
      <alignment wrapText="1"/>
    </xf>
    <xf numFmtId="0" fontId="17" fillId="35" borderId="10" xfId="0" applyFont="1" applyFill="1" applyBorder="1" applyAlignment="1">
      <alignment horizontal="left" wrapText="1"/>
    </xf>
    <xf numFmtId="0" fontId="17" fillId="35" borderId="0" xfId="0" applyFont="1" applyFill="1" applyBorder="1" applyAlignment="1">
      <alignment wrapText="1"/>
    </xf>
    <xf numFmtId="1" fontId="1" fillId="35" borderId="10" xfId="0" applyNumberFormat="1" applyFont="1" applyFill="1" applyBorder="1" applyAlignment="1">
      <alignment horizontal="right" vertical="center" wrapText="1"/>
    </xf>
    <xf numFmtId="1" fontId="11" fillId="35" borderId="10" xfId="0" applyNumberFormat="1" applyFont="1" applyFill="1" applyBorder="1" applyAlignment="1">
      <alignment vertical="center" wrapText="1"/>
    </xf>
    <xf numFmtId="1" fontId="26" fillId="35" borderId="10" xfId="0" applyNumberFormat="1" applyFont="1" applyFill="1" applyBorder="1" applyAlignment="1">
      <alignment vertical="center" wrapText="1"/>
    </xf>
    <xf numFmtId="1" fontId="2" fillId="35" borderId="10" xfId="0" applyNumberFormat="1" applyFont="1" applyFill="1" applyBorder="1" applyAlignment="1">
      <alignment vertical="center" wrapText="1"/>
    </xf>
    <xf numFmtId="0" fontId="26" fillId="35" borderId="10" xfId="0" applyFont="1" applyFill="1" applyBorder="1" applyAlignment="1">
      <alignment vertical="center" wrapText="1"/>
    </xf>
    <xf numFmtId="1" fontId="1" fillId="35" borderId="10" xfId="0" applyNumberFormat="1" applyFont="1" applyFill="1" applyBorder="1" applyAlignment="1">
      <alignment horizontal="center" vertical="center" wrapText="1"/>
    </xf>
    <xf numFmtId="1" fontId="89" fillId="35" borderId="10" xfId="0" applyNumberFormat="1" applyFont="1" applyFill="1" applyBorder="1" applyAlignment="1">
      <alignment vertical="center" wrapText="1"/>
    </xf>
    <xf numFmtId="0" fontId="1" fillId="35" borderId="10" xfId="0" applyFont="1" applyFill="1" applyBorder="1" applyAlignment="1">
      <alignment wrapText="1"/>
    </xf>
    <xf numFmtId="1" fontId="1" fillId="35" borderId="10" xfId="0" applyNumberFormat="1" applyFont="1" applyFill="1" applyBorder="1" applyAlignment="1">
      <alignment wrapText="1"/>
    </xf>
    <xf numFmtId="1" fontId="29" fillId="35" borderId="10" xfId="0" applyNumberFormat="1" applyFont="1" applyFill="1" applyBorder="1" applyAlignment="1">
      <alignment wrapText="1"/>
    </xf>
    <xf numFmtId="0" fontId="30" fillId="35" borderId="10" xfId="0" applyFont="1" applyFill="1" applyBorder="1" applyAlignment="1">
      <alignment wrapText="1"/>
    </xf>
    <xf numFmtId="1" fontId="30" fillId="35" borderId="10" xfId="0" applyNumberFormat="1" applyFont="1" applyFill="1" applyBorder="1" applyAlignment="1">
      <alignment wrapText="1"/>
    </xf>
    <xf numFmtId="0" fontId="15" fillId="35" borderId="10" xfId="0" applyFont="1" applyFill="1" applyBorder="1" applyAlignment="1">
      <alignment wrapText="1"/>
    </xf>
    <xf numFmtId="0" fontId="36" fillId="35" borderId="10" xfId="0" applyFont="1" applyFill="1" applyBorder="1" applyAlignment="1">
      <alignment wrapText="1"/>
    </xf>
    <xf numFmtId="0" fontId="1" fillId="35" borderId="0" xfId="0" applyFont="1" applyFill="1" applyAlignment="1">
      <alignment wrapText="1"/>
    </xf>
    <xf numFmtId="1" fontId="90" fillId="35" borderId="10" xfId="0" applyNumberFormat="1" applyFont="1" applyFill="1" applyBorder="1" applyAlignment="1">
      <alignment wrapText="1"/>
    </xf>
    <xf numFmtId="49" fontId="2" fillId="35" borderId="11"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wrapText="1"/>
    </xf>
    <xf numFmtId="0" fontId="2" fillId="35" borderId="12" xfId="0" applyFont="1" applyFill="1" applyBorder="1" applyAlignment="1">
      <alignment horizontal="center" vertical="center" wrapText="1"/>
    </xf>
    <xf numFmtId="0" fontId="1" fillId="35" borderId="0" xfId="0" applyFont="1" applyFill="1" applyAlignment="1">
      <alignment horizontal="center" vertical="center" wrapText="1"/>
    </xf>
    <xf numFmtId="0" fontId="89" fillId="35" borderId="13" xfId="0" applyFont="1" applyFill="1" applyBorder="1" applyAlignment="1">
      <alignment horizontal="center" vertical="center" wrapText="1"/>
    </xf>
    <xf numFmtId="0" fontId="2" fillId="35" borderId="0" xfId="0" applyFont="1" applyFill="1" applyAlignment="1">
      <alignment horizontal="center" vertical="center" wrapText="1"/>
    </xf>
    <xf numFmtId="0" fontId="2" fillId="35" borderId="0" xfId="0" applyFont="1" applyFill="1" applyAlignment="1">
      <alignment wrapText="1"/>
    </xf>
    <xf numFmtId="0" fontId="1" fillId="35" borderId="0" xfId="0" applyFont="1" applyFill="1" applyBorder="1" applyAlignment="1">
      <alignment wrapText="1"/>
    </xf>
    <xf numFmtId="0" fontId="27" fillId="35" borderId="0" xfId="0" applyFont="1" applyFill="1" applyAlignment="1">
      <alignment wrapText="1"/>
    </xf>
    <xf numFmtId="0" fontId="3" fillId="35" borderId="0" xfId="0" applyFont="1" applyFill="1" applyAlignment="1">
      <alignment wrapText="1"/>
    </xf>
    <xf numFmtId="0" fontId="3" fillId="35" borderId="0" xfId="0" applyFont="1" applyFill="1" applyBorder="1" applyAlignment="1">
      <alignment wrapText="1"/>
    </xf>
    <xf numFmtId="0" fontId="6" fillId="35" borderId="10" xfId="0" applyFont="1" applyFill="1" applyBorder="1" applyAlignment="1">
      <alignment horizontal="center" vertical="center" wrapText="1"/>
    </xf>
    <xf numFmtId="1" fontId="2" fillId="35" borderId="0" xfId="0" applyNumberFormat="1" applyFont="1" applyFill="1" applyAlignment="1">
      <alignment horizontal="center" vertical="center" wrapText="1"/>
    </xf>
    <xf numFmtId="1" fontId="1" fillId="35" borderId="0" xfId="0" applyNumberFormat="1" applyFont="1" applyFill="1" applyBorder="1" applyAlignment="1">
      <alignment horizontal="center" vertical="center" wrapText="1"/>
    </xf>
    <xf numFmtId="1" fontId="1" fillId="35" borderId="0" xfId="0" applyNumberFormat="1" applyFont="1" applyFill="1" applyAlignment="1">
      <alignment horizontal="center" vertical="center" wrapText="1"/>
    </xf>
    <xf numFmtId="0" fontId="28" fillId="35" borderId="0" xfId="0" applyFont="1" applyFill="1" applyAlignment="1">
      <alignment horizontal="center" vertical="center" wrapText="1"/>
    </xf>
    <xf numFmtId="0" fontId="21" fillId="35" borderId="0" xfId="0" applyFont="1" applyFill="1" applyAlignment="1">
      <alignment horizontal="center" vertical="center" wrapText="1"/>
    </xf>
    <xf numFmtId="0" fontId="21" fillId="35" borderId="0" xfId="0" applyFont="1" applyFill="1" applyBorder="1" applyAlignment="1">
      <alignment horizontal="center" vertical="center" wrapText="1"/>
    </xf>
    <xf numFmtId="1" fontId="91" fillId="35" borderId="0" xfId="0" applyNumberFormat="1" applyFont="1" applyFill="1" applyAlignment="1">
      <alignment horizontal="center" vertical="center" wrapText="1"/>
    </xf>
    <xf numFmtId="0" fontId="89" fillId="35" borderId="0" xfId="0" applyFont="1" applyFill="1" applyAlignment="1">
      <alignment horizontal="center" vertical="center" wrapText="1"/>
    </xf>
    <xf numFmtId="1" fontId="89" fillId="35" borderId="0" xfId="0" applyNumberFormat="1" applyFont="1" applyFill="1" applyAlignment="1">
      <alignment horizontal="center" vertical="center" wrapText="1"/>
    </xf>
    <xf numFmtId="0" fontId="89" fillId="35" borderId="0" xfId="0" applyFont="1" applyFill="1" applyBorder="1" applyAlignment="1">
      <alignment horizontal="center" vertical="center" wrapText="1"/>
    </xf>
    <xf numFmtId="0" fontId="2" fillId="35" borderId="0" xfId="0" applyFont="1" applyFill="1" applyBorder="1" applyAlignment="1">
      <alignment horizontal="center" vertical="center" wrapText="1"/>
    </xf>
    <xf numFmtId="1" fontId="2" fillId="35" borderId="0" xfId="0" applyNumberFormat="1" applyFont="1" applyFill="1" applyAlignment="1">
      <alignment vertical="center" wrapText="1"/>
    </xf>
    <xf numFmtId="1" fontId="1" fillId="35" borderId="0" xfId="0" applyNumberFormat="1" applyFont="1" applyFill="1" applyAlignment="1">
      <alignment vertical="center" wrapText="1"/>
    </xf>
    <xf numFmtId="0" fontId="1" fillId="35" borderId="0" xfId="0" applyFont="1" applyFill="1" applyAlignment="1">
      <alignment vertical="center" wrapText="1"/>
    </xf>
    <xf numFmtId="0" fontId="1" fillId="35" borderId="0" xfId="0" applyFont="1" applyFill="1" applyBorder="1" applyAlignment="1">
      <alignment vertical="center" wrapText="1"/>
    </xf>
    <xf numFmtId="0" fontId="33" fillId="35" borderId="0" xfId="0" applyFont="1" applyFill="1" applyAlignment="1">
      <alignment/>
    </xf>
    <xf numFmtId="0" fontId="34" fillId="35" borderId="0" xfId="0" applyFont="1" applyFill="1" applyAlignment="1">
      <alignment/>
    </xf>
    <xf numFmtId="0" fontId="33" fillId="35" borderId="0" xfId="0" applyFont="1" applyFill="1" applyBorder="1" applyAlignment="1">
      <alignment/>
    </xf>
    <xf numFmtId="1" fontId="32" fillId="35" borderId="0" xfId="0" applyNumberFormat="1" applyFont="1" applyFill="1" applyAlignment="1">
      <alignment wrapText="1"/>
    </xf>
    <xf numFmtId="1" fontId="37" fillId="35" borderId="0" xfId="0" applyNumberFormat="1" applyFont="1" applyFill="1" applyAlignment="1">
      <alignment wrapText="1"/>
    </xf>
    <xf numFmtId="0" fontId="31" fillId="35" borderId="0" xfId="0" applyFont="1" applyFill="1" applyAlignment="1">
      <alignment wrapText="1"/>
    </xf>
    <xf numFmtId="0" fontId="29" fillId="35" borderId="0" xfId="0" applyFont="1" applyFill="1" applyAlignment="1">
      <alignment wrapText="1"/>
    </xf>
    <xf numFmtId="0" fontId="29" fillId="35" borderId="0" xfId="0" applyFont="1" applyFill="1" applyBorder="1" applyAlignment="1">
      <alignment wrapText="1"/>
    </xf>
    <xf numFmtId="0" fontId="30" fillId="35" borderId="0" xfId="0" applyFont="1" applyFill="1" applyAlignment="1">
      <alignment wrapText="1"/>
    </xf>
    <xf numFmtId="0" fontId="30" fillId="35" borderId="0" xfId="0" applyFont="1" applyFill="1" applyBorder="1" applyAlignment="1">
      <alignment wrapText="1"/>
    </xf>
    <xf numFmtId="0" fontId="92" fillId="35" borderId="0" xfId="0" applyFont="1" applyFill="1" applyAlignment="1">
      <alignment horizontal="center" vertical="center" wrapText="1"/>
    </xf>
    <xf numFmtId="1" fontId="92" fillId="35" borderId="0" xfId="0" applyNumberFormat="1" applyFont="1" applyFill="1" applyAlignment="1">
      <alignment horizontal="center" vertical="center" wrapText="1"/>
    </xf>
    <xf numFmtId="0" fontId="93" fillId="35" borderId="0" xfId="0" applyFont="1" applyFill="1" applyAlignment="1">
      <alignment horizontal="center" vertical="center" wrapText="1"/>
    </xf>
    <xf numFmtId="0" fontId="93" fillId="35" borderId="0" xfId="0" applyFont="1" applyFill="1" applyBorder="1" applyAlignment="1">
      <alignment horizontal="center" vertical="center" wrapText="1"/>
    </xf>
    <xf numFmtId="0" fontId="92" fillId="35" borderId="0" xfId="0" applyFont="1" applyFill="1" applyBorder="1" applyAlignment="1">
      <alignment horizontal="center" vertical="center" wrapText="1"/>
    </xf>
    <xf numFmtId="1" fontId="2" fillId="35" borderId="0" xfId="0" applyNumberFormat="1" applyFont="1" applyFill="1" applyBorder="1" applyAlignment="1">
      <alignment vertical="center" wrapText="1"/>
    </xf>
    <xf numFmtId="1" fontId="2" fillId="35" borderId="0" xfId="0" applyNumberFormat="1" applyFont="1" applyFill="1" applyBorder="1" applyAlignment="1">
      <alignment horizontal="right" vertical="center" wrapText="1"/>
    </xf>
    <xf numFmtId="49" fontId="1" fillId="35" borderId="11" xfId="0" applyNumberFormat="1" applyFont="1" applyFill="1" applyBorder="1" applyAlignment="1">
      <alignment vertical="center" wrapText="1"/>
    </xf>
    <xf numFmtId="0" fontId="2" fillId="35" borderId="0" xfId="0" applyFont="1" applyFill="1" applyBorder="1" applyAlignment="1">
      <alignment horizontal="right" vertical="center" wrapText="1"/>
    </xf>
    <xf numFmtId="0" fontId="9" fillId="35" borderId="0" xfId="0" applyFont="1" applyFill="1" applyBorder="1" applyAlignment="1">
      <alignment horizontal="right" wrapText="1"/>
    </xf>
    <xf numFmtId="0" fontId="9" fillId="35" borderId="0" xfId="0" applyFont="1" applyFill="1" applyBorder="1" applyAlignment="1">
      <alignment horizontal="right"/>
    </xf>
    <xf numFmtId="0" fontId="27" fillId="35" borderId="0" xfId="0" applyFont="1" applyFill="1" applyBorder="1" applyAlignment="1">
      <alignment horizontal="right" wrapText="1"/>
    </xf>
    <xf numFmtId="0" fontId="2" fillId="35" borderId="0" xfId="0" applyFont="1" applyFill="1" applyBorder="1" applyAlignment="1">
      <alignment horizontal="right" wrapText="1"/>
    </xf>
    <xf numFmtId="1" fontId="34" fillId="35" borderId="0" xfId="0" applyNumberFormat="1" applyFont="1" applyFill="1" applyBorder="1" applyAlignment="1">
      <alignment horizontal="right"/>
    </xf>
    <xf numFmtId="1" fontId="2" fillId="35" borderId="0" xfId="0" applyNumberFormat="1" applyFont="1" applyFill="1" applyBorder="1" applyAlignment="1">
      <alignment horizontal="right" wrapText="1"/>
    </xf>
    <xf numFmtId="0" fontId="1" fillId="35" borderId="0" xfId="0" applyFont="1" applyFill="1" applyBorder="1" applyAlignment="1">
      <alignment horizontal="right" wrapText="1"/>
    </xf>
    <xf numFmtId="0" fontId="31" fillId="35" borderId="0" xfId="0" applyFont="1" applyFill="1" applyBorder="1" applyAlignment="1">
      <alignment horizontal="right" wrapText="1"/>
    </xf>
    <xf numFmtId="0" fontId="30" fillId="35" borderId="0" xfId="0" applyFont="1" applyFill="1" applyBorder="1" applyAlignment="1">
      <alignment horizontal="right" wrapText="1"/>
    </xf>
    <xf numFmtId="0" fontId="17" fillId="35" borderId="0" xfId="0" applyFont="1" applyFill="1" applyBorder="1" applyAlignment="1">
      <alignment horizontal="right" wrapText="1"/>
    </xf>
    <xf numFmtId="1" fontId="17" fillId="35" borderId="0" xfId="0" applyNumberFormat="1" applyFont="1" applyFill="1" applyBorder="1" applyAlignment="1">
      <alignment horizontal="right" wrapText="1"/>
    </xf>
    <xf numFmtId="0" fontId="1" fillId="35" borderId="0" xfId="0" applyFont="1" applyFill="1" applyBorder="1" applyAlignment="1">
      <alignment horizontal="center" vertical="center" wrapText="1"/>
    </xf>
    <xf numFmtId="0" fontId="1" fillId="35" borderId="11" xfId="0" applyFont="1" applyFill="1" applyBorder="1" applyAlignment="1">
      <alignment vertical="center" wrapText="1"/>
    </xf>
    <xf numFmtId="0" fontId="94" fillId="35" borderId="0" xfId="0" applyFont="1" applyFill="1" applyAlignment="1">
      <alignment horizontal="center" vertical="center" wrapText="1"/>
    </xf>
    <xf numFmtId="0" fontId="95" fillId="35" borderId="0" xfId="0" applyFont="1" applyFill="1" applyAlignment="1">
      <alignment horizontal="center" vertical="center" wrapText="1"/>
    </xf>
    <xf numFmtId="0" fontId="95" fillId="35" borderId="0" xfId="0" applyFont="1" applyFill="1" applyBorder="1" applyAlignment="1">
      <alignment horizontal="center" vertical="center" wrapText="1"/>
    </xf>
    <xf numFmtId="0" fontId="38" fillId="35" borderId="14" xfId="0" applyFont="1" applyFill="1" applyBorder="1" applyAlignment="1">
      <alignment horizontal="left"/>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2"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0" fontId="1" fillId="36" borderId="0"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17" fillId="35" borderId="0" xfId="0" applyNumberFormat="1" applyFont="1" applyFill="1" applyAlignment="1">
      <alignment wrapText="1"/>
    </xf>
    <xf numFmtId="1" fontId="2" fillId="35" borderId="0" xfId="0" applyNumberFormat="1" applyFont="1" applyFill="1" applyAlignment="1">
      <alignment wrapText="1"/>
    </xf>
    <xf numFmtId="1" fontId="1" fillId="36" borderId="0" xfId="0" applyNumberFormat="1" applyFont="1" applyFill="1" applyAlignment="1">
      <alignment horizontal="center" vertical="center" wrapText="1"/>
    </xf>
    <xf numFmtId="1" fontId="1" fillId="35" borderId="0" xfId="0" applyNumberFormat="1" applyFont="1" applyFill="1" applyAlignment="1">
      <alignment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0" fontId="2" fillId="35" borderId="12" xfId="0"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96" fillId="35" borderId="0" xfId="0" applyFont="1" applyFill="1" applyBorder="1" applyAlignment="1">
      <alignment horizontal="right" wrapText="1"/>
    </xf>
    <xf numFmtId="0" fontId="97" fillId="35" borderId="0" xfId="0" applyFont="1" applyFill="1" applyAlignment="1">
      <alignment wrapText="1"/>
    </xf>
    <xf numFmtId="1" fontId="15" fillId="36" borderId="10" xfId="0" applyNumberFormat="1" applyFont="1" applyFill="1" applyBorder="1" applyAlignment="1">
      <alignment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35" borderId="10" xfId="0" applyFont="1" applyFill="1" applyBorder="1" applyAlignment="1">
      <alignment horizontal="center" vertical="center" wrapText="1"/>
    </xf>
    <xf numFmtId="1" fontId="17" fillId="35" borderId="0" xfId="0" applyNumberFormat="1" applyFont="1" applyFill="1" applyBorder="1" applyAlignment="1">
      <alignment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98" fillId="35" borderId="10" xfId="0" applyNumberFormat="1" applyFont="1" applyFill="1" applyBorder="1" applyAlignment="1">
      <alignment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2" fontId="1" fillId="35" borderId="10" xfId="58" applyNumberFormat="1"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6" xfId="0" applyFont="1" applyFill="1" applyBorder="1" applyAlignment="1">
      <alignment horizontal="center" vertical="center" wrapText="1"/>
    </xf>
    <xf numFmtId="49" fontId="1" fillId="35" borderId="0" xfId="0" applyNumberFormat="1" applyFont="1" applyFill="1" applyBorder="1" applyAlignment="1">
      <alignment horizontal="center" vertical="center" wrapText="1"/>
    </xf>
    <xf numFmtId="0" fontId="0" fillId="0" borderId="10" xfId="0" applyFill="1" applyBorder="1" applyAlignment="1">
      <alignment horizontal="left" wrapText="1"/>
    </xf>
    <xf numFmtId="0" fontId="99" fillId="0" borderId="10" xfId="0" applyFont="1" applyFill="1" applyBorder="1" applyAlignment="1">
      <alignment horizontal="left" wrapText="1"/>
    </xf>
    <xf numFmtId="0" fontId="0" fillId="0" borderId="10" xfId="0" applyBorder="1" applyAlignment="1">
      <alignment horizontal="left" wrapText="1"/>
    </xf>
    <xf numFmtId="0" fontId="99" fillId="0" borderId="10" xfId="0" applyFont="1" applyBorder="1" applyAlignment="1">
      <alignment horizontal="left" wrapText="1"/>
    </xf>
    <xf numFmtId="0" fontId="1" fillId="35" borderId="10" xfId="0" applyFont="1" applyFill="1" applyBorder="1" applyAlignment="1">
      <alignment horizontal="left" vertical="center" wrapText="1"/>
    </xf>
    <xf numFmtId="49" fontId="100" fillId="35" borderId="11" xfId="0" applyNumberFormat="1" applyFont="1" applyFill="1" applyBorder="1" applyAlignment="1">
      <alignment horizontal="center" vertical="center" wrapText="1"/>
    </xf>
    <xf numFmtId="0" fontId="100" fillId="35" borderId="11" xfId="0" applyFont="1" applyFill="1" applyBorder="1" applyAlignment="1">
      <alignment horizontal="center" vertical="center" wrapText="1"/>
    </xf>
    <xf numFmtId="0" fontId="100" fillId="35" borderId="13" xfId="0" applyFont="1" applyFill="1" applyBorder="1" applyAlignment="1">
      <alignment horizontal="center" vertical="center" wrapText="1"/>
    </xf>
    <xf numFmtId="0" fontId="1" fillId="35" borderId="11" xfId="0" applyFont="1" applyFill="1" applyBorder="1" applyAlignment="1">
      <alignment horizontal="left" vertical="center" wrapText="1"/>
    </xf>
    <xf numFmtId="49" fontId="101" fillId="35" borderId="11" xfId="0" applyNumberFormat="1" applyFont="1" applyFill="1" applyBorder="1" applyAlignment="1">
      <alignment horizontal="center" vertical="center" wrapText="1"/>
    </xf>
    <xf numFmtId="0" fontId="101" fillId="35" borderId="10" xfId="0" applyFont="1" applyFill="1" applyBorder="1" applyAlignment="1">
      <alignment horizontal="center" vertical="center" wrapText="1"/>
    </xf>
    <xf numFmtId="0" fontId="1" fillId="35" borderId="0" xfId="0" applyFont="1" applyFill="1" applyBorder="1" applyAlignment="1">
      <alignment horizontal="left" vertical="center" wrapText="1"/>
    </xf>
    <xf numFmtId="49" fontId="0" fillId="0" borderId="10" xfId="0" applyNumberFormat="1" applyBorder="1" applyAlignment="1">
      <alignment horizontal="center" vertical="center"/>
    </xf>
    <xf numFmtId="0" fontId="26"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1" fontId="1" fillId="35" borderId="13"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1" fontId="2" fillId="35" borderId="12" xfId="0" applyNumberFormat="1"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39" fillId="0" borderId="10" xfId="0" applyFont="1" applyBorder="1" applyAlignment="1">
      <alignment horizontal="left" wrapText="1"/>
    </xf>
    <xf numFmtId="0" fontId="11" fillId="35" borderId="1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0" fillId="0" borderId="10" xfId="0" applyNumberFormat="1" applyFont="1" applyFill="1" applyBorder="1" applyAlignment="1">
      <alignment/>
    </xf>
    <xf numFmtId="0" fontId="0" fillId="0" borderId="0" xfId="0" applyFont="1" applyAlignment="1">
      <alignment/>
    </xf>
    <xf numFmtId="0" fontId="8" fillId="0" borderId="0" xfId="0" applyFont="1" applyFill="1" applyAlignment="1">
      <alignment/>
    </xf>
    <xf numFmtId="49" fontId="1" fillId="35" borderId="13" xfId="0" applyNumberFormat="1" applyFont="1" applyFill="1" applyBorder="1" applyAlignment="1">
      <alignment horizontal="center" vertical="center" wrapText="1"/>
    </xf>
    <xf numFmtId="1" fontId="1" fillId="35" borderId="0" xfId="0" applyNumberFormat="1" applyFont="1" applyFill="1" applyBorder="1" applyAlignment="1">
      <alignment horizontal="right" vertical="center" wrapText="1"/>
    </xf>
    <xf numFmtId="0" fontId="1" fillId="35" borderId="0" xfId="0" applyFont="1" applyFill="1" applyBorder="1" applyAlignment="1">
      <alignment horizontal="right" vertical="center"/>
    </xf>
    <xf numFmtId="1" fontId="26" fillId="35" borderId="0" xfId="0" applyNumberFormat="1" applyFont="1" applyFill="1" applyBorder="1" applyAlignment="1">
      <alignment horizontal="right" vertical="center" wrapText="1"/>
    </xf>
    <xf numFmtId="1" fontId="89" fillId="35" borderId="0" xfId="0" applyNumberFormat="1" applyFont="1" applyFill="1" applyBorder="1" applyAlignment="1">
      <alignment vertical="center" wrapText="1"/>
    </xf>
    <xf numFmtId="1" fontId="1" fillId="35" borderId="0" xfId="0" applyNumberFormat="1" applyFont="1" applyFill="1" applyBorder="1" applyAlignment="1">
      <alignment vertical="center" wrapText="1"/>
    </xf>
    <xf numFmtId="0" fontId="1" fillId="35" borderId="0" xfId="0" applyFont="1" applyFill="1" applyBorder="1" applyAlignment="1">
      <alignment horizontal="right" vertical="center" wrapText="1"/>
    </xf>
    <xf numFmtId="1" fontId="1" fillId="35" borderId="0" xfId="0" applyNumberFormat="1" applyFont="1" applyFill="1" applyBorder="1" applyAlignment="1">
      <alignment horizontal="right" vertical="center"/>
    </xf>
    <xf numFmtId="0" fontId="26" fillId="35" borderId="0" xfId="0" applyFont="1" applyFill="1" applyBorder="1" applyAlignment="1">
      <alignment horizontal="right" vertical="center" wrapText="1"/>
    </xf>
    <xf numFmtId="1" fontId="26" fillId="35" borderId="0" xfId="0" applyNumberFormat="1" applyFont="1" applyFill="1" applyBorder="1" applyAlignment="1">
      <alignment vertical="center" wrapText="1"/>
    </xf>
    <xf numFmtId="1" fontId="102" fillId="35" borderId="0" xfId="0" applyNumberFormat="1" applyFont="1" applyFill="1" applyBorder="1" applyAlignment="1">
      <alignment horizontal="right" vertical="center" wrapText="1"/>
    </xf>
    <xf numFmtId="2" fontId="1" fillId="35" borderId="0" xfId="58" applyNumberFormat="1" applyFont="1" applyFill="1" applyBorder="1" applyAlignment="1">
      <alignment vertical="center" wrapText="1"/>
    </xf>
    <xf numFmtId="0" fontId="89" fillId="35" borderId="0" xfId="0" applyFont="1" applyFill="1" applyBorder="1" applyAlignment="1">
      <alignment horizontal="right" vertical="center" wrapText="1"/>
    </xf>
    <xf numFmtId="0" fontId="2" fillId="35" borderId="0" xfId="0" applyFont="1" applyFill="1" applyBorder="1" applyAlignment="1">
      <alignment vertical="center" wrapText="1"/>
    </xf>
    <xf numFmtId="0" fontId="26" fillId="35" borderId="0" xfId="0" applyFont="1" applyFill="1" applyBorder="1" applyAlignment="1">
      <alignment vertical="center" wrapText="1"/>
    </xf>
    <xf numFmtId="1" fontId="26" fillId="35" borderId="0" xfId="0" applyNumberFormat="1" applyFont="1" applyFill="1" applyBorder="1" applyAlignment="1">
      <alignment vertical="center" wrapText="1"/>
    </xf>
    <xf numFmtId="1" fontId="103" fillId="35" borderId="0" xfId="0" applyNumberFormat="1" applyFont="1" applyFill="1" applyBorder="1" applyAlignment="1">
      <alignment horizontal="right" vertical="center" wrapText="1"/>
    </xf>
    <xf numFmtId="0" fontId="95" fillId="35" borderId="0" xfId="0" applyFont="1" applyFill="1" applyBorder="1" applyAlignment="1">
      <alignment horizontal="right" vertical="center" wrapText="1"/>
    </xf>
    <xf numFmtId="1" fontId="99" fillId="0" borderId="0" xfId="0" applyNumberFormat="1" applyFont="1" applyBorder="1" applyAlignment="1">
      <alignment horizontal="right"/>
    </xf>
    <xf numFmtId="1" fontId="39" fillId="0" borderId="0" xfId="0" applyNumberFormat="1" applyFont="1" applyBorder="1" applyAlignment="1">
      <alignment horizontal="right"/>
    </xf>
    <xf numFmtId="1" fontId="8" fillId="0" borderId="0" xfId="0" applyNumberFormat="1" applyFont="1" applyFill="1" applyBorder="1" applyAlignment="1">
      <alignment horizontal="right"/>
    </xf>
    <xf numFmtId="1" fontId="89" fillId="35" borderId="0" xfId="0" applyNumberFormat="1" applyFont="1" applyFill="1" applyBorder="1" applyAlignment="1">
      <alignment horizontal="right" vertical="center" wrapText="1"/>
    </xf>
    <xf numFmtId="49" fontId="0" fillId="0" borderId="10" xfId="0" applyNumberFormat="1" applyFill="1" applyBorder="1" applyAlignment="1">
      <alignment horizontal="center" vertical="center"/>
    </xf>
    <xf numFmtId="0" fontId="1" fillId="37"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49" fontId="1" fillId="0" borderId="11" xfId="0" applyNumberFormat="1" applyFont="1" applyBorder="1" applyAlignment="1">
      <alignment horizontal="center" vertical="center"/>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49" fontId="1" fillId="0" borderId="10" xfId="0" applyNumberFormat="1" applyFont="1" applyBorder="1" applyAlignment="1">
      <alignment horizontal="center" vertical="center"/>
    </xf>
    <xf numFmtId="3" fontId="30" fillId="35" borderId="10" xfId="0" applyNumberFormat="1" applyFont="1" applyFill="1" applyBorder="1" applyAlignment="1">
      <alignment wrapText="1"/>
    </xf>
    <xf numFmtId="3" fontId="2" fillId="35" borderId="10" xfId="0" applyNumberFormat="1" applyFont="1" applyFill="1" applyBorder="1" applyAlignment="1">
      <alignment vertical="center" wrapText="1"/>
    </xf>
    <xf numFmtId="3" fontId="104" fillId="35" borderId="10" xfId="0" applyNumberFormat="1" applyFont="1" applyFill="1" applyBorder="1" applyAlignment="1">
      <alignment wrapText="1"/>
    </xf>
    <xf numFmtId="1" fontId="2" fillId="35" borderId="0" xfId="0" applyNumberFormat="1" applyFont="1" applyFill="1" applyBorder="1" applyAlignment="1">
      <alignment horizontal="center" vertical="center" wrapText="1"/>
    </xf>
    <xf numFmtId="1" fontId="0" fillId="0" borderId="0" xfId="0" applyNumberFormat="1" applyFont="1" applyFill="1" applyBorder="1" applyAlignment="1">
      <alignment/>
    </xf>
    <xf numFmtId="0" fontId="0" fillId="0" borderId="0" xfId="0" applyFont="1" applyBorder="1" applyAlignment="1">
      <alignment/>
    </xf>
    <xf numFmtId="0" fontId="8" fillId="0" borderId="0" xfId="0" applyFont="1" applyFill="1" applyBorder="1" applyAlignment="1">
      <alignment/>
    </xf>
    <xf numFmtId="0" fontId="103" fillId="36" borderId="10" xfId="0" applyFont="1" applyFill="1" applyBorder="1" applyAlignment="1">
      <alignment horizontal="center" vertical="center" wrapText="1"/>
    </xf>
    <xf numFmtId="1" fontId="95" fillId="35" borderId="0" xfId="0" applyNumberFormat="1" applyFont="1" applyFill="1" applyBorder="1" applyAlignment="1">
      <alignment horizontal="right" vertical="center" wrapText="1"/>
    </xf>
    <xf numFmtId="1" fontId="95" fillId="35" borderId="0" xfId="0" applyNumberFormat="1" applyFont="1" applyFill="1" applyBorder="1" applyAlignment="1">
      <alignment vertical="center" wrapText="1"/>
    </xf>
    <xf numFmtId="0" fontId="41" fillId="0" borderId="10" xfId="0" applyFont="1" applyBorder="1" applyAlignment="1">
      <alignment vertical="center" wrapText="1"/>
    </xf>
    <xf numFmtId="0" fontId="41" fillId="0" borderId="10" xfId="0" applyFont="1" applyFill="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49" fontId="1" fillId="0" borderId="11" xfId="0" applyNumberFormat="1" applyFont="1" applyFill="1" applyBorder="1" applyAlignment="1">
      <alignment horizontal="center" vertical="center"/>
    </xf>
    <xf numFmtId="0" fontId="1" fillId="0" borderId="11" xfId="0" applyFont="1" applyFill="1" applyBorder="1" applyAlignment="1">
      <alignment vertical="center" wrapText="1"/>
    </xf>
    <xf numFmtId="0" fontId="105" fillId="0" borderId="10" xfId="0" applyFont="1" applyFill="1" applyBorder="1" applyAlignment="1">
      <alignment horizontal="center" vertical="center" wrapText="1"/>
    </xf>
    <xf numFmtId="0" fontId="105" fillId="0" borderId="10" xfId="0" applyFont="1" applyBorder="1" applyAlignment="1">
      <alignment horizontal="center" vertical="center" wrapText="1"/>
    </xf>
    <xf numFmtId="0" fontId="1" fillId="35" borderId="15" xfId="0" applyFont="1" applyFill="1" applyBorder="1" applyAlignment="1">
      <alignment horizontal="left" vertical="center" wrapText="1"/>
    </xf>
    <xf numFmtId="49" fontId="2" fillId="35" borderId="15" xfId="0" applyNumberFormat="1" applyFont="1" applyFill="1" applyBorder="1" applyAlignment="1">
      <alignment horizontal="center" vertical="center" wrapText="1"/>
    </xf>
    <xf numFmtId="0" fontId="2" fillId="35" borderId="10" xfId="0" applyFont="1" applyFill="1" applyBorder="1" applyAlignment="1">
      <alignment horizontal="center" vertical="center"/>
    </xf>
    <xf numFmtId="49" fontId="1" fillId="35" borderId="11" xfId="0" applyNumberFormat="1"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38" fillId="35" borderId="18" xfId="0" applyFont="1" applyFill="1" applyBorder="1" applyAlignment="1">
      <alignment horizontal="left"/>
    </xf>
    <xf numFmtId="1" fontId="1" fillId="35" borderId="15" xfId="0" applyNumberFormat="1" applyFont="1" applyFill="1" applyBorder="1" applyAlignment="1">
      <alignment wrapText="1"/>
    </xf>
    <xf numFmtId="0" fontId="1" fillId="35" borderId="15" xfId="0" applyFont="1" applyFill="1" applyBorder="1" applyAlignment="1">
      <alignment wrapText="1"/>
    </xf>
    <xf numFmtId="1" fontId="29" fillId="35" borderId="15" xfId="0" applyNumberFormat="1" applyFont="1" applyFill="1" applyBorder="1" applyAlignment="1">
      <alignment wrapText="1"/>
    </xf>
    <xf numFmtId="1" fontId="90" fillId="35" borderId="15" xfId="0" applyNumberFormat="1" applyFont="1" applyFill="1" applyBorder="1" applyAlignment="1">
      <alignment wrapText="1"/>
    </xf>
    <xf numFmtId="1" fontId="98" fillId="35" borderId="15" xfId="0" applyNumberFormat="1" applyFont="1" applyFill="1" applyBorder="1" applyAlignment="1">
      <alignment wrapText="1"/>
    </xf>
    <xf numFmtId="1" fontId="15" fillId="35" borderId="15" xfId="0" applyNumberFormat="1" applyFont="1" applyFill="1" applyBorder="1" applyAlignment="1">
      <alignment wrapText="1"/>
    </xf>
    <xf numFmtId="0" fontId="15" fillId="35" borderId="15" xfId="0" applyFont="1" applyFill="1" applyBorder="1" applyAlignment="1">
      <alignment wrapText="1"/>
    </xf>
    <xf numFmtId="3" fontId="104" fillId="35" borderId="15" xfId="0" applyNumberFormat="1" applyFont="1" applyFill="1" applyBorder="1" applyAlignment="1">
      <alignment wrapText="1"/>
    </xf>
    <xf numFmtId="1" fontId="15" fillId="35" borderId="13" xfId="0" applyNumberFormat="1" applyFont="1" applyFill="1" applyBorder="1" applyAlignment="1">
      <alignment wrapText="1"/>
    </xf>
    <xf numFmtId="1" fontId="32" fillId="35" borderId="10" xfId="0" applyNumberFormat="1" applyFont="1" applyFill="1" applyBorder="1" applyAlignment="1">
      <alignment vertical="center" wrapText="1"/>
    </xf>
    <xf numFmtId="1" fontId="37" fillId="35" borderId="10" xfId="0" applyNumberFormat="1" applyFont="1" applyFill="1" applyBorder="1" applyAlignment="1">
      <alignment wrapText="1"/>
    </xf>
    <xf numFmtId="0" fontId="1" fillId="35" borderId="13" xfId="0" applyFont="1" applyFill="1" applyBorder="1" applyAlignment="1">
      <alignment horizontal="center" vertical="center" wrapText="1"/>
    </xf>
    <xf numFmtId="1" fontId="1" fillId="35" borderId="12" xfId="0" applyNumberFormat="1" applyFont="1" applyFill="1" applyBorder="1" applyAlignment="1">
      <alignment vertical="center" wrapText="1"/>
    </xf>
    <xf numFmtId="0" fontId="38" fillId="35" borderId="0" xfId="0" applyFont="1" applyFill="1" applyBorder="1" applyAlignment="1">
      <alignment horizontal="left"/>
    </xf>
    <xf numFmtId="0" fontId="35" fillId="35" borderId="0" xfId="0" applyFont="1" applyFill="1" applyBorder="1" applyAlignment="1">
      <alignment/>
    </xf>
    <xf numFmtId="0" fontId="14" fillId="34" borderId="10" xfId="0" applyFont="1" applyFill="1" applyBorder="1" applyAlignment="1">
      <alignment vertical="center" wrapText="1"/>
    </xf>
    <xf numFmtId="0" fontId="1" fillId="35" borderId="10" xfId="0" applyFont="1" applyFill="1" applyBorder="1" applyAlignment="1">
      <alignment vertical="center" wrapText="1"/>
    </xf>
    <xf numFmtId="49" fontId="106" fillId="0" borderId="1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105" fillId="0" borderId="10" xfId="0" applyNumberFormat="1" applyFont="1" applyBorder="1" applyAlignment="1">
      <alignment horizontal="center" vertical="center"/>
    </xf>
    <xf numFmtId="49" fontId="105" fillId="0" borderId="10" xfId="0" applyNumberFormat="1" applyFont="1" applyFill="1" applyBorder="1" applyAlignment="1">
      <alignment horizontal="center" vertical="center"/>
    </xf>
    <xf numFmtId="49" fontId="18" fillId="0" borderId="10" xfId="0" applyNumberFormat="1" applyFont="1" applyBorder="1" applyAlignment="1">
      <alignment horizontal="center" vertical="center"/>
    </xf>
    <xf numFmtId="49" fontId="103" fillId="0" borderId="10" xfId="0" applyNumberFormat="1" applyFont="1" applyBorder="1" applyAlignment="1">
      <alignment horizontal="center" vertical="center"/>
    </xf>
    <xf numFmtId="49" fontId="95" fillId="0" borderId="10" xfId="0" applyNumberFormat="1" applyFont="1" applyBorder="1" applyAlignment="1">
      <alignment horizontal="center" vertical="center"/>
    </xf>
    <xf numFmtId="49" fontId="18" fillId="0" borderId="10" xfId="0" applyNumberFormat="1" applyFont="1" applyFill="1" applyBorder="1" applyAlignment="1">
      <alignment horizontal="center" vertical="center"/>
    </xf>
    <xf numFmtId="49" fontId="105" fillId="0" borderId="10" xfId="0" applyNumberFormat="1" applyFont="1" applyFill="1" applyBorder="1" applyAlignment="1">
      <alignment horizontal="center" vertical="center" wrapText="1"/>
    </xf>
    <xf numFmtId="49" fontId="1" fillId="0" borderId="10" xfId="0" applyNumberFormat="1" applyFont="1" applyBorder="1" applyAlignment="1" quotePrefix="1">
      <alignment horizontal="center" vertical="center"/>
    </xf>
    <xf numFmtId="49" fontId="1" fillId="0" borderId="10" xfId="0" applyNumberFormat="1" applyFont="1" applyFill="1" applyBorder="1" applyAlignment="1" quotePrefix="1">
      <alignment horizontal="center" vertical="center"/>
    </xf>
    <xf numFmtId="0" fontId="38" fillId="35" borderId="14" xfId="0" applyFont="1" applyFill="1" applyBorder="1" applyAlignment="1">
      <alignment horizontal="left" vertical="center"/>
    </xf>
    <xf numFmtId="0" fontId="30" fillId="35" borderId="0" xfId="0" applyFont="1" applyFill="1" applyAlignment="1">
      <alignment vertical="center" wrapText="1"/>
    </xf>
    <xf numFmtId="0" fontId="17" fillId="35" borderId="10" xfId="0" applyFont="1" applyFill="1" applyBorder="1" applyAlignment="1">
      <alignment vertical="center" wrapText="1"/>
    </xf>
    <xf numFmtId="0" fontId="17" fillId="35" borderId="0" xfId="0" applyFont="1" applyFill="1" applyAlignment="1">
      <alignment vertical="center" wrapText="1"/>
    </xf>
    <xf numFmtId="0" fontId="38" fillId="35" borderId="14" xfId="0" applyFont="1" applyFill="1" applyBorder="1" applyAlignment="1">
      <alignment horizontal="center" vertical="center"/>
    </xf>
    <xf numFmtId="0" fontId="97" fillId="35" borderId="0" xfId="0" applyFont="1" applyFill="1" applyAlignment="1">
      <alignment horizontal="center" vertical="center" wrapText="1"/>
    </xf>
    <xf numFmtId="0" fontId="29" fillId="35" borderId="0" xfId="0" applyFont="1" applyFill="1" applyAlignment="1">
      <alignment horizontal="center" vertical="center" wrapText="1"/>
    </xf>
    <xf numFmtId="0" fontId="30" fillId="35" borderId="0" xfId="0" applyFont="1" applyFill="1" applyAlignment="1">
      <alignment horizontal="center" vertical="center" wrapText="1"/>
    </xf>
    <xf numFmtId="0" fontId="17" fillId="35" borderId="10" xfId="0" applyFont="1" applyFill="1" applyBorder="1" applyAlignment="1">
      <alignment horizontal="center" vertical="center" wrapText="1"/>
    </xf>
    <xf numFmtId="0" fontId="17" fillId="35" borderId="0" xfId="0" applyFont="1" applyFill="1" applyAlignment="1">
      <alignment horizontal="center" vertical="center" wrapText="1"/>
    </xf>
    <xf numFmtId="49" fontId="103" fillId="0" borderId="11" xfId="0" applyNumberFormat="1" applyFont="1" applyBorder="1" applyAlignment="1">
      <alignment horizontal="center" vertical="center"/>
    </xf>
    <xf numFmtId="0" fontId="103" fillId="0" borderId="11" xfId="0" applyFont="1" applyBorder="1" applyAlignment="1">
      <alignment vertical="center" wrapText="1"/>
    </xf>
    <xf numFmtId="1" fontId="107" fillId="35" borderId="0" xfId="0" applyNumberFormat="1" applyFont="1" applyFill="1" applyAlignment="1">
      <alignment horizontal="center" vertical="center" wrapText="1"/>
    </xf>
    <xf numFmtId="0" fontId="103" fillId="35" borderId="0" xfId="0" applyFont="1" applyFill="1" applyAlignment="1">
      <alignment horizontal="center" vertical="center" wrapText="1"/>
    </xf>
    <xf numFmtId="0" fontId="103" fillId="35" borderId="0" xfId="0" applyFont="1" applyFill="1" applyBorder="1" applyAlignment="1">
      <alignment horizontal="center" vertical="center" wrapText="1"/>
    </xf>
    <xf numFmtId="49" fontId="103" fillId="0" borderId="10" xfId="0" applyNumberFormat="1" applyFont="1" applyFill="1" applyBorder="1" applyAlignment="1">
      <alignment horizontal="center" vertical="center"/>
    </xf>
    <xf numFmtId="0" fontId="103" fillId="0" borderId="10" xfId="0" applyFont="1" applyBorder="1" applyAlignment="1">
      <alignment horizontal="left" vertical="center" wrapText="1"/>
    </xf>
    <xf numFmtId="49" fontId="103" fillId="0" borderId="10" xfId="0" applyNumberFormat="1" applyFont="1" applyFill="1" applyBorder="1" applyAlignment="1">
      <alignment vertical="center"/>
    </xf>
    <xf numFmtId="0" fontId="103" fillId="0" borderId="10" xfId="0" applyFont="1" applyFill="1" applyBorder="1" applyAlignment="1">
      <alignment vertical="center" wrapText="1"/>
    </xf>
    <xf numFmtId="0" fontId="103" fillId="0" borderId="10"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49" fontId="103" fillId="0" borderId="11" xfId="0" applyNumberFormat="1" applyFont="1" applyBorder="1" applyAlignment="1">
      <alignment horizontal="center" vertical="center"/>
    </xf>
    <xf numFmtId="49" fontId="1" fillId="35" borderId="10" xfId="0" applyNumberFormat="1" applyFont="1" applyFill="1" applyBorder="1" applyAlignment="1">
      <alignment vertical="center" wrapText="1"/>
    </xf>
    <xf numFmtId="0" fontId="1" fillId="35" borderId="12" xfId="0" applyFont="1" applyFill="1" applyBorder="1" applyAlignment="1">
      <alignment vertical="center" wrapText="1"/>
    </xf>
    <xf numFmtId="49" fontId="1" fillId="0" borderId="10" xfId="0" applyNumberFormat="1" applyFont="1" applyFill="1" applyBorder="1" applyAlignment="1">
      <alignment vertical="center"/>
    </xf>
    <xf numFmtId="0" fontId="1" fillId="35" borderId="10" xfId="0" applyFont="1" applyFill="1" applyBorder="1" applyAlignment="1">
      <alignment vertical="center"/>
    </xf>
    <xf numFmtId="0" fontId="2" fillId="35" borderId="10" xfId="0" applyFont="1" applyFill="1" applyBorder="1" applyAlignment="1">
      <alignment vertical="center" wrapText="1"/>
    </xf>
    <xf numFmtId="0" fontId="2" fillId="35" borderId="10" xfId="0" applyFont="1" applyFill="1" applyBorder="1" applyAlignment="1">
      <alignment vertical="center"/>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05" fillId="0" borderId="10" xfId="0" applyFont="1" applyBorder="1" applyAlignment="1">
      <alignment vertical="center" wrapText="1"/>
    </xf>
    <xf numFmtId="0" fontId="103" fillId="0" borderId="10" xfId="0" applyFont="1" applyBorder="1" applyAlignment="1">
      <alignment vertical="center" wrapText="1"/>
    </xf>
    <xf numFmtId="0" fontId="105" fillId="0" borderId="10" xfId="0" applyFont="1" applyFill="1" applyBorder="1" applyAlignment="1">
      <alignment vertical="center" wrapText="1"/>
    </xf>
    <xf numFmtId="0" fontId="105" fillId="0" borderId="10" xfId="0" applyFont="1" applyBorder="1" applyAlignment="1">
      <alignment horizontal="left" vertical="center" wrapText="1"/>
    </xf>
    <xf numFmtId="0" fontId="105" fillId="0" borderId="10" xfId="0" applyFont="1" applyFill="1" applyBorder="1" applyAlignment="1">
      <alignment horizontal="left" vertical="center" wrapText="1"/>
    </xf>
    <xf numFmtId="0" fontId="103" fillId="0"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95" fillId="0" borderId="10" xfId="0" applyFont="1" applyBorder="1" applyAlignment="1">
      <alignment horizontal="left" vertical="center" wrapText="1"/>
    </xf>
    <xf numFmtId="0" fontId="18" fillId="0" borderId="10" xfId="0" applyFont="1" applyBorder="1" applyAlignment="1">
      <alignment vertical="center" wrapText="1"/>
    </xf>
    <xf numFmtId="0" fontId="18" fillId="0" borderId="10" xfId="0" applyFont="1" applyFill="1" applyBorder="1" applyAlignment="1">
      <alignment horizontal="left" vertical="center" wrapText="1"/>
    </xf>
    <xf numFmtId="1" fontId="97" fillId="35" borderId="0" xfId="0" applyNumberFormat="1" applyFont="1" applyFill="1" applyAlignment="1">
      <alignment vertical="center" wrapText="1"/>
    </xf>
    <xf numFmtId="1" fontId="29" fillId="35" borderId="0" xfId="0" applyNumberFormat="1" applyFont="1" applyFill="1" applyAlignment="1">
      <alignment vertical="center" wrapText="1"/>
    </xf>
    <xf numFmtId="0" fontId="0" fillId="0" borderId="10" xfId="0" applyBorder="1" applyAlignment="1">
      <alignment vertical="center" wrapText="1"/>
    </xf>
    <xf numFmtId="0" fontId="8" fillId="0" borderId="10" xfId="0" applyFont="1" applyFill="1" applyBorder="1" applyAlignment="1">
      <alignment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vertical="center"/>
    </xf>
    <xf numFmtId="1" fontId="26" fillId="35" borderId="10" xfId="0" applyNumberFormat="1" applyFont="1" applyFill="1" applyBorder="1" applyAlignment="1">
      <alignment vertical="center" wrapText="1"/>
    </xf>
    <xf numFmtId="1" fontId="103" fillId="35" borderId="10" xfId="0" applyNumberFormat="1" applyFont="1" applyFill="1" applyBorder="1" applyAlignment="1">
      <alignment vertical="center" wrapText="1"/>
    </xf>
    <xf numFmtId="1" fontId="1" fillId="35" borderId="10" xfId="0" applyNumberFormat="1" applyFont="1" applyFill="1" applyBorder="1" applyAlignment="1">
      <alignment vertical="center"/>
    </xf>
    <xf numFmtId="1" fontId="2" fillId="35" borderId="15" xfId="0" applyNumberFormat="1" applyFont="1" applyFill="1" applyBorder="1" applyAlignment="1">
      <alignment vertical="center" wrapText="1"/>
    </xf>
    <xf numFmtId="0" fontId="26" fillId="35" borderId="10" xfId="0" applyFont="1" applyFill="1" applyBorder="1" applyAlignment="1">
      <alignment vertical="center" wrapText="1"/>
    </xf>
    <xf numFmtId="0" fontId="89" fillId="35" borderId="10" xfId="0" applyFont="1" applyFill="1" applyBorder="1" applyAlignment="1">
      <alignment vertical="center" wrapText="1"/>
    </xf>
    <xf numFmtId="1" fontId="102" fillId="35" borderId="10" xfId="0" applyNumberFormat="1" applyFont="1" applyFill="1" applyBorder="1" applyAlignment="1">
      <alignment vertical="center" wrapText="1"/>
    </xf>
    <xf numFmtId="1" fontId="1" fillId="35" borderId="11" xfId="0" applyNumberFormat="1" applyFont="1" applyFill="1" applyBorder="1" applyAlignment="1">
      <alignment vertical="center" wrapText="1"/>
    </xf>
    <xf numFmtId="0" fontId="95" fillId="35" borderId="10" xfId="0" applyFont="1" applyFill="1" applyBorder="1" applyAlignment="1">
      <alignment vertical="center" wrapText="1"/>
    </xf>
    <xf numFmtId="1" fontId="99" fillId="0" borderId="10" xfId="0" applyNumberFormat="1" applyFont="1" applyBorder="1" applyAlignment="1">
      <alignment/>
    </xf>
    <xf numFmtId="1" fontId="39" fillId="0" borderId="10" xfId="0" applyNumberFormat="1" applyFont="1" applyBorder="1" applyAlignment="1">
      <alignment/>
    </xf>
    <xf numFmtId="1" fontId="8" fillId="0" borderId="10" xfId="0" applyNumberFormat="1" applyFont="1" applyFill="1" applyBorder="1" applyAlignment="1">
      <alignment/>
    </xf>
    <xf numFmtId="49" fontId="1" fillId="35" borderId="10" xfId="0" applyNumberFormat="1" applyFont="1" applyFill="1" applyBorder="1" applyAlignment="1">
      <alignment horizontal="right" vertical="center" wrapText="1"/>
    </xf>
    <xf numFmtId="1" fontId="2" fillId="35" borderId="10" xfId="0" applyNumberFormat="1" applyFont="1" applyFill="1" applyBorder="1" applyAlignment="1">
      <alignment vertical="center"/>
    </xf>
    <xf numFmtId="1" fontId="2" fillId="35" borderId="10" xfId="58" applyNumberFormat="1" applyFont="1" applyFill="1" applyBorder="1" applyAlignment="1">
      <alignment vertical="center" wrapText="1"/>
    </xf>
    <xf numFmtId="1" fontId="1" fillId="35" borderId="10" xfId="58" applyNumberFormat="1" applyFont="1" applyFill="1" applyBorder="1" applyAlignment="1">
      <alignment vertical="center" wrapText="1"/>
    </xf>
    <xf numFmtId="1" fontId="107" fillId="35" borderId="10" xfId="0" applyNumberFormat="1" applyFont="1" applyFill="1" applyBorder="1" applyAlignment="1">
      <alignment vertical="center" wrapText="1"/>
    </xf>
    <xf numFmtId="0" fontId="103" fillId="35" borderId="10" xfId="0" applyFont="1" applyFill="1" applyBorder="1" applyAlignment="1">
      <alignment vertical="center" wrapText="1"/>
    </xf>
    <xf numFmtId="0" fontId="107" fillId="35" borderId="10" xfId="0" applyFont="1" applyFill="1" applyBorder="1" applyAlignment="1">
      <alignment vertical="center" wrapText="1"/>
    </xf>
    <xf numFmtId="1" fontId="107" fillId="35" borderId="11" xfId="0" applyNumberFormat="1" applyFont="1" applyFill="1" applyBorder="1" applyAlignment="1">
      <alignment vertical="center" wrapText="1"/>
    </xf>
    <xf numFmtId="1" fontId="2" fillId="35" borderId="11" xfId="0" applyNumberFormat="1" applyFont="1" applyFill="1" applyBorder="1" applyAlignment="1">
      <alignment vertical="center" wrapText="1"/>
    </xf>
    <xf numFmtId="49" fontId="2" fillId="35" borderId="10" xfId="0" applyNumberFormat="1" applyFont="1" applyFill="1" applyBorder="1" applyAlignment="1">
      <alignment horizontal="center" vertical="center"/>
    </xf>
    <xf numFmtId="0" fontId="100" fillId="35" borderId="10" xfId="0" applyFont="1" applyFill="1" applyBorder="1" applyAlignment="1">
      <alignment horizontal="center" vertical="center" wrapText="1"/>
    </xf>
    <xf numFmtId="0" fontId="103" fillId="0" borderId="10" xfId="0" applyFont="1" applyBorder="1" applyAlignment="1">
      <alignment horizontal="left" vertical="center" wrapText="1" inden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03" fillId="0" borderId="11" xfId="0" applyNumberFormat="1" applyFont="1" applyBorder="1" applyAlignment="1">
      <alignment horizontal="center" vertical="center"/>
    </xf>
    <xf numFmtId="49" fontId="1" fillId="35" borderId="11"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xf>
    <xf numFmtId="49" fontId="103" fillId="0" borderId="11" xfId="0" applyNumberFormat="1" applyFont="1" applyBorder="1" applyAlignment="1">
      <alignment horizontal="center" vertical="center"/>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0" borderId="11" xfId="0" applyFont="1" applyBorder="1" applyAlignment="1">
      <alignment horizontal="left" vertical="center" wrapText="1"/>
    </xf>
    <xf numFmtId="0" fontId="1" fillId="35" borderId="11" xfId="0" applyFont="1" applyFill="1" applyBorder="1" applyAlignment="1">
      <alignment horizontal="center" vertical="center" wrapText="1"/>
    </xf>
    <xf numFmtId="0" fontId="1" fillId="0" borderId="11" xfId="0" applyFont="1" applyBorder="1" applyAlignment="1">
      <alignment horizontal="left" vertical="center" wrapText="1" indent="1"/>
    </xf>
    <xf numFmtId="0" fontId="1" fillId="35" borderId="10" xfId="0" applyFont="1" applyFill="1" applyBorder="1" applyAlignment="1">
      <alignment horizontal="center" vertical="center" wrapText="1"/>
    </xf>
    <xf numFmtId="49" fontId="1" fillId="0" borderId="19" xfId="0" applyNumberFormat="1" applyFont="1" applyBorder="1" applyAlignment="1">
      <alignment vertical="center"/>
    </xf>
    <xf numFmtId="49" fontId="1" fillId="0" borderId="12" xfId="0" applyNumberFormat="1" applyFont="1" applyBorder="1" applyAlignment="1">
      <alignment vertical="center"/>
    </xf>
    <xf numFmtId="0" fontId="1" fillId="0" borderId="12" xfId="0" applyFont="1" applyBorder="1" applyAlignment="1">
      <alignment vertical="center" wrapText="1"/>
    </xf>
    <xf numFmtId="0" fontId="26" fillId="35" borderId="12" xfId="0" applyFont="1" applyFill="1" applyBorder="1" applyAlignment="1">
      <alignment horizontal="center" vertical="center" wrapText="1"/>
    </xf>
    <xf numFmtId="0" fontId="26" fillId="35" borderId="12" xfId="0" applyFont="1" applyFill="1" applyBorder="1" applyAlignment="1">
      <alignment vertical="center" wrapText="1"/>
    </xf>
    <xf numFmtId="49" fontId="1" fillId="0" borderId="10" xfId="0" applyNumberFormat="1" applyFont="1" applyBorder="1" applyAlignment="1">
      <alignment vertical="center"/>
    </xf>
    <xf numFmtId="49" fontId="1" fillId="35" borderId="12" xfId="0" applyNumberFormat="1" applyFont="1" applyFill="1" applyBorder="1" applyAlignment="1">
      <alignment vertical="center" wrapText="1"/>
    </xf>
    <xf numFmtId="49" fontId="1" fillId="0" borderId="11" xfId="0" applyNumberFormat="1" applyFont="1" applyBorder="1" applyAlignment="1">
      <alignment vertical="center"/>
    </xf>
    <xf numFmtId="0" fontId="1" fillId="0" borderId="10" xfId="0" applyFont="1" applyBorder="1" applyAlignment="1">
      <alignment horizontal="left" vertical="center" wrapText="1" indent="1"/>
    </xf>
    <xf numFmtId="0" fontId="1" fillId="0" borderId="11" xfId="0" applyFont="1" applyFill="1" applyBorder="1" applyAlignment="1">
      <alignment horizontal="left" vertical="center" wrapText="1" indent="1"/>
    </xf>
    <xf numFmtId="0" fontId="1" fillId="0" borderId="10" xfId="0" applyFont="1" applyFill="1" applyBorder="1" applyAlignment="1">
      <alignment horizontal="left" vertical="center" wrapText="1" indent="1"/>
    </xf>
    <xf numFmtId="0" fontId="103" fillId="35" borderId="10" xfId="0" applyFont="1" applyFill="1" applyBorder="1" applyAlignment="1">
      <alignment horizontal="left" vertical="center" wrapText="1"/>
    </xf>
    <xf numFmtId="0" fontId="1" fillId="0" borderId="10" xfId="0" applyFont="1" applyBorder="1" applyAlignment="1">
      <alignment vertical="top" wrapText="1"/>
    </xf>
    <xf numFmtId="49" fontId="1" fillId="35" borderId="11"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35" borderId="19" xfId="0" applyNumberFormat="1" applyFont="1" applyFill="1" applyBorder="1" applyAlignment="1">
      <alignment horizontal="center" vertical="center" wrapText="1"/>
    </xf>
    <xf numFmtId="49" fontId="1" fillId="0" borderId="19" xfId="0" applyNumberFormat="1" applyFont="1" applyBorder="1" applyAlignment="1">
      <alignment horizontal="center" vertical="center"/>
    </xf>
    <xf numFmtId="49" fontId="1" fillId="35" borderId="10" xfId="0" applyNumberFormat="1" applyFont="1" applyFill="1" applyBorder="1" applyAlignment="1">
      <alignment horizontal="center" vertical="center" wrapText="1"/>
    </xf>
    <xf numFmtId="0" fontId="1" fillId="0" borderId="11" xfId="0" applyFont="1" applyBorder="1" applyAlignment="1">
      <alignment horizontal="left" vertical="center" wrapText="1" indent="1"/>
    </xf>
    <xf numFmtId="0" fontId="1" fillId="0" borderId="12" xfId="0" applyFont="1" applyBorder="1" applyAlignment="1">
      <alignment horizontal="left" vertical="center" wrapText="1" indent="1"/>
    </xf>
    <xf numFmtId="0" fontId="19" fillId="35" borderId="0" xfId="0" applyFont="1" applyFill="1" applyBorder="1" applyAlignment="1">
      <alignment horizont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alignment horizontal="left" vertical="center"/>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9" xfId="0" applyFont="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40" fillId="35" borderId="11" xfId="0" applyFont="1" applyFill="1" applyBorder="1" applyAlignment="1">
      <alignment horizontal="center" vertical="center" wrapText="1"/>
    </xf>
    <xf numFmtId="0" fontId="40" fillId="35" borderId="19" xfId="0" applyFont="1" applyFill="1" applyBorder="1" applyAlignment="1">
      <alignment horizontal="center" vertical="center" wrapText="1"/>
    </xf>
    <xf numFmtId="0" fontId="40" fillId="35" borderId="12" xfId="0" applyFont="1" applyFill="1" applyBorder="1" applyAlignment="1">
      <alignment horizontal="center" vertical="center" wrapText="1"/>
    </xf>
    <xf numFmtId="49" fontId="103" fillId="0" borderId="11" xfId="0" applyNumberFormat="1" applyFont="1" applyBorder="1" applyAlignment="1">
      <alignment horizontal="center" vertical="center"/>
    </xf>
    <xf numFmtId="49" fontId="103" fillId="0" borderId="12" xfId="0" applyNumberFormat="1" applyFont="1" applyBorder="1" applyAlignment="1">
      <alignment horizontal="center" vertic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19" fillId="0" borderId="0" xfId="0" applyFont="1" applyAlignment="1">
      <alignment horizontal="center" wrapText="1"/>
    </xf>
    <xf numFmtId="0" fontId="71" fillId="35"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K658"/>
  <sheetViews>
    <sheetView showZeros="0" tabSelected="1" view="pageBreakPreview" zoomScale="75" zoomScaleSheetLayoutView="75" zoomScalePageLayoutView="0" workbookViewId="0" topLeftCell="A1">
      <pane ySplit="10455" topLeftCell="A575" activePane="topLeft" state="split"/>
      <selection pane="topLeft" activeCell="G4" sqref="G4"/>
      <selection pane="bottomLeft" activeCell="E577" sqref="E577"/>
    </sheetView>
  </sheetViews>
  <sheetFormatPr defaultColWidth="9.140625" defaultRowHeight="12.75"/>
  <cols>
    <col min="1" max="2" width="10.8515625" style="104" customWidth="1"/>
    <col min="3" max="3" width="13.57421875" style="104" hidden="1" customWidth="1"/>
    <col min="4" max="4" width="12.57421875" style="104" customWidth="1"/>
    <col min="5" max="5" width="51.421875" style="126" customWidth="1"/>
    <col min="6" max="6" width="67.140625" style="94" customWidth="1"/>
    <col min="7" max="7" width="20.421875" style="94" customWidth="1"/>
    <col min="8" max="8" width="23.421875" style="94" customWidth="1"/>
    <col min="9" max="9" width="23.57421875" style="87" customWidth="1"/>
    <col min="10" max="10" width="18.421875" style="150" customWidth="1"/>
    <col min="11" max="11" width="14.421875" style="107" customWidth="1"/>
    <col min="12" max="12" width="12.140625" style="94" customWidth="1"/>
    <col min="13" max="13" width="13.57421875" style="94" customWidth="1"/>
    <col min="14" max="14" width="11.57421875" style="108" customWidth="1"/>
    <col min="15" max="15" width="12.57421875" style="94" customWidth="1"/>
    <col min="16" max="16384" width="9.140625" style="94" customWidth="1"/>
  </cols>
  <sheetData>
    <row r="1" spans="1:10" ht="41.25" customHeight="1">
      <c r="A1" s="158"/>
      <c r="B1" s="158"/>
      <c r="C1" s="158"/>
      <c r="D1" s="158"/>
      <c r="E1" s="127"/>
      <c r="F1" s="108"/>
      <c r="G1" s="307" t="s">
        <v>125</v>
      </c>
      <c r="H1" s="308"/>
      <c r="I1" s="308"/>
      <c r="J1" s="147"/>
    </row>
    <row r="2" spans="1:10" ht="30" customHeight="1">
      <c r="A2" s="158"/>
      <c r="B2" s="158"/>
      <c r="C2" s="158"/>
      <c r="D2" s="158"/>
      <c r="E2" s="127"/>
      <c r="F2" s="108"/>
      <c r="G2" s="307" t="s">
        <v>124</v>
      </c>
      <c r="H2" s="308"/>
      <c r="I2" s="308"/>
      <c r="J2" s="148"/>
    </row>
    <row r="3" spans="1:10" ht="28.5" customHeight="1">
      <c r="A3" s="158"/>
      <c r="B3" s="158"/>
      <c r="C3" s="158"/>
      <c r="D3" s="158"/>
      <c r="E3" s="127"/>
      <c r="F3" s="108"/>
      <c r="G3" s="472" t="s">
        <v>1252</v>
      </c>
      <c r="H3" s="308"/>
      <c r="I3" s="308"/>
      <c r="J3" s="148"/>
    </row>
    <row r="4" spans="1:10" ht="27" customHeight="1">
      <c r="A4" s="158"/>
      <c r="B4" s="158"/>
      <c r="C4" s="158"/>
      <c r="D4" s="158"/>
      <c r="E4" s="127"/>
      <c r="F4" s="158"/>
      <c r="G4" s="108"/>
      <c r="H4" s="108"/>
      <c r="I4" s="308"/>
      <c r="J4" s="148"/>
    </row>
    <row r="5" spans="1:9" ht="9.75" customHeight="1">
      <c r="A5" s="158"/>
      <c r="B5" s="158"/>
      <c r="C5" s="158"/>
      <c r="D5" s="158"/>
      <c r="E5" s="127"/>
      <c r="F5" s="108"/>
      <c r="G5" s="108"/>
      <c r="H5" s="108"/>
      <c r="I5" s="108"/>
    </row>
    <row r="6" spans="1:14" s="110" customFormat="1" ht="51.75" customHeight="1">
      <c r="A6" s="442" t="s">
        <v>556</v>
      </c>
      <c r="B6" s="442"/>
      <c r="C6" s="442"/>
      <c r="D6" s="442"/>
      <c r="E6" s="442"/>
      <c r="F6" s="442"/>
      <c r="G6" s="442"/>
      <c r="H6" s="442"/>
      <c r="I6" s="442"/>
      <c r="J6" s="149"/>
      <c r="K6" s="109"/>
      <c r="N6" s="111"/>
    </row>
    <row r="7" spans="1:9" ht="15" customHeight="1">
      <c r="A7" s="158"/>
      <c r="B7" s="158"/>
      <c r="C7" s="158"/>
      <c r="D7" s="158"/>
      <c r="E7" s="127"/>
      <c r="F7" s="108"/>
      <c r="G7" s="108"/>
      <c r="H7" s="108"/>
      <c r="I7" s="108"/>
    </row>
    <row r="8" spans="1:9" ht="16.5" customHeight="1">
      <c r="A8" s="158"/>
      <c r="B8" s="158"/>
      <c r="C8" s="158"/>
      <c r="D8" s="158"/>
      <c r="E8" s="127"/>
      <c r="F8" s="108"/>
      <c r="G8" s="108"/>
      <c r="H8" s="108"/>
      <c r="I8" s="153" t="s">
        <v>515</v>
      </c>
    </row>
    <row r="9" spans="1:14" s="104" customFormat="1" ht="90">
      <c r="A9" s="112" t="s">
        <v>119</v>
      </c>
      <c r="B9" s="112" t="s">
        <v>1066</v>
      </c>
      <c r="C9" s="112" t="s">
        <v>120</v>
      </c>
      <c r="D9" s="112" t="s">
        <v>121</v>
      </c>
      <c r="E9" s="309" t="s">
        <v>1065</v>
      </c>
      <c r="F9" s="236" t="s">
        <v>122</v>
      </c>
      <c r="G9" s="310" t="s">
        <v>60</v>
      </c>
      <c r="H9" s="310" t="s">
        <v>63</v>
      </c>
      <c r="I9" s="236" t="s">
        <v>123</v>
      </c>
      <c r="J9" s="146" t="s">
        <v>266</v>
      </c>
      <c r="N9" s="158"/>
    </row>
    <row r="10" spans="1:14" s="104" customFormat="1" ht="16.5" customHeight="1">
      <c r="A10" s="345">
        <v>1</v>
      </c>
      <c r="B10" s="345">
        <v>2</v>
      </c>
      <c r="C10" s="236">
        <v>3</v>
      </c>
      <c r="D10" s="345">
        <v>3</v>
      </c>
      <c r="E10" s="345">
        <v>4</v>
      </c>
      <c r="F10" s="236">
        <v>5</v>
      </c>
      <c r="G10" s="291">
        <v>6</v>
      </c>
      <c r="H10" s="291">
        <v>7</v>
      </c>
      <c r="I10" s="236">
        <v>8</v>
      </c>
      <c r="J10" s="146"/>
      <c r="K10" s="106"/>
      <c r="N10" s="158"/>
    </row>
    <row r="11" spans="1:14" s="104" customFormat="1" ht="15.75" customHeight="1">
      <c r="A11" s="96"/>
      <c r="B11" s="96" t="s">
        <v>133</v>
      </c>
      <c r="C11" s="96" t="s">
        <v>133</v>
      </c>
      <c r="D11" s="96"/>
      <c r="E11" s="99" t="s">
        <v>519</v>
      </c>
      <c r="F11" s="166"/>
      <c r="G11" s="83">
        <f>G12</f>
        <v>23053163</v>
      </c>
      <c r="H11" s="83">
        <f>H12</f>
        <v>35869371</v>
      </c>
      <c r="I11" s="83">
        <f>I12</f>
        <v>58922534</v>
      </c>
      <c r="J11" s="144">
        <f>J12</f>
        <v>0</v>
      </c>
      <c r="K11" s="113"/>
      <c r="N11" s="158"/>
    </row>
    <row r="12" spans="1:14" s="104" customFormat="1" ht="15.75" customHeight="1">
      <c r="A12" s="216" t="s">
        <v>557</v>
      </c>
      <c r="B12" s="216"/>
      <c r="C12" s="311"/>
      <c r="D12" s="311"/>
      <c r="E12" s="217" t="s">
        <v>519</v>
      </c>
      <c r="F12" s="204"/>
      <c r="G12" s="83">
        <f>G13+G16+G20+G23+G25+G36</f>
        <v>23053163</v>
      </c>
      <c r="H12" s="83">
        <f>H13+H16+H20+H23+H25+H36</f>
        <v>35869371</v>
      </c>
      <c r="I12" s="83">
        <f>G12+H12</f>
        <v>58922534</v>
      </c>
      <c r="J12" s="144">
        <f>J13+J16+J20+J23+J25+J36</f>
        <v>0</v>
      </c>
      <c r="K12" s="113"/>
      <c r="N12" s="158"/>
    </row>
    <row r="13" spans="1:14" s="104" customFormat="1" ht="15.75" customHeight="1">
      <c r="A13" s="212" t="s">
        <v>558</v>
      </c>
      <c r="B13" s="212" t="s">
        <v>1068</v>
      </c>
      <c r="C13" s="212" t="s">
        <v>559</v>
      </c>
      <c r="D13" s="212"/>
      <c r="E13" s="213" t="s">
        <v>560</v>
      </c>
      <c r="F13" s="214"/>
      <c r="G13" s="83">
        <f>G14</f>
        <v>0</v>
      </c>
      <c r="H13" s="83">
        <f>H14</f>
        <v>10500000</v>
      </c>
      <c r="I13" s="83">
        <f>I14</f>
        <v>10500000</v>
      </c>
      <c r="J13" s="144">
        <f>J14</f>
        <v>0</v>
      </c>
      <c r="K13" s="113"/>
      <c r="N13" s="158"/>
    </row>
    <row r="14" spans="1:14" s="104" customFormat="1" ht="48" customHeight="1">
      <c r="A14" s="342" t="s">
        <v>552</v>
      </c>
      <c r="B14" s="342" t="s">
        <v>1067</v>
      </c>
      <c r="C14" s="290" t="s">
        <v>165</v>
      </c>
      <c r="D14" s="342" t="s">
        <v>436</v>
      </c>
      <c r="E14" s="211" t="s">
        <v>1190</v>
      </c>
      <c r="F14" s="402" t="s">
        <v>1222</v>
      </c>
      <c r="G14" s="75"/>
      <c r="H14" s="75">
        <v>10500000</v>
      </c>
      <c r="I14" s="75">
        <f>G14+H14</f>
        <v>10500000</v>
      </c>
      <c r="J14" s="144"/>
      <c r="K14" s="113"/>
      <c r="N14" s="158"/>
    </row>
    <row r="15" spans="1:14" s="104" customFormat="1" ht="48" customHeight="1" hidden="1">
      <c r="A15" s="342"/>
      <c r="B15" s="342" t="s">
        <v>1067</v>
      </c>
      <c r="C15" s="290" t="s">
        <v>165</v>
      </c>
      <c r="D15" s="342" t="s">
        <v>436</v>
      </c>
      <c r="E15" s="211" t="s">
        <v>1190</v>
      </c>
      <c r="F15" s="404" t="s">
        <v>1225</v>
      </c>
      <c r="G15" s="83"/>
      <c r="H15" s="83"/>
      <c r="I15" s="83"/>
      <c r="J15" s="144"/>
      <c r="K15" s="113"/>
      <c r="N15" s="158"/>
    </row>
    <row r="16" spans="1:14" s="104" customFormat="1" ht="15.75" customHeight="1">
      <c r="A16" s="212" t="s">
        <v>561</v>
      </c>
      <c r="B16" s="212" t="s">
        <v>1069</v>
      </c>
      <c r="C16" s="212" t="s">
        <v>562</v>
      </c>
      <c r="D16" s="212"/>
      <c r="E16" s="213" t="s">
        <v>563</v>
      </c>
      <c r="F16" s="204"/>
      <c r="G16" s="83">
        <f>G17</f>
        <v>8726760</v>
      </c>
      <c r="H16" s="83">
        <f>H17</f>
        <v>5814455</v>
      </c>
      <c r="I16" s="83">
        <f>I17</f>
        <v>14541215</v>
      </c>
      <c r="J16" s="144">
        <f>J17</f>
        <v>0</v>
      </c>
      <c r="K16" s="113"/>
      <c r="N16" s="158"/>
    </row>
    <row r="17" spans="1:14" s="104" customFormat="1" ht="15.75" customHeight="1">
      <c r="A17" s="342" t="s">
        <v>553</v>
      </c>
      <c r="B17" s="342" t="s">
        <v>1070</v>
      </c>
      <c r="C17" s="290"/>
      <c r="D17" s="342"/>
      <c r="E17" s="215" t="s">
        <v>564</v>
      </c>
      <c r="F17" s="204"/>
      <c r="G17" s="75">
        <f>G18+G19</f>
        <v>8726760</v>
      </c>
      <c r="H17" s="75">
        <f>H18+H19</f>
        <v>5814455</v>
      </c>
      <c r="I17" s="75">
        <f aca="true" t="shared" si="0" ref="I17:I22">G17+H17</f>
        <v>14541215</v>
      </c>
      <c r="J17" s="144">
        <f>J18+J19</f>
        <v>0</v>
      </c>
      <c r="K17" s="113"/>
      <c r="N17" s="158"/>
    </row>
    <row r="18" spans="1:15" s="104" customFormat="1" ht="66" customHeight="1">
      <c r="A18" s="342" t="s">
        <v>554</v>
      </c>
      <c r="B18" s="342" t="s">
        <v>1071</v>
      </c>
      <c r="C18" s="290" t="s">
        <v>31</v>
      </c>
      <c r="D18" s="342" t="s">
        <v>437</v>
      </c>
      <c r="E18" s="236" t="s">
        <v>565</v>
      </c>
      <c r="F18" s="404" t="s">
        <v>536</v>
      </c>
      <c r="G18" s="75">
        <v>7826760</v>
      </c>
      <c r="H18" s="75">
        <f>3437510+2376945</f>
        <v>5814455</v>
      </c>
      <c r="I18" s="75">
        <f t="shared" si="0"/>
        <v>13641215</v>
      </c>
      <c r="J18" s="241"/>
      <c r="K18" s="113"/>
      <c r="N18" s="114"/>
      <c r="O18" s="115"/>
    </row>
    <row r="19" spans="1:14" s="104" customFormat="1" ht="54" customHeight="1">
      <c r="A19" s="342" t="s">
        <v>566</v>
      </c>
      <c r="B19" s="342" t="s">
        <v>1072</v>
      </c>
      <c r="C19" s="290">
        <v>120201</v>
      </c>
      <c r="D19" s="398" t="s">
        <v>437</v>
      </c>
      <c r="E19" s="404" t="s">
        <v>567</v>
      </c>
      <c r="F19" s="196" t="s">
        <v>541</v>
      </c>
      <c r="G19" s="75">
        <v>900000</v>
      </c>
      <c r="H19" s="75"/>
      <c r="I19" s="75">
        <f t="shared" si="0"/>
        <v>900000</v>
      </c>
      <c r="J19" s="241"/>
      <c r="K19" s="106"/>
      <c r="N19" s="158"/>
    </row>
    <row r="20" spans="1:14" s="104" customFormat="1" ht="15.75" customHeight="1" hidden="1">
      <c r="A20" s="212" t="s">
        <v>571</v>
      </c>
      <c r="B20" s="212" t="s">
        <v>1073</v>
      </c>
      <c r="C20" s="212" t="s">
        <v>572</v>
      </c>
      <c r="D20" s="212"/>
      <c r="E20" s="213" t="s">
        <v>573</v>
      </c>
      <c r="F20" s="204"/>
      <c r="G20" s="75">
        <f>G21+G22</f>
        <v>0</v>
      </c>
      <c r="H20" s="75">
        <f>H21+H22</f>
        <v>0</v>
      </c>
      <c r="I20" s="75">
        <f t="shared" si="0"/>
        <v>0</v>
      </c>
      <c r="J20" s="241">
        <f>J21+J22</f>
        <v>0</v>
      </c>
      <c r="K20" s="106"/>
      <c r="N20" s="158"/>
    </row>
    <row r="21" spans="1:14" s="104" customFormat="1" ht="31.5" customHeight="1" hidden="1">
      <c r="A21" s="262" t="s">
        <v>574</v>
      </c>
      <c r="B21" s="262" t="s">
        <v>1074</v>
      </c>
      <c r="C21" s="312" t="s">
        <v>84</v>
      </c>
      <c r="D21" s="219" t="s">
        <v>438</v>
      </c>
      <c r="E21" s="211" t="s">
        <v>575</v>
      </c>
      <c r="F21" s="204"/>
      <c r="G21" s="75"/>
      <c r="H21" s="75"/>
      <c r="I21" s="75">
        <f t="shared" si="0"/>
        <v>0</v>
      </c>
      <c r="J21" s="241"/>
      <c r="K21" s="106"/>
      <c r="N21" s="158"/>
    </row>
    <row r="22" spans="1:14" s="104" customFormat="1" ht="157.5" customHeight="1" hidden="1">
      <c r="A22" s="262" t="s">
        <v>576</v>
      </c>
      <c r="B22" s="262" t="s">
        <v>1075</v>
      </c>
      <c r="C22" s="219" t="s">
        <v>211</v>
      </c>
      <c r="D22" s="219" t="s">
        <v>448</v>
      </c>
      <c r="E22" s="211" t="s">
        <v>212</v>
      </c>
      <c r="F22" s="204"/>
      <c r="G22" s="75"/>
      <c r="H22" s="75"/>
      <c r="I22" s="75">
        <f t="shared" si="0"/>
        <v>0</v>
      </c>
      <c r="J22" s="241"/>
      <c r="K22" s="106"/>
      <c r="N22" s="158"/>
    </row>
    <row r="23" spans="1:14" s="104" customFormat="1" ht="15.75" customHeight="1" hidden="1">
      <c r="A23" s="212" t="s">
        <v>568</v>
      </c>
      <c r="B23" s="212" t="s">
        <v>1076</v>
      </c>
      <c r="C23" s="212" t="s">
        <v>569</v>
      </c>
      <c r="D23" s="212"/>
      <c r="E23" s="213" t="s">
        <v>570</v>
      </c>
      <c r="F23" s="204"/>
      <c r="G23" s="75">
        <f>G24</f>
        <v>0</v>
      </c>
      <c r="H23" s="75">
        <f>H24</f>
        <v>0</v>
      </c>
      <c r="I23" s="75">
        <f>I24</f>
        <v>0</v>
      </c>
      <c r="J23" s="241">
        <f>J24</f>
        <v>0</v>
      </c>
      <c r="K23" s="106"/>
      <c r="N23" s="158"/>
    </row>
    <row r="24" spans="1:14" s="104" customFormat="1" ht="63.75" customHeight="1" hidden="1">
      <c r="A24" s="203" t="s">
        <v>555</v>
      </c>
      <c r="B24" s="203" t="s">
        <v>1077</v>
      </c>
      <c r="C24" s="203" t="s">
        <v>98</v>
      </c>
      <c r="D24" s="203" t="s">
        <v>438</v>
      </c>
      <c r="E24" s="211" t="s">
        <v>224</v>
      </c>
      <c r="F24" s="194" t="s">
        <v>540</v>
      </c>
      <c r="G24" s="75"/>
      <c r="H24" s="75"/>
      <c r="I24" s="75">
        <f>G24+H24</f>
        <v>0</v>
      </c>
      <c r="J24" s="241"/>
      <c r="K24" s="113"/>
      <c r="N24" s="158"/>
    </row>
    <row r="25" spans="1:14" s="104" customFormat="1" ht="15.75" customHeight="1">
      <c r="A25" s="212" t="s">
        <v>583</v>
      </c>
      <c r="B25" s="212" t="s">
        <v>1078</v>
      </c>
      <c r="C25" s="212" t="s">
        <v>584</v>
      </c>
      <c r="D25" s="212"/>
      <c r="E25" s="213" t="s">
        <v>585</v>
      </c>
      <c r="F25" s="202"/>
      <c r="G25" s="83">
        <f>G26</f>
        <v>14326403</v>
      </c>
      <c r="H25" s="83">
        <f>H26</f>
        <v>19471766</v>
      </c>
      <c r="I25" s="83">
        <f>I26</f>
        <v>33798169</v>
      </c>
      <c r="J25" s="241">
        <f>J26</f>
        <v>0</v>
      </c>
      <c r="K25" s="113"/>
      <c r="N25" s="158"/>
    </row>
    <row r="26" spans="1:14" s="104" customFormat="1" ht="15.75" customHeight="1" hidden="1">
      <c r="A26" s="203" t="s">
        <v>586</v>
      </c>
      <c r="B26" s="203" t="s">
        <v>1079</v>
      </c>
      <c r="C26" s="203" t="s">
        <v>77</v>
      </c>
      <c r="D26" s="219"/>
      <c r="E26" s="404"/>
      <c r="F26" s="202"/>
      <c r="G26" s="75">
        <f>G27+G28+G29+G30+G32+G34+G31+G33+G35</f>
        <v>14326403</v>
      </c>
      <c r="H26" s="75">
        <f>H27+H28+H29+H30+H32+H34+H31+H33+H35</f>
        <v>19471766</v>
      </c>
      <c r="I26" s="75">
        <f>I27+I28+I29+I30+I32+I34+I31+I33+I35</f>
        <v>33798169</v>
      </c>
      <c r="J26" s="241">
        <f>J27+J28+J29+J30+J32+J34+J31</f>
        <v>0</v>
      </c>
      <c r="K26" s="113"/>
      <c r="N26" s="158"/>
    </row>
    <row r="27" spans="1:14" s="104" customFormat="1" ht="63">
      <c r="A27" s="145" t="s">
        <v>586</v>
      </c>
      <c r="B27" s="398" t="s">
        <v>1079</v>
      </c>
      <c r="C27" s="401" t="s">
        <v>77</v>
      </c>
      <c r="D27" s="398" t="s">
        <v>439</v>
      </c>
      <c r="E27" s="159" t="s">
        <v>92</v>
      </c>
      <c r="F27" s="404" t="s">
        <v>1224</v>
      </c>
      <c r="G27" s="75">
        <f>5271980+181717-37</f>
        <v>5453660</v>
      </c>
      <c r="H27" s="75"/>
      <c r="I27" s="75">
        <f aca="true" t="shared" si="1" ref="I27:I35">G27+H27</f>
        <v>5453660</v>
      </c>
      <c r="J27" s="241"/>
      <c r="K27" s="113"/>
      <c r="N27" s="158"/>
    </row>
    <row r="28" spans="1:14" s="104" customFormat="1" ht="47.25" customHeight="1" hidden="1">
      <c r="A28" s="145" t="s">
        <v>586</v>
      </c>
      <c r="B28" s="398" t="s">
        <v>1079</v>
      </c>
      <c r="C28" s="401" t="s">
        <v>77</v>
      </c>
      <c r="D28" s="398" t="s">
        <v>439</v>
      </c>
      <c r="E28" s="159" t="s">
        <v>92</v>
      </c>
      <c r="F28" s="202" t="s">
        <v>493</v>
      </c>
      <c r="G28" s="75"/>
      <c r="H28" s="75"/>
      <c r="I28" s="75">
        <f t="shared" si="1"/>
        <v>0</v>
      </c>
      <c r="J28" s="241"/>
      <c r="K28" s="113"/>
      <c r="N28" s="158"/>
    </row>
    <row r="29" spans="1:14" s="104" customFormat="1" ht="47.25" customHeight="1" hidden="1">
      <c r="A29" s="145" t="s">
        <v>586</v>
      </c>
      <c r="B29" s="398" t="s">
        <v>1079</v>
      </c>
      <c r="C29" s="401" t="s">
        <v>77</v>
      </c>
      <c r="D29" s="398" t="s">
        <v>439</v>
      </c>
      <c r="E29" s="159" t="s">
        <v>92</v>
      </c>
      <c r="F29" s="202"/>
      <c r="G29" s="75"/>
      <c r="H29" s="75"/>
      <c r="I29" s="75">
        <f t="shared" si="1"/>
        <v>0</v>
      </c>
      <c r="J29" s="241"/>
      <c r="K29" s="113"/>
      <c r="N29" s="158"/>
    </row>
    <row r="30" spans="1:14" s="104" customFormat="1" ht="47.25" customHeight="1">
      <c r="A30" s="145" t="s">
        <v>586</v>
      </c>
      <c r="B30" s="398" t="s">
        <v>1079</v>
      </c>
      <c r="C30" s="401" t="s">
        <v>77</v>
      </c>
      <c r="D30" s="398" t="s">
        <v>439</v>
      </c>
      <c r="E30" s="159" t="s">
        <v>92</v>
      </c>
      <c r="F30" s="404" t="s">
        <v>1192</v>
      </c>
      <c r="G30" s="75">
        <v>324855</v>
      </c>
      <c r="H30" s="75"/>
      <c r="I30" s="75">
        <f t="shared" si="1"/>
        <v>324855</v>
      </c>
      <c r="J30" s="241"/>
      <c r="K30" s="113"/>
      <c r="N30" s="158"/>
    </row>
    <row r="31" spans="1:14" s="104" customFormat="1" ht="63" customHeight="1">
      <c r="A31" s="347" t="s">
        <v>586</v>
      </c>
      <c r="B31" s="412" t="s">
        <v>1079</v>
      </c>
      <c r="C31" s="412" t="s">
        <v>77</v>
      </c>
      <c r="D31" s="412" t="s">
        <v>439</v>
      </c>
      <c r="E31" s="310" t="s">
        <v>92</v>
      </c>
      <c r="F31" s="403" t="s">
        <v>1223</v>
      </c>
      <c r="G31" s="75">
        <v>170000</v>
      </c>
      <c r="H31" s="75"/>
      <c r="I31" s="75">
        <f t="shared" si="1"/>
        <v>170000</v>
      </c>
      <c r="J31" s="241"/>
      <c r="K31" s="113"/>
      <c r="N31" s="158"/>
    </row>
    <row r="32" spans="1:14" s="104" customFormat="1" ht="47.25">
      <c r="A32" s="412" t="s">
        <v>586</v>
      </c>
      <c r="B32" s="412" t="s">
        <v>1079</v>
      </c>
      <c r="C32" s="412" t="s">
        <v>77</v>
      </c>
      <c r="D32" s="412" t="s">
        <v>439</v>
      </c>
      <c r="E32" s="310" t="s">
        <v>92</v>
      </c>
      <c r="F32" s="410" t="s">
        <v>1193</v>
      </c>
      <c r="G32" s="75">
        <v>382771</v>
      </c>
      <c r="H32" s="75"/>
      <c r="I32" s="75">
        <f t="shared" si="1"/>
        <v>382771</v>
      </c>
      <c r="J32" s="241"/>
      <c r="K32" s="113"/>
      <c r="N32" s="158"/>
    </row>
    <row r="33" spans="1:14" s="104" customFormat="1" ht="47.25">
      <c r="A33" s="398" t="s">
        <v>586</v>
      </c>
      <c r="B33" s="398" t="s">
        <v>1079</v>
      </c>
      <c r="C33" s="401" t="s">
        <v>77</v>
      </c>
      <c r="D33" s="398" t="s">
        <v>439</v>
      </c>
      <c r="E33" s="159" t="s">
        <v>92</v>
      </c>
      <c r="F33" s="405" t="s">
        <v>1244</v>
      </c>
      <c r="G33" s="75">
        <v>200000</v>
      </c>
      <c r="H33" s="75"/>
      <c r="I33" s="75">
        <f t="shared" si="1"/>
        <v>200000</v>
      </c>
      <c r="J33" s="241"/>
      <c r="K33" s="113"/>
      <c r="N33" s="158"/>
    </row>
    <row r="34" spans="1:14" s="104" customFormat="1" ht="47.25" customHeight="1">
      <c r="A34" s="398" t="s">
        <v>586</v>
      </c>
      <c r="B34" s="398" t="s">
        <v>1079</v>
      </c>
      <c r="C34" s="432" t="s">
        <v>77</v>
      </c>
      <c r="D34" s="398" t="s">
        <v>439</v>
      </c>
      <c r="E34" s="159" t="s">
        <v>92</v>
      </c>
      <c r="F34" s="404" t="s">
        <v>1194</v>
      </c>
      <c r="G34" s="75">
        <v>3739648</v>
      </c>
      <c r="H34" s="75"/>
      <c r="I34" s="75">
        <f t="shared" si="1"/>
        <v>3739648</v>
      </c>
      <c r="J34" s="241"/>
      <c r="K34" s="113"/>
      <c r="N34" s="158"/>
    </row>
    <row r="35" spans="1:14" s="104" customFormat="1" ht="47.25" customHeight="1">
      <c r="A35" s="398" t="s">
        <v>586</v>
      </c>
      <c r="B35" s="398" t="s">
        <v>1079</v>
      </c>
      <c r="C35" s="433"/>
      <c r="D35" s="398" t="s">
        <v>439</v>
      </c>
      <c r="E35" s="159" t="s">
        <v>92</v>
      </c>
      <c r="F35" s="404" t="s">
        <v>1225</v>
      </c>
      <c r="G35" s="75">
        <v>4055469</v>
      </c>
      <c r="H35" s="75">
        <v>19471766</v>
      </c>
      <c r="I35" s="75">
        <f t="shared" si="1"/>
        <v>23527235</v>
      </c>
      <c r="J35" s="241"/>
      <c r="K35" s="113"/>
      <c r="N35" s="158"/>
    </row>
    <row r="36" spans="1:14" s="104" customFormat="1" ht="15.75" customHeight="1">
      <c r="A36" s="212" t="s">
        <v>577</v>
      </c>
      <c r="B36" s="212" t="s">
        <v>1084</v>
      </c>
      <c r="C36" s="212" t="s">
        <v>578</v>
      </c>
      <c r="D36" s="212"/>
      <c r="E36" s="213" t="s">
        <v>579</v>
      </c>
      <c r="F36" s="202"/>
      <c r="G36" s="83">
        <f>G37</f>
        <v>0</v>
      </c>
      <c r="H36" s="83">
        <f>H37</f>
        <v>83150</v>
      </c>
      <c r="I36" s="83">
        <f>I37</f>
        <v>83150</v>
      </c>
      <c r="J36" s="241">
        <f>J37</f>
        <v>0</v>
      </c>
      <c r="K36" s="113"/>
      <c r="N36" s="158"/>
    </row>
    <row r="37" spans="1:14" s="104" customFormat="1" ht="63" customHeight="1">
      <c r="A37" s="203" t="s">
        <v>580</v>
      </c>
      <c r="B37" s="203" t="s">
        <v>1085</v>
      </c>
      <c r="C37" s="203" t="s">
        <v>71</v>
      </c>
      <c r="D37" s="414" t="s">
        <v>439</v>
      </c>
      <c r="E37" s="211" t="s">
        <v>221</v>
      </c>
      <c r="F37" s="404" t="s">
        <v>1226</v>
      </c>
      <c r="G37" s="75">
        <f>G38</f>
        <v>0</v>
      </c>
      <c r="H37" s="75">
        <f>H38</f>
        <v>83150</v>
      </c>
      <c r="I37" s="75">
        <f>G37+H37</f>
        <v>83150</v>
      </c>
      <c r="J37" s="241">
        <f>J38</f>
        <v>0</v>
      </c>
      <c r="K37" s="113"/>
      <c r="N37" s="158"/>
    </row>
    <row r="38" spans="1:14" s="104" customFormat="1" ht="47.25" customHeight="1" hidden="1">
      <c r="A38" s="342" t="s">
        <v>581</v>
      </c>
      <c r="B38" s="342" t="s">
        <v>1086</v>
      </c>
      <c r="C38" s="290" t="s">
        <v>71</v>
      </c>
      <c r="D38" s="342" t="s">
        <v>439</v>
      </c>
      <c r="E38" s="236" t="s">
        <v>582</v>
      </c>
      <c r="F38" s="404" t="s">
        <v>1226</v>
      </c>
      <c r="G38" s="350"/>
      <c r="H38" s="350">
        <v>83150</v>
      </c>
      <c r="I38" s="350">
        <f>H38+G38</f>
        <v>83150</v>
      </c>
      <c r="J38" s="242"/>
      <c r="K38" s="113"/>
      <c r="N38" s="158"/>
    </row>
    <row r="39" spans="1:14" s="104" customFormat="1" ht="31.5" customHeight="1">
      <c r="A39" s="96"/>
      <c r="B39" s="96" t="s">
        <v>141</v>
      </c>
      <c r="C39" s="96" t="s">
        <v>141</v>
      </c>
      <c r="D39" s="96"/>
      <c r="E39" s="99" t="s">
        <v>533</v>
      </c>
      <c r="F39" s="166"/>
      <c r="G39" s="83">
        <f>G40</f>
        <v>176068026</v>
      </c>
      <c r="H39" s="83">
        <f>H40</f>
        <v>113576679</v>
      </c>
      <c r="I39" s="83">
        <f>I40</f>
        <v>289644705</v>
      </c>
      <c r="J39" s="144">
        <f>J40</f>
        <v>161193</v>
      </c>
      <c r="K39" s="113"/>
      <c r="N39" s="158"/>
    </row>
    <row r="40" spans="1:14" s="104" customFormat="1" ht="30" customHeight="1">
      <c r="A40" s="268" t="s">
        <v>590</v>
      </c>
      <c r="B40" s="268"/>
      <c r="C40" s="268"/>
      <c r="D40" s="268"/>
      <c r="E40" s="217" t="s">
        <v>533</v>
      </c>
      <c r="F40" s="204"/>
      <c r="G40" s="75">
        <f>G41+G43+G69+G72+G77</f>
        <v>176068026</v>
      </c>
      <c r="H40" s="75">
        <f>H41+H43+H69+H72+H77</f>
        <v>113576679</v>
      </c>
      <c r="I40" s="75">
        <f>G40+H40</f>
        <v>289644705</v>
      </c>
      <c r="J40" s="241">
        <f>J41+J43+J69+J72+J77</f>
        <v>161193</v>
      </c>
      <c r="K40" s="106"/>
      <c r="N40" s="158"/>
    </row>
    <row r="41" spans="1:14" s="104" customFormat="1" ht="15.75" customHeight="1" hidden="1">
      <c r="A41" s="313" t="s">
        <v>592</v>
      </c>
      <c r="B41" s="313" t="s">
        <v>1068</v>
      </c>
      <c r="C41" s="313" t="s">
        <v>559</v>
      </c>
      <c r="D41" s="313"/>
      <c r="E41" s="213" t="s">
        <v>560</v>
      </c>
      <c r="F41" s="204"/>
      <c r="G41" s="75">
        <f>G42</f>
        <v>0</v>
      </c>
      <c r="H41" s="75">
        <f>H42</f>
        <v>0</v>
      </c>
      <c r="I41" s="75">
        <f aca="true" t="shared" si="2" ref="I41:I117">G41+H41</f>
        <v>0</v>
      </c>
      <c r="J41" s="241">
        <f>J42</f>
        <v>0</v>
      </c>
      <c r="K41" s="106"/>
      <c r="N41" s="158"/>
    </row>
    <row r="42" spans="1:14" s="104" customFormat="1" ht="31.5" customHeight="1" hidden="1">
      <c r="A42" s="268" t="s">
        <v>591</v>
      </c>
      <c r="B42" s="268" t="s">
        <v>471</v>
      </c>
      <c r="C42" s="268" t="s">
        <v>165</v>
      </c>
      <c r="D42" s="268" t="s">
        <v>436</v>
      </c>
      <c r="E42" s="353" t="s">
        <v>1027</v>
      </c>
      <c r="F42" s="177" t="s">
        <v>499</v>
      </c>
      <c r="G42" s="75"/>
      <c r="H42" s="75"/>
      <c r="I42" s="75">
        <f t="shared" si="2"/>
        <v>0</v>
      </c>
      <c r="J42" s="241"/>
      <c r="K42" s="113"/>
      <c r="N42" s="158"/>
    </row>
    <row r="43" spans="1:14" s="104" customFormat="1" ht="15.75" customHeight="1">
      <c r="A43" s="212" t="s">
        <v>593</v>
      </c>
      <c r="B43" s="212" t="s">
        <v>1087</v>
      </c>
      <c r="C43" s="212" t="s">
        <v>594</v>
      </c>
      <c r="D43" s="212"/>
      <c r="E43" s="213" t="s">
        <v>595</v>
      </c>
      <c r="F43" s="202"/>
      <c r="G43" s="83">
        <f>G44+G45+G47+G48+G49+G51+G52+G54+G55+G56+G57+G58+G59+G60+G61+G62+G64+G65+G66+G67+G68+G53+G63+G46+G50</f>
        <v>165258554</v>
      </c>
      <c r="H43" s="83">
        <f>H44+H45+H47+H48+H49+H51+H52+H54+H55+H56+H57+H58+H59+H60+H61+H62+H64+H65+H66+H67+H68+H53+H63+H46+H50</f>
        <v>40015274</v>
      </c>
      <c r="I43" s="83">
        <f>I44+I45+I47+I48+I49+I51+I52+I54+I55+I56+I57+I58+I59+I60+I61+I62+I64+I65+I66+I67+I68+I53+I63+I46+I50</f>
        <v>205273828</v>
      </c>
      <c r="J43" s="241">
        <f>J44+J45+J47+J48+J49+J51+J52+J54+J55+J56+J57+J58+J59+J60+J61+J62+J64+J65+J66+J67+J68</f>
        <v>161193</v>
      </c>
      <c r="K43" s="113"/>
      <c r="N43" s="158"/>
    </row>
    <row r="44" spans="1:14" s="104" customFormat="1" ht="33" customHeight="1">
      <c r="A44" s="413" t="s">
        <v>597</v>
      </c>
      <c r="B44" s="413" t="s">
        <v>1088</v>
      </c>
      <c r="C44" s="432" t="s">
        <v>67</v>
      </c>
      <c r="D44" s="413" t="s">
        <v>440</v>
      </c>
      <c r="E44" s="159" t="s">
        <v>596</v>
      </c>
      <c r="F44" s="177" t="s">
        <v>499</v>
      </c>
      <c r="G44" s="75">
        <f>52237816-6573989+(48000)+(432050)+4000000</f>
        <v>50143877</v>
      </c>
      <c r="H44" s="75">
        <f>25063114+758478+(260450)</f>
        <v>26082042</v>
      </c>
      <c r="I44" s="75">
        <f t="shared" si="2"/>
        <v>76225919</v>
      </c>
      <c r="J44" s="241"/>
      <c r="K44" s="113"/>
      <c r="M44" s="115"/>
      <c r="N44" s="114"/>
    </row>
    <row r="45" spans="1:14" s="104" customFormat="1" ht="70.5" customHeight="1" hidden="1">
      <c r="A45" s="413" t="s">
        <v>597</v>
      </c>
      <c r="B45" s="413" t="s">
        <v>1088</v>
      </c>
      <c r="C45" s="437"/>
      <c r="D45" s="413" t="s">
        <v>440</v>
      </c>
      <c r="E45" s="159" t="s">
        <v>596</v>
      </c>
      <c r="F45" s="166" t="s">
        <v>475</v>
      </c>
      <c r="G45" s="75"/>
      <c r="H45" s="75"/>
      <c r="I45" s="75">
        <f t="shared" si="2"/>
        <v>0</v>
      </c>
      <c r="J45" s="241"/>
      <c r="K45" s="113"/>
      <c r="M45" s="115"/>
      <c r="N45" s="114"/>
    </row>
    <row r="46" spans="1:14" s="104" customFormat="1" ht="54.75" customHeight="1">
      <c r="A46" s="413" t="s">
        <v>597</v>
      </c>
      <c r="B46" s="413" t="s">
        <v>1088</v>
      </c>
      <c r="C46" s="437"/>
      <c r="D46" s="413" t="s">
        <v>440</v>
      </c>
      <c r="E46" s="159" t="s">
        <v>596</v>
      </c>
      <c r="F46" s="409" t="s">
        <v>1248</v>
      </c>
      <c r="G46" s="75">
        <f>3200000+9800000-5000000</f>
        <v>8000000</v>
      </c>
      <c r="H46" s="75"/>
      <c r="I46" s="75">
        <f t="shared" si="2"/>
        <v>8000000</v>
      </c>
      <c r="J46" s="241"/>
      <c r="K46" s="113"/>
      <c r="M46" s="115"/>
      <c r="N46" s="114"/>
    </row>
    <row r="47" spans="1:14" s="104" customFormat="1" ht="31.5">
      <c r="A47" s="413" t="s">
        <v>597</v>
      </c>
      <c r="B47" s="413" t="s">
        <v>1088</v>
      </c>
      <c r="C47" s="433"/>
      <c r="D47" s="413" t="s">
        <v>440</v>
      </c>
      <c r="E47" s="159" t="s">
        <v>596</v>
      </c>
      <c r="F47" s="100" t="s">
        <v>1231</v>
      </c>
      <c r="G47" s="371">
        <v>122020</v>
      </c>
      <c r="H47" s="371">
        <v>24900</v>
      </c>
      <c r="I47" s="371">
        <f t="shared" si="2"/>
        <v>146920</v>
      </c>
      <c r="J47" s="243"/>
      <c r="K47" s="106"/>
      <c r="N47" s="158"/>
    </row>
    <row r="48" spans="1:14" s="104" customFormat="1" ht="60.75" customHeight="1">
      <c r="A48" s="268" t="s">
        <v>598</v>
      </c>
      <c r="B48" s="424" t="s">
        <v>455</v>
      </c>
      <c r="C48" s="436" t="s">
        <v>68</v>
      </c>
      <c r="D48" s="268" t="s">
        <v>441</v>
      </c>
      <c r="E48" s="431" t="s">
        <v>599</v>
      </c>
      <c r="F48" s="177" t="s">
        <v>499</v>
      </c>
      <c r="G48" s="75">
        <f>44973762-735315+(39800)+(225400)+6000000</f>
        <v>50503647</v>
      </c>
      <c r="H48" s="75">
        <f>9658098-220917+(23000)+(1769000)</f>
        <v>11229181</v>
      </c>
      <c r="I48" s="75">
        <f t="shared" si="2"/>
        <v>61732828</v>
      </c>
      <c r="J48" s="241"/>
      <c r="K48" s="113"/>
      <c r="L48" s="115"/>
      <c r="M48" s="115"/>
      <c r="N48" s="158"/>
    </row>
    <row r="49" spans="1:14" s="104" customFormat="1" ht="61.5" customHeight="1">
      <c r="A49" s="268" t="s">
        <v>598</v>
      </c>
      <c r="B49" s="424" t="s">
        <v>455</v>
      </c>
      <c r="C49" s="436"/>
      <c r="D49" s="268" t="s">
        <v>441</v>
      </c>
      <c r="E49" s="431" t="s">
        <v>599</v>
      </c>
      <c r="F49" s="171" t="s">
        <v>489</v>
      </c>
      <c r="G49" s="75">
        <v>845902</v>
      </c>
      <c r="H49" s="75">
        <v>161193</v>
      </c>
      <c r="I49" s="75">
        <f t="shared" si="2"/>
        <v>1007095</v>
      </c>
      <c r="J49" s="241">
        <v>161193</v>
      </c>
      <c r="K49" s="106"/>
      <c r="N49" s="158"/>
    </row>
    <row r="50" spans="1:14" s="104" customFormat="1" ht="60" customHeight="1">
      <c r="A50" s="436" t="s">
        <v>598</v>
      </c>
      <c r="B50" s="424" t="s">
        <v>455</v>
      </c>
      <c r="C50" s="436"/>
      <c r="D50" s="268" t="s">
        <v>441</v>
      </c>
      <c r="E50" s="431" t="s">
        <v>599</v>
      </c>
      <c r="F50" s="409" t="s">
        <v>1248</v>
      </c>
      <c r="G50" s="75">
        <f>3300000+23700000-15000000</f>
        <v>12000000</v>
      </c>
      <c r="H50" s="75"/>
      <c r="I50" s="75">
        <f t="shared" si="2"/>
        <v>12000000</v>
      </c>
      <c r="J50" s="241"/>
      <c r="K50" s="106"/>
      <c r="N50" s="158"/>
    </row>
    <row r="51" spans="1:14" s="104" customFormat="1" ht="75.75" customHeight="1" hidden="1">
      <c r="A51" s="436"/>
      <c r="B51" s="424" t="s">
        <v>455</v>
      </c>
      <c r="C51" s="436"/>
      <c r="D51" s="268" t="s">
        <v>441</v>
      </c>
      <c r="E51" s="431" t="s">
        <v>599</v>
      </c>
      <c r="F51" s="167" t="s">
        <v>475</v>
      </c>
      <c r="G51" s="75"/>
      <c r="H51" s="75"/>
      <c r="I51" s="75">
        <f t="shared" si="2"/>
        <v>0</v>
      </c>
      <c r="J51" s="241"/>
      <c r="K51" s="106"/>
      <c r="N51" s="158"/>
    </row>
    <row r="52" spans="1:14" s="104" customFormat="1" ht="62.25" customHeight="1">
      <c r="A52" s="268" t="s">
        <v>598</v>
      </c>
      <c r="B52" s="424" t="s">
        <v>455</v>
      </c>
      <c r="C52" s="436"/>
      <c r="D52" s="268" t="s">
        <v>441</v>
      </c>
      <c r="E52" s="431" t="s">
        <v>599</v>
      </c>
      <c r="F52" s="100" t="s">
        <v>1231</v>
      </c>
      <c r="G52" s="371">
        <v>285000</v>
      </c>
      <c r="H52" s="371">
        <v>175000</v>
      </c>
      <c r="I52" s="371">
        <f t="shared" si="2"/>
        <v>460000</v>
      </c>
      <c r="J52" s="243"/>
      <c r="K52" s="106"/>
      <c r="N52" s="158"/>
    </row>
    <row r="53" spans="1:14" s="104" customFormat="1" ht="78.75">
      <c r="A53" s="268" t="s">
        <v>598</v>
      </c>
      <c r="B53" s="424" t="s">
        <v>455</v>
      </c>
      <c r="C53" s="436"/>
      <c r="D53" s="268" t="s">
        <v>441</v>
      </c>
      <c r="E53" s="431" t="s">
        <v>599</v>
      </c>
      <c r="F53" s="409" t="s">
        <v>1247</v>
      </c>
      <c r="G53" s="372">
        <v>105960</v>
      </c>
      <c r="H53" s="372">
        <v>58000</v>
      </c>
      <c r="I53" s="372">
        <f t="shared" si="2"/>
        <v>163960</v>
      </c>
      <c r="J53" s="243"/>
      <c r="K53" s="106"/>
      <c r="N53" s="158"/>
    </row>
    <row r="54" spans="1:14" s="104" customFormat="1" ht="35.25" customHeight="1">
      <c r="A54" s="265">
        <v>1011030</v>
      </c>
      <c r="B54" s="434" t="s">
        <v>456</v>
      </c>
      <c r="C54" s="434" t="s">
        <v>69</v>
      </c>
      <c r="D54" s="434" t="s">
        <v>441</v>
      </c>
      <c r="E54" s="443" t="s">
        <v>600</v>
      </c>
      <c r="F54" s="177" t="s">
        <v>499</v>
      </c>
      <c r="G54" s="75">
        <f>54152+1740</f>
        <v>55892</v>
      </c>
      <c r="H54" s="75"/>
      <c r="I54" s="75">
        <f t="shared" si="2"/>
        <v>55892</v>
      </c>
      <c r="J54" s="241"/>
      <c r="K54" s="113"/>
      <c r="M54" s="115"/>
      <c r="N54" s="158"/>
    </row>
    <row r="55" spans="1:14" s="104" customFormat="1" ht="47.25" customHeight="1" hidden="1">
      <c r="A55" s="265">
        <v>1011030</v>
      </c>
      <c r="B55" s="435"/>
      <c r="C55" s="435"/>
      <c r="D55" s="438"/>
      <c r="E55" s="444"/>
      <c r="F55" s="100" t="s">
        <v>1231</v>
      </c>
      <c r="G55" s="371"/>
      <c r="H55" s="371"/>
      <c r="I55" s="371">
        <f t="shared" si="2"/>
        <v>0</v>
      </c>
      <c r="J55" s="243"/>
      <c r="K55" s="113"/>
      <c r="N55" s="158"/>
    </row>
    <row r="56" spans="1:14" s="104" customFormat="1" ht="50.25" customHeight="1">
      <c r="A56" s="342" t="s">
        <v>601</v>
      </c>
      <c r="B56" s="342" t="s">
        <v>457</v>
      </c>
      <c r="C56" s="290" t="s">
        <v>26</v>
      </c>
      <c r="D56" s="434" t="s">
        <v>442</v>
      </c>
      <c r="E56" s="145" t="s">
        <v>602</v>
      </c>
      <c r="F56" s="177" t="s">
        <v>499</v>
      </c>
      <c r="G56" s="75">
        <v>316856</v>
      </c>
      <c r="H56" s="75">
        <v>726958</v>
      </c>
      <c r="I56" s="75">
        <f t="shared" si="2"/>
        <v>1043814</v>
      </c>
      <c r="J56" s="241"/>
      <c r="K56" s="113"/>
      <c r="N56" s="158"/>
    </row>
    <row r="57" spans="1:14" s="104" customFormat="1" ht="72" customHeight="1" hidden="1">
      <c r="A57" s="342" t="s">
        <v>601</v>
      </c>
      <c r="B57" s="342" t="s">
        <v>457</v>
      </c>
      <c r="C57" s="290" t="s">
        <v>26</v>
      </c>
      <c r="D57" s="438" t="s">
        <v>1251</v>
      </c>
      <c r="E57" s="145" t="s">
        <v>602</v>
      </c>
      <c r="F57" s="166" t="s">
        <v>475</v>
      </c>
      <c r="G57" s="75"/>
      <c r="H57" s="75"/>
      <c r="I57" s="75">
        <f t="shared" si="2"/>
        <v>0</v>
      </c>
      <c r="J57" s="241"/>
      <c r="K57" s="113"/>
      <c r="N57" s="158"/>
    </row>
    <row r="58" spans="1:15" s="104" customFormat="1" ht="47.25">
      <c r="A58" s="342" t="s">
        <v>601</v>
      </c>
      <c r="B58" s="342" t="s">
        <v>457</v>
      </c>
      <c r="C58" s="290" t="s">
        <v>26</v>
      </c>
      <c r="D58" s="265" t="s">
        <v>442</v>
      </c>
      <c r="E58" s="145" t="s">
        <v>602</v>
      </c>
      <c r="F58" s="100" t="s">
        <v>1231</v>
      </c>
      <c r="G58" s="86">
        <v>129800</v>
      </c>
      <c r="H58" s="86"/>
      <c r="I58" s="86">
        <f t="shared" si="2"/>
        <v>129800</v>
      </c>
      <c r="J58" s="244"/>
      <c r="K58" s="106"/>
      <c r="N58" s="114"/>
      <c r="O58" s="115"/>
    </row>
    <row r="59" spans="1:15" s="104" customFormat="1" ht="54.75" customHeight="1" hidden="1">
      <c r="A59" s="342" t="s">
        <v>601</v>
      </c>
      <c r="B59" s="342" t="s">
        <v>457</v>
      </c>
      <c r="C59" s="290" t="s">
        <v>26</v>
      </c>
      <c r="D59" s="425"/>
      <c r="E59" s="145" t="s">
        <v>602</v>
      </c>
      <c r="F59" s="166" t="s">
        <v>14</v>
      </c>
      <c r="G59" s="75"/>
      <c r="H59" s="75"/>
      <c r="I59" s="75">
        <f t="shared" si="2"/>
        <v>0</v>
      </c>
      <c r="J59" s="245"/>
      <c r="K59" s="106"/>
      <c r="N59" s="114"/>
      <c r="O59" s="115"/>
    </row>
    <row r="60" spans="1:14" s="104" customFormat="1" ht="49.5" customHeight="1">
      <c r="A60" s="268" t="s">
        <v>603</v>
      </c>
      <c r="B60" s="268" t="s">
        <v>1089</v>
      </c>
      <c r="C60" s="265" t="s">
        <v>485</v>
      </c>
      <c r="D60" s="268" t="s">
        <v>486</v>
      </c>
      <c r="E60" s="347" t="s">
        <v>604</v>
      </c>
      <c r="F60" s="200" t="s">
        <v>501</v>
      </c>
      <c r="G60" s="75">
        <v>42596946</v>
      </c>
      <c r="H60" s="75"/>
      <c r="I60" s="75">
        <f t="shared" si="2"/>
        <v>42596946</v>
      </c>
      <c r="J60" s="245"/>
      <c r="K60" s="106"/>
      <c r="N60" s="158"/>
    </row>
    <row r="61" spans="1:14" s="104" customFormat="1" ht="48" customHeight="1">
      <c r="A61" s="268" t="s">
        <v>603</v>
      </c>
      <c r="B61" s="268" t="s">
        <v>1089</v>
      </c>
      <c r="C61" s="265" t="s">
        <v>485</v>
      </c>
      <c r="D61" s="268" t="s">
        <v>486</v>
      </c>
      <c r="E61" s="347" t="s">
        <v>604</v>
      </c>
      <c r="F61" s="100" t="s">
        <v>1231</v>
      </c>
      <c r="G61" s="86">
        <v>108000</v>
      </c>
      <c r="H61" s="86">
        <v>50000</v>
      </c>
      <c r="I61" s="86">
        <f t="shared" si="2"/>
        <v>158000</v>
      </c>
      <c r="J61" s="244"/>
      <c r="K61" s="106"/>
      <c r="N61" s="158"/>
    </row>
    <row r="62" spans="1:14" s="104" customFormat="1" ht="41.25" customHeight="1" hidden="1">
      <c r="A62" s="413" t="s">
        <v>605</v>
      </c>
      <c r="B62" s="413" t="s">
        <v>1090</v>
      </c>
      <c r="C62" s="439" t="s">
        <v>276</v>
      </c>
      <c r="D62" s="145" t="s">
        <v>443</v>
      </c>
      <c r="E62" s="159" t="s">
        <v>606</v>
      </c>
      <c r="F62" s="177" t="s">
        <v>499</v>
      </c>
      <c r="G62" s="75"/>
      <c r="H62" s="75"/>
      <c r="I62" s="75">
        <f t="shared" si="2"/>
        <v>0</v>
      </c>
      <c r="J62" s="245"/>
      <c r="K62" s="106"/>
      <c r="N62" s="158"/>
    </row>
    <row r="63" spans="1:14" s="104" customFormat="1" ht="41.25" customHeight="1">
      <c r="A63" s="413" t="s">
        <v>605</v>
      </c>
      <c r="B63" s="413" t="s">
        <v>1090</v>
      </c>
      <c r="C63" s="439"/>
      <c r="D63" s="145" t="s">
        <v>443</v>
      </c>
      <c r="E63" s="159" t="s">
        <v>606</v>
      </c>
      <c r="F63" s="409" t="s">
        <v>1247</v>
      </c>
      <c r="G63" s="75">
        <v>24654</v>
      </c>
      <c r="H63" s="75"/>
      <c r="I63" s="75">
        <f t="shared" si="2"/>
        <v>24654</v>
      </c>
      <c r="J63" s="245"/>
      <c r="K63" s="106"/>
      <c r="N63" s="158"/>
    </row>
    <row r="64" spans="1:14" s="104" customFormat="1" ht="47.25" customHeight="1">
      <c r="A64" s="203" t="s">
        <v>607</v>
      </c>
      <c r="B64" s="203" t="s">
        <v>1091</v>
      </c>
      <c r="C64" s="203" t="s">
        <v>367</v>
      </c>
      <c r="D64" s="203" t="s">
        <v>443</v>
      </c>
      <c r="E64" s="211" t="s">
        <v>608</v>
      </c>
      <c r="F64" s="177" t="s">
        <v>499</v>
      </c>
      <c r="G64" s="75">
        <v>20000</v>
      </c>
      <c r="H64" s="75"/>
      <c r="I64" s="75">
        <f t="shared" si="2"/>
        <v>20000</v>
      </c>
      <c r="J64" s="245"/>
      <c r="K64" s="106"/>
      <c r="N64" s="158"/>
    </row>
    <row r="65" spans="1:14" s="104" customFormat="1" ht="31.5" customHeight="1">
      <c r="A65" s="203" t="s">
        <v>609</v>
      </c>
      <c r="B65" s="203" t="s">
        <v>1092</v>
      </c>
      <c r="C65" s="203" t="s">
        <v>283</v>
      </c>
      <c r="D65" s="203" t="s">
        <v>443</v>
      </c>
      <c r="E65" s="211" t="s">
        <v>610</v>
      </c>
      <c r="F65" s="177" t="s">
        <v>499</v>
      </c>
      <c r="G65" s="75"/>
      <c r="H65" s="75">
        <v>1508000</v>
      </c>
      <c r="I65" s="75">
        <f t="shared" si="2"/>
        <v>1508000</v>
      </c>
      <c r="J65" s="245"/>
      <c r="K65" s="113"/>
      <c r="M65" s="115"/>
      <c r="N65" s="158"/>
    </row>
    <row r="66" spans="1:14" s="104" customFormat="1" ht="36" customHeight="1" hidden="1">
      <c r="A66" s="203" t="s">
        <v>611</v>
      </c>
      <c r="B66" s="203" t="s">
        <v>1093</v>
      </c>
      <c r="C66" s="203" t="s">
        <v>277</v>
      </c>
      <c r="D66" s="203" t="s">
        <v>443</v>
      </c>
      <c r="E66" s="211" t="s">
        <v>612</v>
      </c>
      <c r="F66" s="177" t="s">
        <v>499</v>
      </c>
      <c r="G66" s="75"/>
      <c r="H66" s="75"/>
      <c r="I66" s="75">
        <f t="shared" si="2"/>
        <v>0</v>
      </c>
      <c r="J66" s="245"/>
      <c r="K66" s="106"/>
      <c r="N66" s="158"/>
    </row>
    <row r="67" spans="1:14" s="104" customFormat="1" ht="33.75" customHeight="1" hidden="1">
      <c r="A67" s="342" t="s">
        <v>613</v>
      </c>
      <c r="B67" s="432" t="s">
        <v>1094</v>
      </c>
      <c r="C67" s="432" t="s">
        <v>126</v>
      </c>
      <c r="D67" s="432" t="s">
        <v>443</v>
      </c>
      <c r="E67" s="432" t="s">
        <v>614</v>
      </c>
      <c r="F67" s="177" t="s">
        <v>499</v>
      </c>
      <c r="G67" s="75"/>
      <c r="H67" s="75"/>
      <c r="I67" s="75">
        <f t="shared" si="2"/>
        <v>0</v>
      </c>
      <c r="J67" s="245"/>
      <c r="K67" s="106"/>
      <c r="N67" s="158"/>
    </row>
    <row r="68" spans="1:14" s="104" customFormat="1" ht="51" customHeight="1" hidden="1">
      <c r="A68" s="342" t="s">
        <v>613</v>
      </c>
      <c r="B68" s="433"/>
      <c r="C68" s="433"/>
      <c r="D68" s="433"/>
      <c r="E68" s="433"/>
      <c r="F68" s="100" t="s">
        <v>1231</v>
      </c>
      <c r="G68" s="75"/>
      <c r="H68" s="75"/>
      <c r="I68" s="75">
        <f t="shared" si="2"/>
        <v>0</v>
      </c>
      <c r="J68" s="245"/>
      <c r="K68" s="106"/>
      <c r="N68" s="158"/>
    </row>
    <row r="69" spans="1:14" s="104" customFormat="1" ht="51" customHeight="1">
      <c r="A69" s="212" t="s">
        <v>615</v>
      </c>
      <c r="B69" s="212" t="s">
        <v>1095</v>
      </c>
      <c r="C69" s="212" t="s">
        <v>616</v>
      </c>
      <c r="D69" s="212"/>
      <c r="E69" s="213" t="s">
        <v>617</v>
      </c>
      <c r="F69" s="100"/>
      <c r="G69" s="83">
        <f>G70+G71</f>
        <v>10809472</v>
      </c>
      <c r="H69" s="83">
        <f>H70+H71</f>
        <v>0</v>
      </c>
      <c r="I69" s="83">
        <f>I70+I71</f>
        <v>10809472</v>
      </c>
      <c r="J69" s="245">
        <f>J70+J71</f>
        <v>0</v>
      </c>
      <c r="K69" s="106"/>
      <c r="N69" s="158"/>
    </row>
    <row r="70" spans="1:14" s="104" customFormat="1" ht="78.75">
      <c r="A70" s="203" t="s">
        <v>618</v>
      </c>
      <c r="B70" s="203" t="s">
        <v>1096</v>
      </c>
      <c r="C70" s="203" t="s">
        <v>70</v>
      </c>
      <c r="D70" s="203" t="s">
        <v>444</v>
      </c>
      <c r="E70" s="211" t="s">
        <v>619</v>
      </c>
      <c r="F70" s="236" t="s">
        <v>489</v>
      </c>
      <c r="G70" s="75">
        <v>10746342</v>
      </c>
      <c r="H70" s="75"/>
      <c r="I70" s="75">
        <f t="shared" si="2"/>
        <v>10746342</v>
      </c>
      <c r="J70" s="245"/>
      <c r="K70" s="106"/>
      <c r="N70" s="158"/>
    </row>
    <row r="71" spans="1:14" s="104" customFormat="1" ht="51" customHeight="1">
      <c r="A71" s="203" t="s">
        <v>620</v>
      </c>
      <c r="B71" s="203" t="s">
        <v>1097</v>
      </c>
      <c r="C71" s="203" t="s">
        <v>495</v>
      </c>
      <c r="D71" s="203" t="s">
        <v>496</v>
      </c>
      <c r="E71" s="211" t="s">
        <v>497</v>
      </c>
      <c r="F71" s="4" t="s">
        <v>14</v>
      </c>
      <c r="G71" s="75">
        <v>63130</v>
      </c>
      <c r="H71" s="75"/>
      <c r="I71" s="75">
        <f t="shared" si="2"/>
        <v>63130</v>
      </c>
      <c r="J71" s="245"/>
      <c r="K71" s="106"/>
      <c r="N71" s="158"/>
    </row>
    <row r="72" spans="1:14" s="104" customFormat="1" ht="15.75" customHeight="1">
      <c r="A72" s="212" t="s">
        <v>621</v>
      </c>
      <c r="B72" s="212" t="s">
        <v>1073</v>
      </c>
      <c r="C72" s="212" t="s">
        <v>572</v>
      </c>
      <c r="D72" s="212"/>
      <c r="E72" s="213" t="s">
        <v>573</v>
      </c>
      <c r="F72" s="202"/>
      <c r="G72" s="83">
        <f>G73+G74+G75+G76</f>
        <v>0</v>
      </c>
      <c r="H72" s="83">
        <f>H73+H74+H75+H76</f>
        <v>72353994</v>
      </c>
      <c r="I72" s="83">
        <f>G72+H72</f>
        <v>72353994</v>
      </c>
      <c r="J72" s="245">
        <f>J73+J74+J75+J76</f>
        <v>0</v>
      </c>
      <c r="K72" s="106"/>
      <c r="N72" s="158"/>
    </row>
    <row r="73" spans="1:245" s="104" customFormat="1" ht="34.5" customHeight="1">
      <c r="A73" s="203" t="s">
        <v>622</v>
      </c>
      <c r="B73" s="203" t="s">
        <v>1074</v>
      </c>
      <c r="C73" s="203" t="s">
        <v>84</v>
      </c>
      <c r="D73" s="203" t="s">
        <v>438</v>
      </c>
      <c r="E73" s="211" t="s">
        <v>575</v>
      </c>
      <c r="F73" s="188" t="s">
        <v>499</v>
      </c>
      <c r="G73" s="310"/>
      <c r="H73" s="310">
        <f>15866982-890918</f>
        <v>14976064</v>
      </c>
      <c r="I73" s="310">
        <f t="shared" si="2"/>
        <v>14976064</v>
      </c>
      <c r="J73" s="246"/>
      <c r="K73" s="113"/>
      <c r="N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IA73" s="158"/>
      <c r="IB73" s="158"/>
      <c r="IC73" s="158"/>
      <c r="ID73" s="158"/>
      <c r="IE73" s="158"/>
      <c r="IF73" s="158"/>
      <c r="IG73" s="158"/>
      <c r="IH73" s="158"/>
      <c r="II73" s="158"/>
      <c r="IJ73" s="158"/>
      <c r="IK73" s="158"/>
    </row>
    <row r="74" spans="1:245" s="104" customFormat="1" ht="54" customHeight="1">
      <c r="A74" s="203" t="s">
        <v>623</v>
      </c>
      <c r="B74" s="203" t="s">
        <v>1098</v>
      </c>
      <c r="C74" s="203" t="s">
        <v>472</v>
      </c>
      <c r="D74" s="203" t="s">
        <v>441</v>
      </c>
      <c r="E74" s="211" t="s">
        <v>624</v>
      </c>
      <c r="F74" s="177" t="s">
        <v>499</v>
      </c>
      <c r="G74" s="310"/>
      <c r="H74" s="310">
        <f>56415567+787900-2173002</f>
        <v>55030465</v>
      </c>
      <c r="I74" s="310">
        <f t="shared" si="2"/>
        <v>55030465</v>
      </c>
      <c r="J74" s="246"/>
      <c r="K74" s="106"/>
      <c r="N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IA74" s="158"/>
      <c r="IB74" s="158"/>
      <c r="IC74" s="158"/>
      <c r="ID74" s="158"/>
      <c r="IE74" s="158"/>
      <c r="IF74" s="158"/>
      <c r="IG74" s="158"/>
      <c r="IH74" s="158"/>
      <c r="II74" s="158"/>
      <c r="IJ74" s="158"/>
      <c r="IK74" s="158"/>
    </row>
    <row r="75" spans="1:245" s="104" customFormat="1" ht="54" customHeight="1" hidden="1">
      <c r="A75" s="203" t="s">
        <v>625</v>
      </c>
      <c r="B75" s="203" t="s">
        <v>1099</v>
      </c>
      <c r="C75" s="203" t="s">
        <v>626</v>
      </c>
      <c r="D75" s="203" t="s">
        <v>627</v>
      </c>
      <c r="E75" s="211" t="s">
        <v>628</v>
      </c>
      <c r="F75" s="203"/>
      <c r="G75" s="347"/>
      <c r="H75" s="347"/>
      <c r="I75" s="347">
        <f t="shared" si="2"/>
        <v>0</v>
      </c>
      <c r="J75" s="206"/>
      <c r="K75" s="240"/>
      <c r="L75" s="203"/>
      <c r="M75" s="211"/>
      <c r="N75" s="203"/>
      <c r="O75" s="203"/>
      <c r="P75" s="203"/>
      <c r="Q75" s="211"/>
      <c r="R75" s="203"/>
      <c r="S75" s="203"/>
      <c r="T75" s="203"/>
      <c r="U75" s="211"/>
      <c r="V75" s="203"/>
      <c r="W75" s="203"/>
      <c r="X75" s="203"/>
      <c r="Y75" s="211"/>
      <c r="Z75" s="203"/>
      <c r="AA75" s="203"/>
      <c r="AB75" s="203"/>
      <c r="AC75" s="211"/>
      <c r="AD75" s="203"/>
      <c r="AE75" s="203"/>
      <c r="AF75" s="203"/>
      <c r="AG75" s="211"/>
      <c r="AH75" s="203"/>
      <c r="AI75" s="203"/>
      <c r="AJ75" s="203"/>
      <c r="AK75" s="287"/>
      <c r="AL75" s="206"/>
      <c r="AM75" s="206"/>
      <c r="AN75" s="206"/>
      <c r="AO75" s="218"/>
      <c r="AP75" s="206"/>
      <c r="AQ75" s="206"/>
      <c r="AR75" s="206"/>
      <c r="AS75" s="218"/>
      <c r="AT75" s="206"/>
      <c r="AU75" s="206"/>
      <c r="AV75" s="206"/>
      <c r="AW75" s="218"/>
      <c r="AX75" s="206"/>
      <c r="AY75" s="206"/>
      <c r="AZ75" s="206"/>
      <c r="BA75" s="218"/>
      <c r="BB75" s="206"/>
      <c r="BC75" s="206"/>
      <c r="BD75" s="206"/>
      <c r="BE75" s="218"/>
      <c r="BF75" s="206"/>
      <c r="BG75" s="206"/>
      <c r="BH75" s="206"/>
      <c r="BI75" s="218"/>
      <c r="BJ75" s="206"/>
      <c r="BK75" s="206"/>
      <c r="BL75" s="206"/>
      <c r="BM75" s="218"/>
      <c r="BN75" s="206"/>
      <c r="BO75" s="206"/>
      <c r="BP75" s="206"/>
      <c r="BQ75" s="218"/>
      <c r="BR75" s="206"/>
      <c r="BS75" s="206"/>
      <c r="BT75" s="206"/>
      <c r="BU75" s="218"/>
      <c r="BV75" s="206"/>
      <c r="BW75" s="206"/>
      <c r="BX75" s="206"/>
      <c r="BY75" s="218"/>
      <c r="BZ75" s="206"/>
      <c r="CA75" s="206"/>
      <c r="CB75" s="206"/>
      <c r="CC75" s="218"/>
      <c r="CD75" s="206"/>
      <c r="CE75" s="206"/>
      <c r="CF75" s="206"/>
      <c r="CG75" s="218"/>
      <c r="CH75" s="206"/>
      <c r="CI75" s="206"/>
      <c r="CJ75" s="240"/>
      <c r="CK75" s="211"/>
      <c r="CL75" s="203"/>
      <c r="CM75" s="203"/>
      <c r="CN75" s="203"/>
      <c r="CO75" s="211"/>
      <c r="CP75" s="203"/>
      <c r="CQ75" s="203"/>
      <c r="CR75" s="203"/>
      <c r="CS75" s="211"/>
      <c r="CT75" s="203"/>
      <c r="CU75" s="203"/>
      <c r="CV75" s="203"/>
      <c r="CW75" s="211"/>
      <c r="CX75" s="203"/>
      <c r="CY75" s="203"/>
      <c r="CZ75" s="203"/>
      <c r="DA75" s="211"/>
      <c r="DB75" s="203"/>
      <c r="DC75" s="203"/>
      <c r="DD75" s="203"/>
      <c r="DE75" s="211"/>
      <c r="DF75" s="203"/>
      <c r="DG75" s="203"/>
      <c r="DH75" s="203"/>
      <c r="DI75" s="211"/>
      <c r="DJ75" s="203"/>
      <c r="DK75" s="203"/>
      <c r="DL75" s="203"/>
      <c r="DM75" s="211"/>
      <c r="DN75" s="203"/>
      <c r="DO75" s="203"/>
      <c r="DP75" s="203"/>
      <c r="DQ75" s="211"/>
      <c r="DR75" s="203"/>
      <c r="DS75" s="203"/>
      <c r="DT75" s="203"/>
      <c r="DU75" s="211"/>
      <c r="DV75" s="203"/>
      <c r="DW75" s="203"/>
      <c r="DX75" s="203"/>
      <c r="DY75" s="211"/>
      <c r="DZ75" s="203"/>
      <c r="EA75" s="203"/>
      <c r="EB75" s="203"/>
      <c r="EC75" s="211"/>
      <c r="ED75" s="203"/>
      <c r="EE75" s="203"/>
      <c r="EF75" s="203"/>
      <c r="EG75" s="211"/>
      <c r="EH75" s="203"/>
      <c r="EI75" s="203"/>
      <c r="EJ75" s="203"/>
      <c r="EK75" s="211"/>
      <c r="EL75" s="203"/>
      <c r="EM75" s="203"/>
      <c r="EN75" s="203"/>
      <c r="EO75" s="211"/>
      <c r="EP75" s="203"/>
      <c r="EQ75" s="203"/>
      <c r="ER75" s="203"/>
      <c r="ES75" s="211"/>
      <c r="ET75" s="203"/>
      <c r="EU75" s="203"/>
      <c r="EV75" s="203"/>
      <c r="EW75" s="211"/>
      <c r="EX75" s="203"/>
      <c r="EY75" s="203"/>
      <c r="EZ75" s="203"/>
      <c r="FA75" s="211"/>
      <c r="FB75" s="203"/>
      <c r="FC75" s="203"/>
      <c r="FD75" s="203"/>
      <c r="FE75" s="211"/>
      <c r="FF75" s="203"/>
      <c r="FG75" s="203"/>
      <c r="FH75" s="203"/>
      <c r="FI75" s="211"/>
      <c r="FJ75" s="203"/>
      <c r="FK75" s="203"/>
      <c r="FL75" s="203"/>
      <c r="FM75" s="211"/>
      <c r="FN75" s="203"/>
      <c r="FO75" s="203"/>
      <c r="FP75" s="203"/>
      <c r="FQ75" s="211"/>
      <c r="FR75" s="203"/>
      <c r="FS75" s="203"/>
      <c r="FT75" s="203"/>
      <c r="FU75" s="211"/>
      <c r="FV75" s="203"/>
      <c r="FW75" s="203"/>
      <c r="FX75" s="203"/>
      <c r="FY75" s="211"/>
      <c r="FZ75" s="203"/>
      <c r="GA75" s="203"/>
      <c r="GB75" s="203"/>
      <c r="GC75" s="211"/>
      <c r="GD75" s="203"/>
      <c r="GE75" s="203"/>
      <c r="GF75" s="203"/>
      <c r="GG75" s="211"/>
      <c r="GH75" s="203"/>
      <c r="GI75" s="203"/>
      <c r="GJ75" s="203"/>
      <c r="GK75" s="211"/>
      <c r="GL75" s="203"/>
      <c r="GM75" s="203"/>
      <c r="GN75" s="203"/>
      <c r="GO75" s="211"/>
      <c r="GP75" s="203"/>
      <c r="GQ75" s="203"/>
      <c r="GR75" s="203"/>
      <c r="GS75" s="211"/>
      <c r="GT75" s="203"/>
      <c r="GU75" s="203"/>
      <c r="GV75" s="203"/>
      <c r="GW75" s="211"/>
      <c r="GX75" s="203"/>
      <c r="GY75" s="203"/>
      <c r="GZ75" s="203"/>
      <c r="HA75" s="211"/>
      <c r="HB75" s="203"/>
      <c r="HC75" s="203"/>
      <c r="HD75" s="203"/>
      <c r="HE75" s="211"/>
      <c r="HF75" s="203"/>
      <c r="HG75" s="203"/>
      <c r="HH75" s="203"/>
      <c r="HI75" s="211"/>
      <c r="HJ75" s="203"/>
      <c r="HK75" s="203"/>
      <c r="HL75" s="203"/>
      <c r="HM75" s="211"/>
      <c r="HN75" s="203"/>
      <c r="HO75" s="203"/>
      <c r="HP75" s="203"/>
      <c r="HQ75" s="211"/>
      <c r="HR75" s="203"/>
      <c r="HS75" s="203"/>
      <c r="HT75" s="203"/>
      <c r="HU75" s="211"/>
      <c r="HV75" s="203"/>
      <c r="HW75" s="203"/>
      <c r="HX75" s="203"/>
      <c r="HY75" s="211"/>
      <c r="HZ75" s="179"/>
      <c r="IA75" s="206"/>
      <c r="IB75" s="206"/>
      <c r="IC75" s="218"/>
      <c r="ID75" s="206"/>
      <c r="IE75" s="206"/>
      <c r="IF75" s="206"/>
      <c r="IG75" s="218"/>
      <c r="IH75" s="206"/>
      <c r="II75" s="206"/>
      <c r="IJ75" s="206"/>
      <c r="IK75" s="218"/>
    </row>
    <row r="76" spans="1:245" s="161" customFormat="1" ht="58.5" customHeight="1">
      <c r="A76" s="203" t="s">
        <v>629</v>
      </c>
      <c r="B76" s="203" t="s">
        <v>1100</v>
      </c>
      <c r="C76" s="203" t="s">
        <v>476</v>
      </c>
      <c r="D76" s="203" t="s">
        <v>442</v>
      </c>
      <c r="E76" s="211" t="s">
        <v>477</v>
      </c>
      <c r="F76" s="203" t="s">
        <v>499</v>
      </c>
      <c r="G76" s="347"/>
      <c r="H76" s="80">
        <f>980000+1367465</f>
        <v>2347465</v>
      </c>
      <c r="I76" s="383">
        <f t="shared" si="2"/>
        <v>2347465</v>
      </c>
      <c r="J76" s="206"/>
      <c r="K76" s="240"/>
      <c r="L76" s="203"/>
      <c r="M76" s="211"/>
      <c r="N76" s="203"/>
      <c r="O76" s="203"/>
      <c r="P76" s="203"/>
      <c r="Q76" s="211"/>
      <c r="R76" s="203"/>
      <c r="S76" s="203"/>
      <c r="T76" s="203"/>
      <c r="U76" s="211"/>
      <c r="V76" s="203"/>
      <c r="W76" s="203"/>
      <c r="X76" s="203"/>
      <c r="Y76" s="211"/>
      <c r="Z76" s="203"/>
      <c r="AA76" s="203"/>
      <c r="AB76" s="203"/>
      <c r="AC76" s="211"/>
      <c r="AD76" s="203"/>
      <c r="AE76" s="203"/>
      <c r="AF76" s="203"/>
      <c r="AG76" s="211"/>
      <c r="AH76" s="203"/>
      <c r="AI76" s="203"/>
      <c r="AJ76" s="203"/>
      <c r="AK76" s="287"/>
      <c r="AL76" s="206"/>
      <c r="AM76" s="206"/>
      <c r="AN76" s="206"/>
      <c r="AO76" s="218"/>
      <c r="AP76" s="206"/>
      <c r="AQ76" s="206"/>
      <c r="AR76" s="206"/>
      <c r="AS76" s="218"/>
      <c r="AT76" s="206"/>
      <c r="AU76" s="206"/>
      <c r="AV76" s="206"/>
      <c r="AW76" s="218"/>
      <c r="AX76" s="206"/>
      <c r="AY76" s="206"/>
      <c r="AZ76" s="206"/>
      <c r="BA76" s="218"/>
      <c r="BB76" s="206"/>
      <c r="BC76" s="206"/>
      <c r="BD76" s="206"/>
      <c r="BE76" s="218"/>
      <c r="BF76" s="206"/>
      <c r="BG76" s="206"/>
      <c r="BH76" s="206"/>
      <c r="BI76" s="218"/>
      <c r="BJ76" s="206"/>
      <c r="BK76" s="206"/>
      <c r="BL76" s="206"/>
      <c r="BM76" s="218"/>
      <c r="BN76" s="206"/>
      <c r="BO76" s="206"/>
      <c r="BP76" s="206"/>
      <c r="BQ76" s="218"/>
      <c r="BR76" s="206"/>
      <c r="BS76" s="206"/>
      <c r="BT76" s="206"/>
      <c r="BU76" s="218"/>
      <c r="BV76" s="206"/>
      <c r="BW76" s="206"/>
      <c r="BX76" s="206"/>
      <c r="BY76" s="218"/>
      <c r="BZ76" s="206"/>
      <c r="CA76" s="206"/>
      <c r="CB76" s="206"/>
      <c r="CC76" s="218"/>
      <c r="CD76" s="206"/>
      <c r="CE76" s="206"/>
      <c r="CF76" s="206"/>
      <c r="CG76" s="218"/>
      <c r="CH76" s="206"/>
      <c r="CI76" s="206"/>
      <c r="CJ76" s="240"/>
      <c r="CK76" s="211"/>
      <c r="CL76" s="203"/>
      <c r="CM76" s="203"/>
      <c r="CN76" s="203"/>
      <c r="CO76" s="211"/>
      <c r="CP76" s="203"/>
      <c r="CQ76" s="203"/>
      <c r="CR76" s="203"/>
      <c r="CS76" s="211"/>
      <c r="CT76" s="203"/>
      <c r="CU76" s="203"/>
      <c r="CV76" s="203"/>
      <c r="CW76" s="211"/>
      <c r="CX76" s="203"/>
      <c r="CY76" s="203"/>
      <c r="CZ76" s="203"/>
      <c r="DA76" s="211"/>
      <c r="DB76" s="203"/>
      <c r="DC76" s="203"/>
      <c r="DD76" s="203"/>
      <c r="DE76" s="211"/>
      <c r="DF76" s="203"/>
      <c r="DG76" s="203"/>
      <c r="DH76" s="203"/>
      <c r="DI76" s="211"/>
      <c r="DJ76" s="203"/>
      <c r="DK76" s="203"/>
      <c r="DL76" s="203"/>
      <c r="DM76" s="211"/>
      <c r="DN76" s="203"/>
      <c r="DO76" s="203"/>
      <c r="DP76" s="203"/>
      <c r="DQ76" s="211"/>
      <c r="DR76" s="203"/>
      <c r="DS76" s="203"/>
      <c r="DT76" s="203"/>
      <c r="DU76" s="211"/>
      <c r="DV76" s="203"/>
      <c r="DW76" s="203"/>
      <c r="DX76" s="203"/>
      <c r="DY76" s="211"/>
      <c r="DZ76" s="203"/>
      <c r="EA76" s="203"/>
      <c r="EB76" s="203"/>
      <c r="EC76" s="211"/>
      <c r="ED76" s="203"/>
      <c r="EE76" s="203"/>
      <c r="EF76" s="203"/>
      <c r="EG76" s="211"/>
      <c r="EH76" s="203"/>
      <c r="EI76" s="203"/>
      <c r="EJ76" s="203"/>
      <c r="EK76" s="211"/>
      <c r="EL76" s="203"/>
      <c r="EM76" s="203"/>
      <c r="EN76" s="203"/>
      <c r="EO76" s="211"/>
      <c r="EP76" s="203"/>
      <c r="EQ76" s="203"/>
      <c r="ER76" s="203"/>
      <c r="ES76" s="211"/>
      <c r="ET76" s="203"/>
      <c r="EU76" s="203"/>
      <c r="EV76" s="203"/>
      <c r="EW76" s="211"/>
      <c r="EX76" s="203"/>
      <c r="EY76" s="203"/>
      <c r="EZ76" s="203"/>
      <c r="FA76" s="211"/>
      <c r="FB76" s="203"/>
      <c r="FC76" s="203"/>
      <c r="FD76" s="203"/>
      <c r="FE76" s="211"/>
      <c r="FF76" s="203"/>
      <c r="FG76" s="203"/>
      <c r="FH76" s="203"/>
      <c r="FI76" s="211"/>
      <c r="FJ76" s="203"/>
      <c r="FK76" s="203"/>
      <c r="FL76" s="203"/>
      <c r="FM76" s="211"/>
      <c r="FN76" s="203"/>
      <c r="FO76" s="203"/>
      <c r="FP76" s="203"/>
      <c r="FQ76" s="211"/>
      <c r="FR76" s="203"/>
      <c r="FS76" s="203"/>
      <c r="FT76" s="203"/>
      <c r="FU76" s="211"/>
      <c r="FV76" s="203"/>
      <c r="FW76" s="203"/>
      <c r="FX76" s="203"/>
      <c r="FY76" s="211"/>
      <c r="FZ76" s="203"/>
      <c r="GA76" s="203"/>
      <c r="GB76" s="203"/>
      <c r="GC76" s="211"/>
      <c r="GD76" s="203"/>
      <c r="GE76" s="203"/>
      <c r="GF76" s="203"/>
      <c r="GG76" s="211"/>
      <c r="GH76" s="203"/>
      <c r="GI76" s="203"/>
      <c r="GJ76" s="203"/>
      <c r="GK76" s="211"/>
      <c r="GL76" s="203"/>
      <c r="GM76" s="203"/>
      <c r="GN76" s="203"/>
      <c r="GO76" s="211"/>
      <c r="GP76" s="203"/>
      <c r="GQ76" s="203"/>
      <c r="GR76" s="203"/>
      <c r="GS76" s="211"/>
      <c r="GT76" s="203"/>
      <c r="GU76" s="203"/>
      <c r="GV76" s="203"/>
      <c r="GW76" s="211"/>
      <c r="GX76" s="203"/>
      <c r="GY76" s="203"/>
      <c r="GZ76" s="203"/>
      <c r="HA76" s="211"/>
      <c r="HB76" s="203"/>
      <c r="HC76" s="203"/>
      <c r="HD76" s="203"/>
      <c r="HE76" s="211"/>
      <c r="HF76" s="203"/>
      <c r="HG76" s="203"/>
      <c r="HH76" s="203"/>
      <c r="HI76" s="211"/>
      <c r="HJ76" s="203"/>
      <c r="HK76" s="203"/>
      <c r="HL76" s="203"/>
      <c r="HM76" s="211"/>
      <c r="HN76" s="203"/>
      <c r="HO76" s="203"/>
      <c r="HP76" s="203"/>
      <c r="HQ76" s="211"/>
      <c r="HR76" s="203"/>
      <c r="HS76" s="203"/>
      <c r="HT76" s="203"/>
      <c r="HU76" s="211"/>
      <c r="HV76" s="203"/>
      <c r="HW76" s="203"/>
      <c r="HX76" s="203"/>
      <c r="HY76" s="211"/>
      <c r="HZ76" s="179"/>
      <c r="IA76" s="206"/>
      <c r="IB76" s="206"/>
      <c r="IC76" s="218"/>
      <c r="ID76" s="206"/>
      <c r="IE76" s="206"/>
      <c r="IF76" s="206"/>
      <c r="IG76" s="218"/>
      <c r="IH76" s="206"/>
      <c r="II76" s="206"/>
      <c r="IJ76" s="206"/>
      <c r="IK76" s="218"/>
    </row>
    <row r="77" spans="1:245" s="161" customFormat="1" ht="15.75" customHeight="1">
      <c r="A77" s="212" t="s">
        <v>630</v>
      </c>
      <c r="B77" s="212" t="s">
        <v>1084</v>
      </c>
      <c r="C77" s="212" t="s">
        <v>578</v>
      </c>
      <c r="D77" s="212"/>
      <c r="E77" s="213" t="s">
        <v>579</v>
      </c>
      <c r="F77" s="203"/>
      <c r="G77" s="83">
        <f>G78+G79</f>
        <v>0</v>
      </c>
      <c r="H77" s="83">
        <f>H78+H79</f>
        <v>1207411</v>
      </c>
      <c r="I77" s="83">
        <f>G77+H77</f>
        <v>1207411</v>
      </c>
      <c r="J77" s="114">
        <f>J78+J79</f>
        <v>0</v>
      </c>
      <c r="K77" s="206"/>
      <c r="L77" s="206"/>
      <c r="M77" s="218"/>
      <c r="N77" s="206"/>
      <c r="O77" s="206"/>
      <c r="P77" s="206"/>
      <c r="Q77" s="218"/>
      <c r="R77" s="206"/>
      <c r="S77" s="206"/>
      <c r="T77" s="206"/>
      <c r="U77" s="218"/>
      <c r="V77" s="206"/>
      <c r="W77" s="206"/>
      <c r="X77" s="206"/>
      <c r="Y77" s="218"/>
      <c r="Z77" s="206"/>
      <c r="AA77" s="206"/>
      <c r="AB77" s="206"/>
      <c r="AC77" s="218"/>
      <c r="AD77" s="206"/>
      <c r="AE77" s="206"/>
      <c r="AF77" s="206"/>
      <c r="AG77" s="218"/>
      <c r="AH77" s="206"/>
      <c r="AI77" s="206"/>
      <c r="AJ77" s="206"/>
      <c r="AK77" s="218"/>
      <c r="AL77" s="206"/>
      <c r="AM77" s="206"/>
      <c r="AN77" s="206"/>
      <c r="AO77" s="218"/>
      <c r="AP77" s="206"/>
      <c r="AQ77" s="206"/>
      <c r="AR77" s="206"/>
      <c r="AS77" s="218"/>
      <c r="AT77" s="206"/>
      <c r="AU77" s="206"/>
      <c r="AV77" s="206"/>
      <c r="AW77" s="218"/>
      <c r="AX77" s="206"/>
      <c r="AY77" s="206"/>
      <c r="AZ77" s="206"/>
      <c r="BA77" s="218"/>
      <c r="BB77" s="206"/>
      <c r="BC77" s="206"/>
      <c r="BD77" s="206"/>
      <c r="BE77" s="218"/>
      <c r="BF77" s="206"/>
      <c r="BG77" s="206"/>
      <c r="BH77" s="206"/>
      <c r="BI77" s="218"/>
      <c r="BJ77" s="206"/>
      <c r="BK77" s="206"/>
      <c r="BL77" s="206"/>
      <c r="BM77" s="218"/>
      <c r="BN77" s="206"/>
      <c r="BO77" s="206"/>
      <c r="BP77" s="206"/>
      <c r="BQ77" s="218"/>
      <c r="BR77" s="206"/>
      <c r="BS77" s="206"/>
      <c r="BT77" s="206"/>
      <c r="BU77" s="218"/>
      <c r="BV77" s="206"/>
      <c r="BW77" s="206"/>
      <c r="BX77" s="206"/>
      <c r="BY77" s="218"/>
      <c r="BZ77" s="206"/>
      <c r="CA77" s="206"/>
      <c r="CB77" s="206"/>
      <c r="CC77" s="218"/>
      <c r="CD77" s="206"/>
      <c r="CE77" s="206"/>
      <c r="CF77" s="206"/>
      <c r="CG77" s="218"/>
      <c r="CH77" s="206"/>
      <c r="CI77" s="206"/>
      <c r="CJ77" s="206"/>
      <c r="CK77" s="218"/>
      <c r="CL77" s="206"/>
      <c r="CM77" s="206"/>
      <c r="CN77" s="206"/>
      <c r="CO77" s="218"/>
      <c r="CP77" s="206"/>
      <c r="CQ77" s="206"/>
      <c r="CR77" s="206"/>
      <c r="CS77" s="218"/>
      <c r="CT77" s="206"/>
      <c r="CU77" s="206"/>
      <c r="CV77" s="206"/>
      <c r="CW77" s="218"/>
      <c r="CX77" s="206"/>
      <c r="CY77" s="206"/>
      <c r="CZ77" s="206"/>
      <c r="DA77" s="218"/>
      <c r="DB77" s="206"/>
      <c r="DC77" s="206"/>
      <c r="DD77" s="206"/>
      <c r="DE77" s="218"/>
      <c r="DF77" s="206"/>
      <c r="DG77" s="206"/>
      <c r="DH77" s="206"/>
      <c r="DI77" s="218"/>
      <c r="DJ77" s="206"/>
      <c r="DK77" s="206"/>
      <c r="DL77" s="206"/>
      <c r="DM77" s="218"/>
      <c r="DN77" s="206"/>
      <c r="DO77" s="206"/>
      <c r="DP77" s="206"/>
      <c r="DQ77" s="218"/>
      <c r="DR77" s="206"/>
      <c r="DS77" s="206"/>
      <c r="DT77" s="206"/>
      <c r="DU77" s="218"/>
      <c r="DV77" s="206"/>
      <c r="DW77" s="206"/>
      <c r="DX77" s="206"/>
      <c r="DY77" s="218"/>
      <c r="DZ77" s="206"/>
      <c r="EA77" s="206"/>
      <c r="EB77" s="206"/>
      <c r="EC77" s="218"/>
      <c r="ED77" s="206"/>
      <c r="EE77" s="206"/>
      <c r="EF77" s="206"/>
      <c r="EG77" s="218"/>
      <c r="EH77" s="206"/>
      <c r="EI77" s="206"/>
      <c r="EJ77" s="206"/>
      <c r="EK77" s="218"/>
      <c r="EL77" s="206"/>
      <c r="EM77" s="206"/>
      <c r="EN77" s="206"/>
      <c r="EO77" s="218"/>
      <c r="EP77" s="206"/>
      <c r="EQ77" s="206"/>
      <c r="ER77" s="206"/>
      <c r="ES77" s="218"/>
      <c r="ET77" s="206"/>
      <c r="EU77" s="206"/>
      <c r="EV77" s="206"/>
      <c r="EW77" s="218"/>
      <c r="EX77" s="206"/>
      <c r="EY77" s="206"/>
      <c r="EZ77" s="206"/>
      <c r="FA77" s="218"/>
      <c r="FB77" s="206"/>
      <c r="FC77" s="206"/>
      <c r="FD77" s="206"/>
      <c r="FE77" s="218"/>
      <c r="FF77" s="206"/>
      <c r="FG77" s="206"/>
      <c r="FH77" s="206"/>
      <c r="FI77" s="218"/>
      <c r="FJ77" s="206"/>
      <c r="FK77" s="206"/>
      <c r="FL77" s="206"/>
      <c r="FM77" s="218"/>
      <c r="FN77" s="206"/>
      <c r="FO77" s="206"/>
      <c r="FP77" s="206"/>
      <c r="FQ77" s="218"/>
      <c r="FR77" s="206"/>
      <c r="FS77" s="206"/>
      <c r="FT77" s="206"/>
      <c r="FU77" s="218"/>
      <c r="FV77" s="206"/>
      <c r="FW77" s="206"/>
      <c r="FX77" s="206"/>
      <c r="FY77" s="218"/>
      <c r="FZ77" s="206"/>
      <c r="GA77" s="206"/>
      <c r="GB77" s="206"/>
      <c r="GC77" s="218"/>
      <c r="GD77" s="206"/>
      <c r="GE77" s="206"/>
      <c r="GF77" s="206"/>
      <c r="GG77" s="218"/>
      <c r="GH77" s="206"/>
      <c r="GI77" s="206"/>
      <c r="GJ77" s="206"/>
      <c r="GK77" s="218"/>
      <c r="GL77" s="206"/>
      <c r="GM77" s="206"/>
      <c r="GN77" s="206"/>
      <c r="GO77" s="218"/>
      <c r="GP77" s="206"/>
      <c r="GQ77" s="206"/>
      <c r="GR77" s="206"/>
      <c r="GS77" s="218"/>
      <c r="GT77" s="206"/>
      <c r="GU77" s="206"/>
      <c r="GV77" s="206"/>
      <c r="GW77" s="218"/>
      <c r="GX77" s="206"/>
      <c r="GY77" s="206"/>
      <c r="GZ77" s="206"/>
      <c r="HA77" s="218"/>
      <c r="HB77" s="206"/>
      <c r="HC77" s="206"/>
      <c r="HD77" s="206"/>
      <c r="HE77" s="218"/>
      <c r="HF77" s="206"/>
      <c r="HG77" s="206"/>
      <c r="HH77" s="206"/>
      <c r="HI77" s="218"/>
      <c r="HJ77" s="206"/>
      <c r="HK77" s="206"/>
      <c r="HL77" s="206"/>
      <c r="HM77" s="218"/>
      <c r="HN77" s="206"/>
      <c r="HO77" s="206"/>
      <c r="HP77" s="206"/>
      <c r="HQ77" s="218"/>
      <c r="HR77" s="206"/>
      <c r="HS77" s="206"/>
      <c r="HT77" s="206"/>
      <c r="HU77" s="218"/>
      <c r="HV77" s="206"/>
      <c r="HW77" s="206"/>
      <c r="HX77" s="206"/>
      <c r="HY77" s="218"/>
      <c r="HZ77" s="206"/>
      <c r="IA77" s="206"/>
      <c r="IB77" s="206"/>
      <c r="IC77" s="218"/>
      <c r="ID77" s="206"/>
      <c r="IE77" s="206"/>
      <c r="IF77" s="206"/>
      <c r="IG77" s="218"/>
      <c r="IH77" s="206"/>
      <c r="II77" s="206"/>
      <c r="IJ77" s="206"/>
      <c r="IK77" s="218"/>
    </row>
    <row r="78" spans="1:87" s="104" customFormat="1" ht="52.5" customHeight="1">
      <c r="A78" s="203" t="s">
        <v>631</v>
      </c>
      <c r="B78" s="203" t="s">
        <v>1101</v>
      </c>
      <c r="C78" s="203" t="s">
        <v>29</v>
      </c>
      <c r="D78" s="203" t="s">
        <v>447</v>
      </c>
      <c r="E78" s="211" t="s">
        <v>106</v>
      </c>
      <c r="F78" s="404" t="s">
        <v>1227</v>
      </c>
      <c r="G78" s="75"/>
      <c r="H78" s="75">
        <v>1207411</v>
      </c>
      <c r="I78" s="75">
        <f t="shared" si="2"/>
        <v>1207411</v>
      </c>
      <c r="J78" s="241"/>
      <c r="K78" s="113"/>
      <c r="N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row>
    <row r="79" spans="1:87" s="104" customFormat="1" ht="52.5" customHeight="1" hidden="1">
      <c r="A79" s="203" t="s">
        <v>632</v>
      </c>
      <c r="B79" s="203" t="s">
        <v>1085</v>
      </c>
      <c r="C79" s="203" t="s">
        <v>71</v>
      </c>
      <c r="D79" s="203"/>
      <c r="E79" s="211" t="s">
        <v>221</v>
      </c>
      <c r="F79" s="202"/>
      <c r="G79" s="75">
        <f>G80</f>
        <v>0</v>
      </c>
      <c r="H79" s="75">
        <f>H80</f>
        <v>0</v>
      </c>
      <c r="I79" s="75">
        <f t="shared" si="2"/>
        <v>0</v>
      </c>
      <c r="J79" s="241">
        <f>J80</f>
        <v>0</v>
      </c>
      <c r="K79" s="113"/>
      <c r="N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row>
    <row r="80" spans="1:87" s="104" customFormat="1" ht="52.5" customHeight="1" hidden="1">
      <c r="A80" s="342" t="s">
        <v>633</v>
      </c>
      <c r="B80" s="342" t="s">
        <v>1086</v>
      </c>
      <c r="C80" s="290" t="s">
        <v>71</v>
      </c>
      <c r="D80" s="342" t="s">
        <v>439</v>
      </c>
      <c r="E80" s="236" t="s">
        <v>582</v>
      </c>
      <c r="F80" s="404" t="s">
        <v>1226</v>
      </c>
      <c r="G80" s="310"/>
      <c r="H80" s="310"/>
      <c r="I80" s="310">
        <f t="shared" si="2"/>
        <v>0</v>
      </c>
      <c r="J80" s="246"/>
      <c r="K80" s="113"/>
      <c r="N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row>
    <row r="81" spans="1:87" s="104" customFormat="1" ht="31.5" customHeight="1">
      <c r="A81" s="101"/>
      <c r="B81" s="392" t="s">
        <v>534</v>
      </c>
      <c r="C81" s="98" t="s">
        <v>534</v>
      </c>
      <c r="D81" s="101"/>
      <c r="E81" s="99" t="s">
        <v>520</v>
      </c>
      <c r="F81" s="194"/>
      <c r="G81" s="83">
        <f>G82</f>
        <v>19364361</v>
      </c>
      <c r="H81" s="83">
        <f>H82</f>
        <v>5502672</v>
      </c>
      <c r="I81" s="83">
        <f t="shared" si="2"/>
        <v>24867033</v>
      </c>
      <c r="J81" s="144">
        <f>J82</f>
        <v>94100</v>
      </c>
      <c r="K81" s="106"/>
      <c r="N81" s="114"/>
      <c r="O81" s="115"/>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row>
    <row r="82" spans="1:87" s="104" customFormat="1" ht="30.75" customHeight="1">
      <c r="A82" s="25" t="s">
        <v>634</v>
      </c>
      <c r="B82" s="25"/>
      <c r="C82" s="25"/>
      <c r="D82" s="25"/>
      <c r="E82" s="217" t="s">
        <v>520</v>
      </c>
      <c r="F82" s="204"/>
      <c r="G82" s="83">
        <f>G83+G85+G90+G103+G105</f>
        <v>19364361</v>
      </c>
      <c r="H82" s="83">
        <f>H83+H85+H90+H103+H105</f>
        <v>5502672</v>
      </c>
      <c r="I82" s="83">
        <f t="shared" si="2"/>
        <v>24867033</v>
      </c>
      <c r="J82" s="144">
        <f>J83+J85+J90+J103+J105</f>
        <v>94100</v>
      </c>
      <c r="K82" s="106"/>
      <c r="N82" s="114"/>
      <c r="O82" s="115"/>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58"/>
      <c r="BT82" s="158"/>
      <c r="BU82" s="158"/>
      <c r="BV82" s="158"/>
      <c r="BW82" s="158"/>
      <c r="BX82" s="158"/>
      <c r="BY82" s="158"/>
      <c r="BZ82" s="158"/>
      <c r="CA82" s="158"/>
      <c r="CB82" s="158"/>
      <c r="CC82" s="158"/>
      <c r="CD82" s="158"/>
      <c r="CE82" s="158"/>
      <c r="CF82" s="158"/>
      <c r="CG82" s="158"/>
      <c r="CH82" s="158"/>
      <c r="CI82" s="158"/>
    </row>
    <row r="83" spans="1:87" s="104" customFormat="1" ht="15.75" customHeight="1" hidden="1">
      <c r="A83" s="313" t="s">
        <v>635</v>
      </c>
      <c r="B83" s="313" t="s">
        <v>1068</v>
      </c>
      <c r="C83" s="314" t="s">
        <v>559</v>
      </c>
      <c r="D83" s="314"/>
      <c r="E83" s="213" t="s">
        <v>560</v>
      </c>
      <c r="F83" s="204"/>
      <c r="G83" s="83">
        <f>G84</f>
        <v>0</v>
      </c>
      <c r="H83" s="83">
        <f>H84</f>
        <v>0</v>
      </c>
      <c r="I83" s="83">
        <f t="shared" si="2"/>
        <v>0</v>
      </c>
      <c r="J83" s="144">
        <f>J84</f>
        <v>0</v>
      </c>
      <c r="K83" s="106"/>
      <c r="N83" s="114"/>
      <c r="O83" s="115"/>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row>
    <row r="84" spans="1:87" s="104" customFormat="1" ht="47.25" customHeight="1" hidden="1">
      <c r="A84" s="268" t="s">
        <v>636</v>
      </c>
      <c r="B84" s="268" t="s">
        <v>471</v>
      </c>
      <c r="C84" s="268" t="s">
        <v>165</v>
      </c>
      <c r="D84" s="268" t="s">
        <v>436</v>
      </c>
      <c r="E84" s="353" t="s">
        <v>637</v>
      </c>
      <c r="F84" s="190" t="s">
        <v>530</v>
      </c>
      <c r="G84" s="350"/>
      <c r="H84" s="350"/>
      <c r="I84" s="350">
        <f t="shared" si="2"/>
        <v>0</v>
      </c>
      <c r="J84" s="242"/>
      <c r="K84" s="106"/>
      <c r="N84" s="114"/>
      <c r="O84" s="115"/>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row>
    <row r="85" spans="1:87" s="104" customFormat="1" ht="15.75" customHeight="1">
      <c r="A85" s="313" t="s">
        <v>638</v>
      </c>
      <c r="B85" s="313" t="s">
        <v>1095</v>
      </c>
      <c r="C85" s="313" t="s">
        <v>616</v>
      </c>
      <c r="D85" s="313"/>
      <c r="E85" s="213" t="s">
        <v>617</v>
      </c>
      <c r="F85" s="204"/>
      <c r="G85" s="384">
        <f>G86+G88</f>
        <v>3716232</v>
      </c>
      <c r="H85" s="384">
        <f>H86+H88</f>
        <v>0</v>
      </c>
      <c r="I85" s="384">
        <f>I86+I88</f>
        <v>3716232</v>
      </c>
      <c r="J85" s="247">
        <f>J86</f>
        <v>0</v>
      </c>
      <c r="K85" s="106"/>
      <c r="N85" s="114"/>
      <c r="O85" s="115"/>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row>
    <row r="86" spans="1:87" s="104" customFormat="1" ht="31.5" customHeight="1">
      <c r="A86" s="268" t="s">
        <v>639</v>
      </c>
      <c r="B86" s="268" t="s">
        <v>1102</v>
      </c>
      <c r="C86" s="268" t="s">
        <v>81</v>
      </c>
      <c r="D86" s="268" t="s">
        <v>444</v>
      </c>
      <c r="E86" s="281" t="s">
        <v>640</v>
      </c>
      <c r="F86" s="236"/>
      <c r="G86" s="373">
        <f>G87</f>
        <v>1690555</v>
      </c>
      <c r="H86" s="373"/>
      <c r="I86" s="373">
        <f>G86+H86</f>
        <v>1690555</v>
      </c>
      <c r="J86" s="247"/>
      <c r="K86" s="106"/>
      <c r="N86" s="114"/>
      <c r="O86" s="115"/>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row>
    <row r="87" spans="1:87" s="104" customFormat="1" ht="31.5" customHeight="1">
      <c r="A87" s="265" t="s">
        <v>1203</v>
      </c>
      <c r="B87" s="265" t="s">
        <v>1204</v>
      </c>
      <c r="C87" s="265"/>
      <c r="D87" s="265" t="s">
        <v>444</v>
      </c>
      <c r="E87" s="427" t="s">
        <v>1205</v>
      </c>
      <c r="F87" s="404" t="s">
        <v>1228</v>
      </c>
      <c r="G87" s="373">
        <v>1690555</v>
      </c>
      <c r="H87" s="373"/>
      <c r="I87" s="373">
        <f t="shared" si="2"/>
        <v>1690555</v>
      </c>
      <c r="J87" s="247"/>
      <c r="K87" s="106"/>
      <c r="N87" s="114"/>
      <c r="O87" s="115"/>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row>
    <row r="88" spans="1:87" s="104" customFormat="1" ht="31.5" customHeight="1">
      <c r="A88" s="342" t="s">
        <v>1181</v>
      </c>
      <c r="B88" s="342" t="s">
        <v>1139</v>
      </c>
      <c r="C88" s="290"/>
      <c r="D88" s="342"/>
      <c r="E88" s="281" t="s">
        <v>93</v>
      </c>
      <c r="F88" s="404" t="s">
        <v>1229</v>
      </c>
      <c r="G88" s="373">
        <f>G89</f>
        <v>2025677</v>
      </c>
      <c r="H88" s="373">
        <f>H89</f>
        <v>0</v>
      </c>
      <c r="I88" s="373">
        <f t="shared" si="2"/>
        <v>2025677</v>
      </c>
      <c r="J88" s="247"/>
      <c r="K88" s="106"/>
      <c r="N88" s="114"/>
      <c r="O88" s="115"/>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row>
    <row r="89" spans="1:87" s="104" customFormat="1" ht="31.5" customHeight="1" hidden="1">
      <c r="A89" s="342" t="s">
        <v>1180</v>
      </c>
      <c r="B89" s="342" t="s">
        <v>1140</v>
      </c>
      <c r="C89" s="290" t="s">
        <v>86</v>
      </c>
      <c r="D89" s="342"/>
      <c r="E89" s="215" t="s">
        <v>730</v>
      </c>
      <c r="F89" s="404" t="s">
        <v>1229</v>
      </c>
      <c r="G89" s="75">
        <v>2025677</v>
      </c>
      <c r="H89" s="75"/>
      <c r="I89" s="75">
        <f t="shared" si="2"/>
        <v>2025677</v>
      </c>
      <c r="J89" s="247"/>
      <c r="K89" s="106"/>
      <c r="N89" s="114"/>
      <c r="O89" s="115"/>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row>
    <row r="90" spans="1:87" s="104" customFormat="1" ht="15.75" customHeight="1">
      <c r="A90" s="313" t="s">
        <v>641</v>
      </c>
      <c r="B90" s="313" t="s">
        <v>1103</v>
      </c>
      <c r="C90" s="268" t="s">
        <v>642</v>
      </c>
      <c r="D90" s="268"/>
      <c r="E90" s="213" t="s">
        <v>643</v>
      </c>
      <c r="F90" s="204"/>
      <c r="G90" s="384">
        <f>G91+G94+G100+G101+G97</f>
        <v>7362357</v>
      </c>
      <c r="H90" s="384">
        <f>H91+H94+H100+H101+H97</f>
        <v>3287920</v>
      </c>
      <c r="I90" s="384">
        <f>I91+I94+I100+I101+I97</f>
        <v>10650277</v>
      </c>
      <c r="J90" s="247">
        <f>J91+J94+J100+J101</f>
        <v>94100</v>
      </c>
      <c r="K90" s="106"/>
      <c r="N90" s="114"/>
      <c r="O90" s="115"/>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row>
    <row r="91" spans="1:87" s="104" customFormat="1" ht="15.75" customHeight="1">
      <c r="A91" s="268" t="s">
        <v>644</v>
      </c>
      <c r="B91" s="268" t="s">
        <v>1104</v>
      </c>
      <c r="C91" s="268"/>
      <c r="D91" s="268"/>
      <c r="E91" s="281" t="s">
        <v>645</v>
      </c>
      <c r="F91" s="204"/>
      <c r="G91" s="373">
        <f>G92+G93</f>
        <v>1011825</v>
      </c>
      <c r="H91" s="373">
        <f>H92+H93</f>
        <v>0</v>
      </c>
      <c r="I91" s="373">
        <f>G91+H91</f>
        <v>1011825</v>
      </c>
      <c r="J91" s="247">
        <f>J92+J93</f>
        <v>0</v>
      </c>
      <c r="K91" s="106"/>
      <c r="N91" s="114"/>
      <c r="O91" s="115"/>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row>
    <row r="92" spans="1:87" s="104" customFormat="1" ht="47.25" customHeight="1">
      <c r="A92" s="268" t="s">
        <v>646</v>
      </c>
      <c r="B92" s="268" t="s">
        <v>1105</v>
      </c>
      <c r="C92" s="268">
        <v>130102</v>
      </c>
      <c r="D92" s="268" t="s">
        <v>445</v>
      </c>
      <c r="E92" s="427" t="s">
        <v>647</v>
      </c>
      <c r="F92" s="192" t="s">
        <v>530</v>
      </c>
      <c r="G92" s="75">
        <f>633667+138808</f>
        <v>772475</v>
      </c>
      <c r="H92" s="75"/>
      <c r="I92" s="75">
        <f t="shared" si="2"/>
        <v>772475</v>
      </c>
      <c r="J92" s="241"/>
      <c r="K92" s="106"/>
      <c r="N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row>
    <row r="93" spans="1:87" s="104" customFormat="1" ht="47.25" customHeight="1">
      <c r="A93" s="268" t="s">
        <v>648</v>
      </c>
      <c r="B93" s="268" t="s">
        <v>1106</v>
      </c>
      <c r="C93" s="268" t="s">
        <v>238</v>
      </c>
      <c r="D93" s="268" t="s">
        <v>445</v>
      </c>
      <c r="E93" s="427" t="s">
        <v>1183</v>
      </c>
      <c r="F93" s="192" t="s">
        <v>530</v>
      </c>
      <c r="G93" s="75">
        <f>207319+32031</f>
        <v>239350</v>
      </c>
      <c r="H93" s="75"/>
      <c r="I93" s="75">
        <f t="shared" si="2"/>
        <v>239350</v>
      </c>
      <c r="J93" s="241"/>
      <c r="K93" s="106"/>
      <c r="N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row>
    <row r="94" spans="1:87" s="104" customFormat="1" ht="15.75" customHeight="1">
      <c r="A94" s="268" t="s">
        <v>1206</v>
      </c>
      <c r="B94" s="268" t="s">
        <v>1211</v>
      </c>
      <c r="C94" s="268"/>
      <c r="D94" s="268"/>
      <c r="E94" s="281" t="s">
        <v>1208</v>
      </c>
      <c r="F94" s="204"/>
      <c r="G94" s="75">
        <f>G95+G96</f>
        <v>5305916</v>
      </c>
      <c r="H94" s="75">
        <f>H95+H96</f>
        <v>2778166</v>
      </c>
      <c r="I94" s="75">
        <f t="shared" si="2"/>
        <v>8084082</v>
      </c>
      <c r="J94" s="241">
        <f>J95+J96+J98</f>
        <v>0</v>
      </c>
      <c r="K94" s="106"/>
      <c r="N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row>
    <row r="95" spans="1:87" s="104" customFormat="1" ht="48.75" customHeight="1">
      <c r="A95" s="265" t="s">
        <v>1207</v>
      </c>
      <c r="B95" s="265" t="s">
        <v>1210</v>
      </c>
      <c r="C95" s="265">
        <v>130107</v>
      </c>
      <c r="D95" s="265" t="s">
        <v>445</v>
      </c>
      <c r="E95" s="417" t="s">
        <v>649</v>
      </c>
      <c r="F95" s="192" t="s">
        <v>530</v>
      </c>
      <c r="G95" s="75">
        <f>3583953+1687793</f>
        <v>5271746</v>
      </c>
      <c r="H95" s="75">
        <f>1500000-217736+1473902</f>
        <v>2756166</v>
      </c>
      <c r="I95" s="75">
        <f t="shared" si="2"/>
        <v>8027912</v>
      </c>
      <c r="J95" s="277"/>
      <c r="K95" s="113"/>
      <c r="M95" s="115"/>
      <c r="N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row>
    <row r="96" spans="1:87" s="104" customFormat="1" ht="45" customHeight="1">
      <c r="A96" s="265" t="s">
        <v>1207</v>
      </c>
      <c r="B96" s="265" t="s">
        <v>1210</v>
      </c>
      <c r="C96" s="265">
        <v>130107</v>
      </c>
      <c r="D96" s="265" t="s">
        <v>445</v>
      </c>
      <c r="E96" s="417" t="s">
        <v>649</v>
      </c>
      <c r="F96" s="100" t="s">
        <v>1231</v>
      </c>
      <c r="G96" s="81">
        <v>34170</v>
      </c>
      <c r="H96" s="81">
        <v>22000</v>
      </c>
      <c r="I96" s="75">
        <f t="shared" si="2"/>
        <v>56170</v>
      </c>
      <c r="J96" s="278"/>
      <c r="K96" s="113"/>
      <c r="N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row>
    <row r="97" spans="1:87" s="104" customFormat="1" ht="45" customHeight="1">
      <c r="A97" s="265" t="s">
        <v>1209</v>
      </c>
      <c r="B97" s="265" t="s">
        <v>1212</v>
      </c>
      <c r="C97" s="265"/>
      <c r="D97" s="268"/>
      <c r="E97" s="353" t="s">
        <v>1213</v>
      </c>
      <c r="F97" s="220"/>
      <c r="G97" s="75">
        <f>G98+G99</f>
        <v>260667</v>
      </c>
      <c r="H97" s="75">
        <f>H98+H99</f>
        <v>415654</v>
      </c>
      <c r="I97" s="75">
        <f>G97+H97</f>
        <v>676321</v>
      </c>
      <c r="J97" s="278"/>
      <c r="K97" s="113"/>
      <c r="N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row>
    <row r="98" spans="1:87" s="104" customFormat="1" ht="47.25" customHeight="1">
      <c r="A98" s="268" t="s">
        <v>1214</v>
      </c>
      <c r="B98" s="268" t="s">
        <v>1215</v>
      </c>
      <c r="C98" s="268">
        <v>130110</v>
      </c>
      <c r="D98" s="268" t="s">
        <v>445</v>
      </c>
      <c r="E98" s="427" t="s">
        <v>650</v>
      </c>
      <c r="F98" s="192" t="s">
        <v>530</v>
      </c>
      <c r="G98" s="75">
        <f>206443+54224</f>
        <v>260667</v>
      </c>
      <c r="H98" s="75">
        <v>397654</v>
      </c>
      <c r="I98" s="75">
        <f t="shared" si="2"/>
        <v>658321</v>
      </c>
      <c r="J98" s="277"/>
      <c r="K98" s="106"/>
      <c r="N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row>
    <row r="99" spans="1:87" s="104" customFormat="1" ht="47.25" customHeight="1">
      <c r="A99" s="268" t="s">
        <v>1214</v>
      </c>
      <c r="B99" s="268" t="s">
        <v>1215</v>
      </c>
      <c r="C99" s="268">
        <v>130110</v>
      </c>
      <c r="D99" s="268" t="s">
        <v>445</v>
      </c>
      <c r="E99" s="427" t="s">
        <v>650</v>
      </c>
      <c r="F99" s="100" t="s">
        <v>1231</v>
      </c>
      <c r="G99" s="75"/>
      <c r="H99" s="75">
        <v>18000</v>
      </c>
      <c r="I99" s="75">
        <f t="shared" si="2"/>
        <v>18000</v>
      </c>
      <c r="J99" s="277"/>
      <c r="K99" s="106"/>
      <c r="N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row>
    <row r="100" spans="1:15" s="104" customFormat="1" ht="47.25" customHeight="1" hidden="1">
      <c r="A100" s="268" t="s">
        <v>651</v>
      </c>
      <c r="B100" s="268" t="s">
        <v>1107</v>
      </c>
      <c r="C100" s="268" t="s">
        <v>531</v>
      </c>
      <c r="D100" s="268" t="s">
        <v>445</v>
      </c>
      <c r="E100" s="353" t="s">
        <v>1184</v>
      </c>
      <c r="F100" s="190" t="s">
        <v>530</v>
      </c>
      <c r="G100" s="350"/>
      <c r="H100" s="350"/>
      <c r="I100" s="350">
        <f t="shared" si="2"/>
        <v>0</v>
      </c>
      <c r="J100" s="242"/>
      <c r="K100" s="106"/>
      <c r="N100" s="114"/>
      <c r="O100" s="115"/>
    </row>
    <row r="101" spans="1:15" s="104" customFormat="1" ht="15.75" customHeight="1">
      <c r="A101" s="268" t="s">
        <v>1216</v>
      </c>
      <c r="B101" s="268" t="s">
        <v>1217</v>
      </c>
      <c r="C101" s="268"/>
      <c r="D101" s="268"/>
      <c r="E101" s="281" t="s">
        <v>92</v>
      </c>
      <c r="F101" s="204"/>
      <c r="G101" s="350">
        <f>G102</f>
        <v>783949</v>
      </c>
      <c r="H101" s="350">
        <f>H102</f>
        <v>94100</v>
      </c>
      <c r="I101" s="350">
        <f t="shared" si="2"/>
        <v>878049</v>
      </c>
      <c r="J101" s="242">
        <f>J102</f>
        <v>94100</v>
      </c>
      <c r="K101" s="106"/>
      <c r="N101" s="114"/>
      <c r="O101" s="115"/>
    </row>
    <row r="102" spans="1:15" s="104" customFormat="1" ht="47.25" customHeight="1">
      <c r="A102" s="268" t="s">
        <v>1218</v>
      </c>
      <c r="B102" s="268" t="s">
        <v>1219</v>
      </c>
      <c r="C102" s="268" t="s">
        <v>237</v>
      </c>
      <c r="D102" s="268" t="s">
        <v>445</v>
      </c>
      <c r="E102" s="427" t="s">
        <v>652</v>
      </c>
      <c r="F102" s="204" t="s">
        <v>530</v>
      </c>
      <c r="G102" s="350">
        <v>783949</v>
      </c>
      <c r="H102" s="350">
        <v>94100</v>
      </c>
      <c r="I102" s="350">
        <f t="shared" si="2"/>
        <v>878049</v>
      </c>
      <c r="J102" s="242">
        <v>94100</v>
      </c>
      <c r="K102" s="106"/>
      <c r="N102" s="114"/>
      <c r="O102" s="115"/>
    </row>
    <row r="103" spans="1:15" s="104" customFormat="1" ht="15.75" customHeight="1">
      <c r="A103" s="313" t="s">
        <v>653</v>
      </c>
      <c r="B103" s="313" t="s">
        <v>1073</v>
      </c>
      <c r="C103" s="313" t="s">
        <v>572</v>
      </c>
      <c r="D103" s="313"/>
      <c r="E103" s="213" t="s">
        <v>573</v>
      </c>
      <c r="F103" s="204"/>
      <c r="G103" s="352">
        <f>G104</f>
        <v>0</v>
      </c>
      <c r="H103" s="352">
        <f>H104</f>
        <v>1950524</v>
      </c>
      <c r="I103" s="352">
        <f t="shared" si="2"/>
        <v>1950524</v>
      </c>
      <c r="J103" s="242">
        <f>J104</f>
        <v>0</v>
      </c>
      <c r="K103" s="106"/>
      <c r="N103" s="114"/>
      <c r="O103" s="115"/>
    </row>
    <row r="104" spans="1:15" s="104" customFormat="1" ht="49.5" customHeight="1">
      <c r="A104" s="268" t="s">
        <v>654</v>
      </c>
      <c r="B104" s="268" t="s">
        <v>1074</v>
      </c>
      <c r="C104" s="268" t="s">
        <v>84</v>
      </c>
      <c r="D104" s="268" t="s">
        <v>438</v>
      </c>
      <c r="E104" s="281" t="s">
        <v>575</v>
      </c>
      <c r="F104" s="193" t="s">
        <v>530</v>
      </c>
      <c r="G104" s="350"/>
      <c r="H104" s="350">
        <v>1950524</v>
      </c>
      <c r="I104" s="350">
        <f t="shared" si="2"/>
        <v>1950524</v>
      </c>
      <c r="J104" s="242"/>
      <c r="K104" s="106"/>
      <c r="N104" s="114"/>
      <c r="O104" s="115"/>
    </row>
    <row r="105" spans="1:15" s="104" customFormat="1" ht="15.75" customHeight="1">
      <c r="A105" s="313" t="s">
        <v>655</v>
      </c>
      <c r="B105" s="313" t="s">
        <v>1078</v>
      </c>
      <c r="C105" s="313" t="s">
        <v>584</v>
      </c>
      <c r="D105" s="313"/>
      <c r="E105" s="213" t="s">
        <v>585</v>
      </c>
      <c r="F105" s="205"/>
      <c r="G105" s="352">
        <f>G106</f>
        <v>8285772</v>
      </c>
      <c r="H105" s="352">
        <f>H106</f>
        <v>264228</v>
      </c>
      <c r="I105" s="352">
        <f t="shared" si="2"/>
        <v>8550000</v>
      </c>
      <c r="J105" s="242">
        <f>J106</f>
        <v>0</v>
      </c>
      <c r="K105" s="106"/>
      <c r="N105" s="114"/>
      <c r="O105" s="115"/>
    </row>
    <row r="106" spans="1:15" s="104" customFormat="1" ht="50.25" customHeight="1">
      <c r="A106" s="268" t="s">
        <v>658</v>
      </c>
      <c r="B106" s="268" t="s">
        <v>1108</v>
      </c>
      <c r="C106" s="268"/>
      <c r="D106" s="268"/>
      <c r="E106" s="281" t="s">
        <v>659</v>
      </c>
      <c r="F106" s="418"/>
      <c r="G106" s="350">
        <f>G107+G108</f>
        <v>8285772</v>
      </c>
      <c r="H106" s="350">
        <f>H107+H108</f>
        <v>264228</v>
      </c>
      <c r="I106" s="350">
        <f t="shared" si="2"/>
        <v>8550000</v>
      </c>
      <c r="J106" s="242">
        <f>J107+J108</f>
        <v>0</v>
      </c>
      <c r="K106" s="106"/>
      <c r="N106" s="114"/>
      <c r="O106" s="115"/>
    </row>
    <row r="107" spans="1:15" s="104" customFormat="1" ht="53.25" customHeight="1">
      <c r="A107" s="268" t="s">
        <v>657</v>
      </c>
      <c r="B107" s="268" t="s">
        <v>1109</v>
      </c>
      <c r="C107" s="101" t="s">
        <v>24</v>
      </c>
      <c r="D107" s="101" t="s">
        <v>448</v>
      </c>
      <c r="E107" s="427" t="s">
        <v>25</v>
      </c>
      <c r="F107" s="416" t="s">
        <v>507</v>
      </c>
      <c r="G107" s="350">
        <f>4000000+8915228-4779456</f>
        <v>8135772</v>
      </c>
      <c r="H107" s="350">
        <v>264228</v>
      </c>
      <c r="I107" s="350">
        <f t="shared" si="2"/>
        <v>8400000</v>
      </c>
      <c r="J107" s="242"/>
      <c r="K107" s="106"/>
      <c r="N107" s="114"/>
      <c r="O107" s="115"/>
    </row>
    <row r="108" spans="1:15" s="104" customFormat="1" ht="61.5" customHeight="1">
      <c r="A108" s="268" t="s">
        <v>656</v>
      </c>
      <c r="B108" s="268" t="s">
        <v>1110</v>
      </c>
      <c r="C108" s="268" t="s">
        <v>302</v>
      </c>
      <c r="D108" s="268" t="s">
        <v>448</v>
      </c>
      <c r="E108" s="427" t="s">
        <v>303</v>
      </c>
      <c r="F108" s="416" t="s">
        <v>507</v>
      </c>
      <c r="G108" s="350">
        <f>130000+20000</f>
        <v>150000</v>
      </c>
      <c r="H108" s="350"/>
      <c r="I108" s="350">
        <f t="shared" si="2"/>
        <v>150000</v>
      </c>
      <c r="J108" s="242"/>
      <c r="K108" s="106"/>
      <c r="N108" s="114"/>
      <c r="O108" s="115"/>
    </row>
    <row r="109" spans="1:14" s="104" customFormat="1" ht="46.5" customHeight="1">
      <c r="A109" s="98"/>
      <c r="B109" s="98" t="s">
        <v>142</v>
      </c>
      <c r="C109" s="98" t="s">
        <v>142</v>
      </c>
      <c r="D109" s="98"/>
      <c r="E109" s="99" t="s">
        <v>521</v>
      </c>
      <c r="F109" s="166"/>
      <c r="G109" s="83">
        <f>G110</f>
        <v>106065287</v>
      </c>
      <c r="H109" s="83">
        <f>H110</f>
        <v>137834269</v>
      </c>
      <c r="I109" s="83">
        <f t="shared" si="2"/>
        <v>243899556</v>
      </c>
      <c r="J109" s="144">
        <f>J110</f>
        <v>1124806</v>
      </c>
      <c r="K109" s="113"/>
      <c r="N109" s="158"/>
    </row>
    <row r="110" spans="1:14" s="104" customFormat="1" ht="39" customHeight="1">
      <c r="A110" s="25" t="s">
        <v>660</v>
      </c>
      <c r="B110" s="25"/>
      <c r="C110" s="25"/>
      <c r="D110" s="25"/>
      <c r="E110" s="217" t="s">
        <v>661</v>
      </c>
      <c r="F110" s="202"/>
      <c r="G110" s="83">
        <f>G111+G113+G135</f>
        <v>106065287</v>
      </c>
      <c r="H110" s="83">
        <f>H111+H113+H135</f>
        <v>137834269</v>
      </c>
      <c r="I110" s="83">
        <f t="shared" si="2"/>
        <v>243899556</v>
      </c>
      <c r="J110" s="144">
        <f>J111+J113+J135</f>
        <v>1124806</v>
      </c>
      <c r="K110" s="113"/>
      <c r="N110" s="158"/>
    </row>
    <row r="111" spans="1:14" s="104" customFormat="1" ht="15.75" customHeight="1">
      <c r="A111" s="313" t="s">
        <v>662</v>
      </c>
      <c r="B111" s="313" t="s">
        <v>1068</v>
      </c>
      <c r="C111" s="314" t="s">
        <v>559</v>
      </c>
      <c r="D111" s="314"/>
      <c r="E111" s="393" t="s">
        <v>560</v>
      </c>
      <c r="F111" s="202"/>
      <c r="G111" s="83">
        <f>G112</f>
        <v>0</v>
      </c>
      <c r="H111" s="83">
        <f>H112</f>
        <v>2427324</v>
      </c>
      <c r="I111" s="83">
        <f t="shared" si="2"/>
        <v>2427324</v>
      </c>
      <c r="J111" s="144">
        <f>J112</f>
        <v>0</v>
      </c>
      <c r="K111" s="113"/>
      <c r="N111" s="158"/>
    </row>
    <row r="112" spans="1:14" s="104" customFormat="1" ht="47.25" customHeight="1">
      <c r="A112" s="268" t="s">
        <v>663</v>
      </c>
      <c r="B112" s="268" t="s">
        <v>471</v>
      </c>
      <c r="C112" s="268" t="s">
        <v>165</v>
      </c>
      <c r="D112" s="268" t="s">
        <v>436</v>
      </c>
      <c r="E112" s="353" t="s">
        <v>664</v>
      </c>
      <c r="F112" s="182" t="s">
        <v>514</v>
      </c>
      <c r="G112" s="75"/>
      <c r="H112" s="75">
        <f>2595187-167863</f>
        <v>2427324</v>
      </c>
      <c r="I112" s="75">
        <f t="shared" si="2"/>
        <v>2427324</v>
      </c>
      <c r="J112" s="144"/>
      <c r="K112" s="113"/>
      <c r="N112" s="158"/>
    </row>
    <row r="113" spans="1:14" s="104" customFormat="1" ht="15.75" customHeight="1">
      <c r="A113" s="313" t="s">
        <v>665</v>
      </c>
      <c r="B113" s="313" t="s">
        <v>1111</v>
      </c>
      <c r="C113" s="313" t="s">
        <v>666</v>
      </c>
      <c r="D113" s="313"/>
      <c r="E113" s="393" t="s">
        <v>667</v>
      </c>
      <c r="F113" s="202"/>
      <c r="G113" s="374">
        <f>G114+G115+G117+G118+G120+G121+G122+G123+G124+G125+G126+G128+G129+G130+G132+G127+G116+G119</f>
        <v>106065287</v>
      </c>
      <c r="H113" s="374">
        <f>H114+H115+H117+H118+H120+H121+H122+H123+H124+H125+H126+H128+H129+H130+H132+H127+H116+H119</f>
        <v>105149870</v>
      </c>
      <c r="I113" s="374">
        <f>I114+I115+I117+I118+I120+I121+I122+I123+I124+I125+I126+I128+I129+I130+I132+I127+I116+I119</f>
        <v>211215157</v>
      </c>
      <c r="J113" s="144">
        <f>J114+J115+J117+J118+J120+J121+J122+J123+J124+J125+J126+J128+J129+J130+J132</f>
        <v>1124806</v>
      </c>
      <c r="K113" s="113"/>
      <c r="N113" s="158"/>
    </row>
    <row r="114" spans="1:14" s="104" customFormat="1" ht="52.5" customHeight="1">
      <c r="A114" s="265" t="s">
        <v>668</v>
      </c>
      <c r="B114" s="265" t="s">
        <v>1112</v>
      </c>
      <c r="C114" s="265" t="s">
        <v>72</v>
      </c>
      <c r="D114" s="265" t="s">
        <v>449</v>
      </c>
      <c r="E114" s="282" t="s">
        <v>669</v>
      </c>
      <c r="F114" s="236" t="s">
        <v>514</v>
      </c>
      <c r="G114" s="75">
        <v>44294752</v>
      </c>
      <c r="H114" s="75">
        <f>15900061+473299+29716623-1051235+20000000</f>
        <v>65038748</v>
      </c>
      <c r="I114" s="75">
        <f t="shared" si="2"/>
        <v>109333500</v>
      </c>
      <c r="J114" s="241">
        <v>473299</v>
      </c>
      <c r="K114" s="113"/>
      <c r="L114" s="115"/>
      <c r="M114" s="115"/>
      <c r="N114" s="158"/>
    </row>
    <row r="115" spans="1:14" s="104" customFormat="1" ht="52.5" customHeight="1">
      <c r="A115" s="265" t="s">
        <v>668</v>
      </c>
      <c r="B115" s="265" t="s">
        <v>1112</v>
      </c>
      <c r="C115" s="265" t="s">
        <v>72</v>
      </c>
      <c r="D115" s="265" t="s">
        <v>449</v>
      </c>
      <c r="E115" s="282" t="s">
        <v>669</v>
      </c>
      <c r="F115" s="404" t="s">
        <v>1230</v>
      </c>
      <c r="G115" s="75">
        <v>1013362</v>
      </c>
      <c r="H115" s="75"/>
      <c r="I115" s="75">
        <f t="shared" si="2"/>
        <v>1013362</v>
      </c>
      <c r="J115" s="241"/>
      <c r="K115" s="113"/>
      <c r="L115" s="115"/>
      <c r="M115" s="115"/>
      <c r="N115" s="158"/>
    </row>
    <row r="116" spans="1:14" s="104" customFormat="1" ht="52.5" customHeight="1">
      <c r="A116" s="265" t="s">
        <v>668</v>
      </c>
      <c r="B116" s="265" t="s">
        <v>1112</v>
      </c>
      <c r="C116" s="265" t="s">
        <v>72</v>
      </c>
      <c r="D116" s="265" t="s">
        <v>449</v>
      </c>
      <c r="E116" s="282" t="s">
        <v>669</v>
      </c>
      <c r="F116" s="409" t="s">
        <v>1248</v>
      </c>
      <c r="G116" s="75"/>
      <c r="H116" s="75">
        <f>2390840+12915470-7684210</f>
        <v>7622100</v>
      </c>
      <c r="I116" s="75">
        <f t="shared" si="2"/>
        <v>7622100</v>
      </c>
      <c r="J116" s="241"/>
      <c r="K116" s="113"/>
      <c r="L116" s="115"/>
      <c r="M116" s="115"/>
      <c r="N116" s="158"/>
    </row>
    <row r="117" spans="1:16" s="104" customFormat="1" ht="48" customHeight="1">
      <c r="A117" s="265" t="s">
        <v>668</v>
      </c>
      <c r="B117" s="265" t="s">
        <v>1112</v>
      </c>
      <c r="C117" s="265" t="s">
        <v>72</v>
      </c>
      <c r="D117" s="265" t="s">
        <v>449</v>
      </c>
      <c r="E117" s="282" t="s">
        <v>669</v>
      </c>
      <c r="F117" s="100" t="s">
        <v>1231</v>
      </c>
      <c r="G117" s="375">
        <v>113610</v>
      </c>
      <c r="H117" s="375">
        <v>54040</v>
      </c>
      <c r="I117" s="375">
        <f t="shared" si="2"/>
        <v>167650</v>
      </c>
      <c r="J117" s="248"/>
      <c r="K117" s="116"/>
      <c r="L117" s="117"/>
      <c r="M117" s="117"/>
      <c r="N117" s="118"/>
      <c r="O117" s="117"/>
      <c r="P117" s="117"/>
    </row>
    <row r="118" spans="1:14" s="104" customFormat="1" ht="50.25" customHeight="1">
      <c r="A118" s="265" t="s">
        <v>670</v>
      </c>
      <c r="B118" s="265" t="s">
        <v>1113</v>
      </c>
      <c r="C118" s="265" t="s">
        <v>111</v>
      </c>
      <c r="D118" s="434" t="s">
        <v>450</v>
      </c>
      <c r="E118" s="447" t="s">
        <v>671</v>
      </c>
      <c r="F118" s="236" t="s">
        <v>514</v>
      </c>
      <c r="G118" s="75">
        <v>3893292</v>
      </c>
      <c r="H118" s="75">
        <f>453210+16895942</f>
        <v>17349152</v>
      </c>
      <c r="I118" s="75">
        <f aca="true" t="shared" si="3" ref="I118:I166">G118+H118</f>
        <v>21242444</v>
      </c>
      <c r="J118" s="241"/>
      <c r="K118" s="113"/>
      <c r="M118" s="115"/>
      <c r="N118" s="158"/>
    </row>
    <row r="119" spans="1:14" s="104" customFormat="1" ht="50.25" customHeight="1" hidden="1">
      <c r="A119" s="265" t="s">
        <v>670</v>
      </c>
      <c r="B119" s="265" t="s">
        <v>1113</v>
      </c>
      <c r="C119" s="265" t="s">
        <v>111</v>
      </c>
      <c r="D119" s="438"/>
      <c r="E119" s="449"/>
      <c r="F119" s="409" t="s">
        <v>1248</v>
      </c>
      <c r="G119" s="75"/>
      <c r="H119" s="75">
        <f>2315790-2315790</f>
        <v>0</v>
      </c>
      <c r="I119" s="75">
        <f t="shared" si="3"/>
        <v>0</v>
      </c>
      <c r="J119" s="241"/>
      <c r="K119" s="113"/>
      <c r="M119" s="115"/>
      <c r="N119" s="158"/>
    </row>
    <row r="120" spans="1:14" s="104" customFormat="1" ht="50.25" customHeight="1" hidden="1">
      <c r="A120" s="265" t="s">
        <v>670</v>
      </c>
      <c r="B120" s="265" t="s">
        <v>1113</v>
      </c>
      <c r="C120" s="265" t="s">
        <v>111</v>
      </c>
      <c r="D120" s="435"/>
      <c r="E120" s="448"/>
      <c r="F120" s="100" t="s">
        <v>1231</v>
      </c>
      <c r="G120" s="371"/>
      <c r="H120" s="371"/>
      <c r="I120" s="371">
        <f t="shared" si="3"/>
        <v>0</v>
      </c>
      <c r="J120" s="243"/>
      <c r="K120" s="113"/>
      <c r="M120" s="115"/>
      <c r="N120" s="158"/>
    </row>
    <row r="121" spans="1:14" s="104" customFormat="1" ht="52.5" customHeight="1">
      <c r="A121" s="265" t="s">
        <v>672</v>
      </c>
      <c r="B121" s="265" t="s">
        <v>1114</v>
      </c>
      <c r="C121" s="265" t="s">
        <v>73</v>
      </c>
      <c r="D121" s="434" t="s">
        <v>451</v>
      </c>
      <c r="E121" s="447" t="s">
        <v>673</v>
      </c>
      <c r="F121" s="236" t="s">
        <v>514</v>
      </c>
      <c r="G121" s="75">
        <v>634063</v>
      </c>
      <c r="H121" s="75"/>
      <c r="I121" s="75">
        <f t="shared" si="3"/>
        <v>634063</v>
      </c>
      <c r="J121" s="241"/>
      <c r="K121" s="113"/>
      <c r="N121" s="158"/>
    </row>
    <row r="122" spans="1:14" s="104" customFormat="1" ht="54" customHeight="1" hidden="1">
      <c r="A122" s="265" t="s">
        <v>672</v>
      </c>
      <c r="B122" s="265" t="s">
        <v>1114</v>
      </c>
      <c r="C122" s="265" t="s">
        <v>73</v>
      </c>
      <c r="D122" s="435"/>
      <c r="E122" s="448"/>
      <c r="F122" s="100" t="s">
        <v>1231</v>
      </c>
      <c r="G122" s="82"/>
      <c r="H122" s="82"/>
      <c r="I122" s="82">
        <f t="shared" si="3"/>
        <v>0</v>
      </c>
      <c r="J122" s="249"/>
      <c r="K122" s="106"/>
      <c r="N122" s="158"/>
    </row>
    <row r="123" spans="1:14" s="104" customFormat="1" ht="50.25" customHeight="1">
      <c r="A123" s="265" t="s">
        <v>674</v>
      </c>
      <c r="B123" s="265" t="s">
        <v>1115</v>
      </c>
      <c r="C123" s="265" t="s">
        <v>74</v>
      </c>
      <c r="D123" s="434" t="s">
        <v>452</v>
      </c>
      <c r="E123" s="450" t="s">
        <v>675</v>
      </c>
      <c r="F123" s="236" t="s">
        <v>514</v>
      </c>
      <c r="G123" s="75">
        <v>3431928</v>
      </c>
      <c r="H123" s="75">
        <f>651507+3221400</f>
        <v>3872907</v>
      </c>
      <c r="I123" s="75">
        <f t="shared" si="3"/>
        <v>7304835</v>
      </c>
      <c r="J123" s="241">
        <v>651507</v>
      </c>
      <c r="K123" s="113"/>
      <c r="M123" s="115"/>
      <c r="N123" s="158"/>
    </row>
    <row r="124" spans="1:14" s="104" customFormat="1" ht="47.25" customHeight="1" hidden="1">
      <c r="A124" s="265" t="s">
        <v>674</v>
      </c>
      <c r="B124" s="265" t="s">
        <v>1115</v>
      </c>
      <c r="C124" s="265" t="s">
        <v>74</v>
      </c>
      <c r="D124" s="435"/>
      <c r="E124" s="451"/>
      <c r="F124" s="100" t="s">
        <v>1231</v>
      </c>
      <c r="G124" s="75"/>
      <c r="H124" s="75"/>
      <c r="I124" s="75">
        <f t="shared" si="3"/>
        <v>0</v>
      </c>
      <c r="J124" s="241"/>
      <c r="K124" s="106"/>
      <c r="N124" s="158"/>
    </row>
    <row r="125" spans="1:14" s="104" customFormat="1" ht="31.5" hidden="1">
      <c r="A125" s="268" t="s">
        <v>676</v>
      </c>
      <c r="B125" s="268" t="s">
        <v>1116</v>
      </c>
      <c r="C125" s="268" t="s">
        <v>677</v>
      </c>
      <c r="D125" s="268" t="s">
        <v>678</v>
      </c>
      <c r="E125" s="281" t="s">
        <v>679</v>
      </c>
      <c r="F125" s="166"/>
      <c r="G125" s="75"/>
      <c r="H125" s="75"/>
      <c r="I125" s="75">
        <f t="shared" si="3"/>
        <v>0</v>
      </c>
      <c r="J125" s="241"/>
      <c r="K125" s="106"/>
      <c r="N125" s="158"/>
    </row>
    <row r="126" spans="1:14" s="169" customFormat="1" ht="50.25" customHeight="1">
      <c r="A126" s="265" t="s">
        <v>680</v>
      </c>
      <c r="B126" s="265" t="s">
        <v>1117</v>
      </c>
      <c r="C126" s="265" t="s">
        <v>285</v>
      </c>
      <c r="D126" s="265" t="s">
        <v>453</v>
      </c>
      <c r="E126" s="282" t="s">
        <v>681</v>
      </c>
      <c r="F126" s="404" t="s">
        <v>1230</v>
      </c>
      <c r="G126" s="75">
        <v>43816471</v>
      </c>
      <c r="H126" s="75">
        <f>7599625+1219098</f>
        <v>8818723</v>
      </c>
      <c r="I126" s="75">
        <f t="shared" si="3"/>
        <v>52635194</v>
      </c>
      <c r="J126" s="241"/>
      <c r="K126" s="168"/>
      <c r="L126" s="174"/>
      <c r="M126" s="174"/>
      <c r="N126" s="170"/>
    </row>
    <row r="127" spans="1:14" s="169" customFormat="1" ht="50.25" customHeight="1">
      <c r="A127" s="268" t="s">
        <v>680</v>
      </c>
      <c r="B127" s="268" t="s">
        <v>1117</v>
      </c>
      <c r="C127" s="268" t="s">
        <v>285</v>
      </c>
      <c r="D127" s="268" t="s">
        <v>453</v>
      </c>
      <c r="E127" s="281" t="s">
        <v>681</v>
      </c>
      <c r="F127" s="418" t="s">
        <v>1248</v>
      </c>
      <c r="G127" s="75"/>
      <c r="H127" s="75">
        <f>1109160+1268740</f>
        <v>2377900</v>
      </c>
      <c r="I127" s="75">
        <f t="shared" si="3"/>
        <v>2377900</v>
      </c>
      <c r="J127" s="241"/>
      <c r="K127" s="168"/>
      <c r="L127" s="174"/>
      <c r="M127" s="174"/>
      <c r="N127" s="170"/>
    </row>
    <row r="128" spans="1:14" s="104" customFormat="1" ht="57" customHeight="1">
      <c r="A128" s="265" t="s">
        <v>680</v>
      </c>
      <c r="B128" s="265" t="s">
        <v>1117</v>
      </c>
      <c r="C128" s="265" t="s">
        <v>285</v>
      </c>
      <c r="D128" s="265" t="s">
        <v>453</v>
      </c>
      <c r="E128" s="282" t="s">
        <v>681</v>
      </c>
      <c r="F128" s="100" t="s">
        <v>1231</v>
      </c>
      <c r="G128" s="371">
        <v>14700</v>
      </c>
      <c r="H128" s="371">
        <v>16300</v>
      </c>
      <c r="I128" s="371">
        <f t="shared" si="3"/>
        <v>31000</v>
      </c>
      <c r="J128" s="243"/>
      <c r="K128" s="113"/>
      <c r="N128" s="158"/>
    </row>
    <row r="129" spans="1:14" s="104" customFormat="1" ht="63.75" customHeight="1" hidden="1">
      <c r="A129" s="268" t="s">
        <v>682</v>
      </c>
      <c r="B129" s="268" t="s">
        <v>1118</v>
      </c>
      <c r="C129" s="268" t="s">
        <v>398</v>
      </c>
      <c r="D129" s="268" t="s">
        <v>454</v>
      </c>
      <c r="E129" s="281" t="s">
        <v>683</v>
      </c>
      <c r="F129" s="236" t="s">
        <v>514</v>
      </c>
      <c r="G129" s="75"/>
      <c r="H129" s="75"/>
      <c r="I129" s="75">
        <f t="shared" si="3"/>
        <v>0</v>
      </c>
      <c r="J129" s="241"/>
      <c r="K129" s="113"/>
      <c r="N129" s="158"/>
    </row>
    <row r="130" spans="1:14" s="104" customFormat="1" ht="35.25" customHeight="1">
      <c r="A130" s="268" t="s">
        <v>684</v>
      </c>
      <c r="B130" s="268" t="s">
        <v>1119</v>
      </c>
      <c r="C130" s="268"/>
      <c r="D130" s="268"/>
      <c r="E130" s="281" t="s">
        <v>685</v>
      </c>
      <c r="F130" s="202"/>
      <c r="G130" s="75">
        <f>G131</f>
        <v>8853109</v>
      </c>
      <c r="H130" s="75">
        <f>H131</f>
        <v>0</v>
      </c>
      <c r="I130" s="75">
        <f t="shared" si="3"/>
        <v>8853109</v>
      </c>
      <c r="J130" s="241">
        <f>J131</f>
        <v>0</v>
      </c>
      <c r="K130" s="113"/>
      <c r="N130" s="158"/>
    </row>
    <row r="131" spans="1:14" s="104" customFormat="1" ht="46.5" customHeight="1">
      <c r="A131" s="268" t="s">
        <v>686</v>
      </c>
      <c r="B131" s="268" t="s">
        <v>1120</v>
      </c>
      <c r="C131" s="268" t="s">
        <v>76</v>
      </c>
      <c r="D131" s="268" t="s">
        <v>454</v>
      </c>
      <c r="E131" s="427" t="s">
        <v>230</v>
      </c>
      <c r="F131" s="236" t="s">
        <v>514</v>
      </c>
      <c r="G131" s="75">
        <v>8853109</v>
      </c>
      <c r="H131" s="75"/>
      <c r="I131" s="75">
        <f t="shared" si="3"/>
        <v>8853109</v>
      </c>
      <c r="J131" s="241"/>
      <c r="K131" s="106"/>
      <c r="N131" s="158"/>
    </row>
    <row r="132" spans="1:14" s="104" customFormat="1" ht="15.75" customHeight="1" hidden="1">
      <c r="A132" s="268" t="s">
        <v>687</v>
      </c>
      <c r="B132" s="268" t="s">
        <v>1121</v>
      </c>
      <c r="C132" s="268" t="s">
        <v>112</v>
      </c>
      <c r="D132" s="268" t="s">
        <v>454</v>
      </c>
      <c r="E132" s="281" t="s">
        <v>688</v>
      </c>
      <c r="F132" s="202"/>
      <c r="G132" s="75">
        <f>G133+G134</f>
        <v>0</v>
      </c>
      <c r="H132" s="75">
        <f>H133+H134</f>
        <v>0</v>
      </c>
      <c r="I132" s="75">
        <f t="shared" si="3"/>
        <v>0</v>
      </c>
      <c r="J132" s="241">
        <f>J133+J134</f>
        <v>0</v>
      </c>
      <c r="K132" s="106"/>
      <c r="N132" s="158"/>
    </row>
    <row r="133" spans="1:14" s="104" customFormat="1" ht="78.75" hidden="1">
      <c r="A133" s="268" t="s">
        <v>689</v>
      </c>
      <c r="B133" s="268" t="s">
        <v>1122</v>
      </c>
      <c r="C133" s="268" t="s">
        <v>112</v>
      </c>
      <c r="D133" s="268" t="s">
        <v>454</v>
      </c>
      <c r="E133" s="353" t="s">
        <v>690</v>
      </c>
      <c r="F133" s="202"/>
      <c r="G133" s="75"/>
      <c r="H133" s="75"/>
      <c r="I133" s="75">
        <f t="shared" si="3"/>
        <v>0</v>
      </c>
      <c r="J133" s="241"/>
      <c r="K133" s="106"/>
      <c r="N133" s="158"/>
    </row>
    <row r="134" spans="1:14" s="104" customFormat="1" ht="46.5" customHeight="1" hidden="1">
      <c r="A134" s="268" t="s">
        <v>691</v>
      </c>
      <c r="B134" s="268" t="s">
        <v>1123</v>
      </c>
      <c r="C134" s="268" t="s">
        <v>112</v>
      </c>
      <c r="D134" s="268" t="s">
        <v>454</v>
      </c>
      <c r="E134" s="353" t="s">
        <v>692</v>
      </c>
      <c r="F134" s="202"/>
      <c r="G134" s="75"/>
      <c r="H134" s="75"/>
      <c r="I134" s="75">
        <f t="shared" si="3"/>
        <v>0</v>
      </c>
      <c r="J134" s="241"/>
      <c r="K134" s="106"/>
      <c r="N134" s="158"/>
    </row>
    <row r="135" spans="1:14" s="104" customFormat="1" ht="46.5" customHeight="1">
      <c r="A135" s="313" t="s">
        <v>693</v>
      </c>
      <c r="B135" s="313" t="s">
        <v>1073</v>
      </c>
      <c r="C135" s="313" t="s">
        <v>572</v>
      </c>
      <c r="D135" s="313"/>
      <c r="E135" s="213" t="s">
        <v>694</v>
      </c>
      <c r="F135" s="202"/>
      <c r="G135" s="75">
        <f>G136+G137</f>
        <v>0</v>
      </c>
      <c r="H135" s="75">
        <f>H136+H137</f>
        <v>30257075</v>
      </c>
      <c r="I135" s="75">
        <f t="shared" si="3"/>
        <v>30257075</v>
      </c>
      <c r="J135" s="241">
        <f>J136+J137</f>
        <v>0</v>
      </c>
      <c r="K135" s="106"/>
      <c r="N135" s="158"/>
    </row>
    <row r="136" spans="1:14" s="104" customFormat="1" ht="50.25" customHeight="1">
      <c r="A136" s="426" t="s">
        <v>695</v>
      </c>
      <c r="B136" s="426" t="s">
        <v>1074</v>
      </c>
      <c r="C136" s="434" t="s">
        <v>84</v>
      </c>
      <c r="D136" s="426" t="s">
        <v>438</v>
      </c>
      <c r="E136" s="282" t="s">
        <v>575</v>
      </c>
      <c r="F136" s="236" t="s">
        <v>514</v>
      </c>
      <c r="G136" s="75"/>
      <c r="H136" s="75">
        <f>7138160-1308056</f>
        <v>5830104</v>
      </c>
      <c r="I136" s="75">
        <f t="shared" si="3"/>
        <v>5830104</v>
      </c>
      <c r="J136" s="245"/>
      <c r="K136" s="113"/>
      <c r="N136" s="158"/>
    </row>
    <row r="137" spans="1:14" s="104" customFormat="1" ht="47.25" customHeight="1">
      <c r="A137" s="426" t="s">
        <v>695</v>
      </c>
      <c r="B137" s="426" t="s">
        <v>1074</v>
      </c>
      <c r="C137" s="435"/>
      <c r="D137" s="426" t="s">
        <v>438</v>
      </c>
      <c r="E137" s="282" t="s">
        <v>575</v>
      </c>
      <c r="F137" s="404" t="s">
        <v>1230</v>
      </c>
      <c r="G137" s="75"/>
      <c r="H137" s="75">
        <f>23118915+1308056</f>
        <v>24426971</v>
      </c>
      <c r="I137" s="75">
        <f t="shared" si="3"/>
        <v>24426971</v>
      </c>
      <c r="J137" s="245"/>
      <c r="K137" s="113"/>
      <c r="N137" s="158"/>
    </row>
    <row r="138" spans="1:14" s="104" customFormat="1" ht="49.5" customHeight="1">
      <c r="A138" s="98"/>
      <c r="B138" s="98" t="s">
        <v>143</v>
      </c>
      <c r="C138" s="98" t="s">
        <v>143</v>
      </c>
      <c r="D138" s="98"/>
      <c r="E138" s="99" t="s">
        <v>51</v>
      </c>
      <c r="F138" s="166"/>
      <c r="G138" s="83">
        <f>G139</f>
        <v>182739388</v>
      </c>
      <c r="H138" s="83">
        <f>H139</f>
        <v>10245137</v>
      </c>
      <c r="I138" s="83">
        <f t="shared" si="3"/>
        <v>192984525</v>
      </c>
      <c r="J138" s="143">
        <f>J139</f>
        <v>0</v>
      </c>
      <c r="K138" s="113"/>
      <c r="N138" s="158"/>
    </row>
    <row r="139" spans="1:14" s="104" customFormat="1" ht="31.5">
      <c r="A139" s="25" t="s">
        <v>696</v>
      </c>
      <c r="B139" s="25"/>
      <c r="C139" s="25"/>
      <c r="D139" s="25"/>
      <c r="E139" s="217" t="s">
        <v>51</v>
      </c>
      <c r="F139" s="204"/>
      <c r="G139" s="83">
        <f>G140+G142+G165</f>
        <v>182739388</v>
      </c>
      <c r="H139" s="83">
        <f>H140+H142+H165</f>
        <v>10245137</v>
      </c>
      <c r="I139" s="83">
        <f t="shared" si="3"/>
        <v>192984525</v>
      </c>
      <c r="J139" s="143">
        <f>J140+J142+J165</f>
        <v>0</v>
      </c>
      <c r="K139" s="113"/>
      <c r="N139" s="158"/>
    </row>
    <row r="140" spans="1:14" s="104" customFormat="1" ht="15.75" customHeight="1">
      <c r="A140" s="313" t="s">
        <v>697</v>
      </c>
      <c r="B140" s="313" t="s">
        <v>1068</v>
      </c>
      <c r="C140" s="314" t="s">
        <v>559</v>
      </c>
      <c r="D140" s="314"/>
      <c r="E140" s="393" t="s">
        <v>560</v>
      </c>
      <c r="F140" s="204"/>
      <c r="G140" s="83">
        <f>G141</f>
        <v>0</v>
      </c>
      <c r="H140" s="83">
        <f>H141</f>
        <v>2400637</v>
      </c>
      <c r="I140" s="83">
        <f>I141</f>
        <v>2400637</v>
      </c>
      <c r="J140" s="143">
        <f>J141</f>
        <v>0</v>
      </c>
      <c r="K140" s="113"/>
      <c r="N140" s="158"/>
    </row>
    <row r="141" spans="1:14" s="104" customFormat="1" ht="47.25" customHeight="1">
      <c r="A141" s="268" t="s">
        <v>698</v>
      </c>
      <c r="B141" s="268" t="s">
        <v>471</v>
      </c>
      <c r="C141" s="268" t="s">
        <v>165</v>
      </c>
      <c r="D141" s="268" t="s">
        <v>436</v>
      </c>
      <c r="E141" s="353" t="s">
        <v>699</v>
      </c>
      <c r="F141" s="181" t="s">
        <v>513</v>
      </c>
      <c r="G141" s="198"/>
      <c r="H141" s="198">
        <f>1174764+1225873</f>
        <v>2400637</v>
      </c>
      <c r="I141" s="198">
        <f t="shared" si="3"/>
        <v>2400637</v>
      </c>
      <c r="J141" s="251"/>
      <c r="K141" s="113"/>
      <c r="N141" s="158"/>
    </row>
    <row r="142" spans="1:14" s="104" customFormat="1" ht="47.25" customHeight="1">
      <c r="A142" s="314" t="s">
        <v>700</v>
      </c>
      <c r="B142" s="314" t="s">
        <v>1095</v>
      </c>
      <c r="C142" s="314" t="s">
        <v>616</v>
      </c>
      <c r="D142" s="314"/>
      <c r="E142" s="213" t="s">
        <v>617</v>
      </c>
      <c r="F142" s="204"/>
      <c r="G142" s="385">
        <f>G143+G151+G154+G157+G160+G161</f>
        <v>182739388</v>
      </c>
      <c r="H142" s="385">
        <f>H143+H151+H154+H157+H160+H161</f>
        <v>344500</v>
      </c>
      <c r="I142" s="385">
        <f t="shared" si="3"/>
        <v>183083888</v>
      </c>
      <c r="J142" s="251">
        <f>J143+J151+J154+J157+J160+J161</f>
        <v>0</v>
      </c>
      <c r="K142" s="113"/>
      <c r="N142" s="158"/>
    </row>
    <row r="143" spans="1:14" s="104" customFormat="1" ht="184.5" customHeight="1">
      <c r="A143" s="25" t="s">
        <v>701</v>
      </c>
      <c r="B143" s="25" t="s">
        <v>1124</v>
      </c>
      <c r="C143" s="25"/>
      <c r="D143" s="25"/>
      <c r="E143" s="430" t="s">
        <v>702</v>
      </c>
      <c r="F143" s="204"/>
      <c r="G143" s="386">
        <f>G144+G145+G146+G147+G148+G149+G150</f>
        <v>69462336</v>
      </c>
      <c r="H143" s="386">
        <f>H144+H145+H146+H147+H148+H149+H150</f>
        <v>80000</v>
      </c>
      <c r="I143" s="386">
        <f t="shared" si="3"/>
        <v>69542336</v>
      </c>
      <c r="J143" s="251">
        <f>J144+J145+J146+J147+J148+J149+J150</f>
        <v>0</v>
      </c>
      <c r="K143" s="113"/>
      <c r="N143" s="158"/>
    </row>
    <row r="144" spans="1:14" s="104" customFormat="1" ht="220.5">
      <c r="A144" s="25" t="s">
        <v>703</v>
      </c>
      <c r="B144" s="25" t="s">
        <v>1125</v>
      </c>
      <c r="C144" s="25" t="s">
        <v>480</v>
      </c>
      <c r="D144" s="25" t="s">
        <v>456</v>
      </c>
      <c r="E144" s="354" t="s">
        <v>704</v>
      </c>
      <c r="F144" s="410" t="s">
        <v>513</v>
      </c>
      <c r="G144" s="75">
        <v>2511906</v>
      </c>
      <c r="H144" s="75">
        <v>80000</v>
      </c>
      <c r="I144" s="75">
        <f t="shared" si="3"/>
        <v>2591906</v>
      </c>
      <c r="J144" s="245"/>
      <c r="K144" s="106"/>
      <c r="N144" s="158"/>
    </row>
    <row r="145" spans="1:14" s="104" customFormat="1" ht="83.25" customHeight="1">
      <c r="A145" s="25" t="s">
        <v>705</v>
      </c>
      <c r="B145" s="25" t="s">
        <v>1126</v>
      </c>
      <c r="C145" s="25" t="s">
        <v>481</v>
      </c>
      <c r="D145" s="25" t="s">
        <v>458</v>
      </c>
      <c r="E145" s="354" t="s">
        <v>706</v>
      </c>
      <c r="F145" s="266" t="s">
        <v>513</v>
      </c>
      <c r="G145" s="75">
        <v>81291</v>
      </c>
      <c r="H145" s="75"/>
      <c r="I145" s="75">
        <f t="shared" si="3"/>
        <v>81291</v>
      </c>
      <c r="J145" s="245"/>
      <c r="K145" s="106"/>
      <c r="N145" s="158"/>
    </row>
    <row r="146" spans="1:14" s="104" customFormat="1" ht="47.25" customHeight="1">
      <c r="A146" s="25" t="s">
        <v>707</v>
      </c>
      <c r="B146" s="25" t="s">
        <v>1127</v>
      </c>
      <c r="C146" s="25" t="s">
        <v>482</v>
      </c>
      <c r="D146" s="25" t="s">
        <v>458</v>
      </c>
      <c r="E146" s="354" t="s">
        <v>708</v>
      </c>
      <c r="F146" s="266" t="s">
        <v>513</v>
      </c>
      <c r="G146" s="75">
        <v>3924640</v>
      </c>
      <c r="H146" s="75"/>
      <c r="I146" s="75">
        <f t="shared" si="3"/>
        <v>3924640</v>
      </c>
      <c r="J146" s="245"/>
      <c r="K146" s="106"/>
      <c r="N146" s="158"/>
    </row>
    <row r="147" spans="1:14" s="104" customFormat="1" ht="52.5" customHeight="1">
      <c r="A147" s="268" t="s">
        <v>709</v>
      </c>
      <c r="B147" s="268" t="s">
        <v>1128</v>
      </c>
      <c r="C147" s="268" t="s">
        <v>33</v>
      </c>
      <c r="D147" s="268" t="s">
        <v>458</v>
      </c>
      <c r="E147" s="353" t="s">
        <v>710</v>
      </c>
      <c r="F147" s="266" t="s">
        <v>513</v>
      </c>
      <c r="G147" s="75">
        <v>11200000</v>
      </c>
      <c r="H147" s="75"/>
      <c r="I147" s="75">
        <f t="shared" si="3"/>
        <v>11200000</v>
      </c>
      <c r="J147" s="245"/>
      <c r="K147" s="106"/>
      <c r="N147" s="158"/>
    </row>
    <row r="148" spans="1:14" s="104" customFormat="1" ht="52.5" customHeight="1">
      <c r="A148" s="268" t="s">
        <v>711</v>
      </c>
      <c r="B148" s="268" t="s">
        <v>1129</v>
      </c>
      <c r="C148" s="268" t="s">
        <v>87</v>
      </c>
      <c r="D148" s="268" t="s">
        <v>458</v>
      </c>
      <c r="E148" s="353" t="s">
        <v>712</v>
      </c>
      <c r="F148" s="266" t="s">
        <v>513</v>
      </c>
      <c r="G148" s="75">
        <v>1744499</v>
      </c>
      <c r="H148" s="75"/>
      <c r="I148" s="75">
        <f t="shared" si="3"/>
        <v>1744499</v>
      </c>
      <c r="J148" s="245"/>
      <c r="K148" s="106"/>
      <c r="N148" s="158"/>
    </row>
    <row r="149" spans="1:14" s="104" customFormat="1" ht="52.5" customHeight="1">
      <c r="A149" s="268" t="s">
        <v>713</v>
      </c>
      <c r="B149" s="268" t="s">
        <v>1130</v>
      </c>
      <c r="C149" s="268" t="s">
        <v>483</v>
      </c>
      <c r="D149" s="268" t="s">
        <v>458</v>
      </c>
      <c r="E149" s="353" t="s">
        <v>484</v>
      </c>
      <c r="F149" s="266" t="s">
        <v>513</v>
      </c>
      <c r="G149" s="75">
        <v>5000000</v>
      </c>
      <c r="H149" s="75"/>
      <c r="I149" s="75">
        <f t="shared" si="3"/>
        <v>5000000</v>
      </c>
      <c r="J149" s="245"/>
      <c r="K149" s="106"/>
      <c r="N149" s="158"/>
    </row>
    <row r="150" spans="1:14" s="104" customFormat="1" ht="52.5" customHeight="1">
      <c r="A150" s="268" t="s">
        <v>714</v>
      </c>
      <c r="B150" s="268" t="s">
        <v>1131</v>
      </c>
      <c r="C150" s="268" t="s">
        <v>117</v>
      </c>
      <c r="D150" s="268" t="s">
        <v>458</v>
      </c>
      <c r="E150" s="353" t="s">
        <v>15</v>
      </c>
      <c r="F150" s="204" t="s">
        <v>513</v>
      </c>
      <c r="G150" s="75">
        <v>45000000</v>
      </c>
      <c r="H150" s="75"/>
      <c r="I150" s="75">
        <f t="shared" si="3"/>
        <v>45000000</v>
      </c>
      <c r="J150" s="245"/>
      <c r="K150" s="106"/>
      <c r="N150" s="158"/>
    </row>
    <row r="151" spans="1:14" s="104" customFormat="1" ht="58.5" customHeight="1">
      <c r="A151" s="268" t="s">
        <v>715</v>
      </c>
      <c r="B151" s="268" t="s">
        <v>1132</v>
      </c>
      <c r="C151" s="268"/>
      <c r="D151" s="268"/>
      <c r="E151" s="281" t="s">
        <v>716</v>
      </c>
      <c r="F151" s="204"/>
      <c r="G151" s="75">
        <f>G152+G153</f>
        <v>32926450</v>
      </c>
      <c r="H151" s="75">
        <f>H152+H153</f>
        <v>94500</v>
      </c>
      <c r="I151" s="75">
        <f t="shared" si="3"/>
        <v>33020950</v>
      </c>
      <c r="J151" s="245">
        <f>J152+J153</f>
        <v>0</v>
      </c>
      <c r="K151" s="106"/>
      <c r="N151" s="158"/>
    </row>
    <row r="152" spans="1:14" s="104" customFormat="1" ht="80.25" customHeight="1">
      <c r="A152" s="265" t="s">
        <v>717</v>
      </c>
      <c r="B152" s="265" t="s">
        <v>1133</v>
      </c>
      <c r="C152" s="265" t="s">
        <v>163</v>
      </c>
      <c r="D152" s="434" t="s">
        <v>455</v>
      </c>
      <c r="E152" s="440" t="s">
        <v>718</v>
      </c>
      <c r="F152" s="204" t="s">
        <v>513</v>
      </c>
      <c r="G152" s="75">
        <f>32926450</f>
        <v>32926450</v>
      </c>
      <c r="H152" s="75">
        <f>(94500)</f>
        <v>94500</v>
      </c>
      <c r="I152" s="75">
        <f t="shared" si="3"/>
        <v>33020950</v>
      </c>
      <c r="J152" s="245"/>
      <c r="K152" s="106"/>
      <c r="N152" s="158"/>
    </row>
    <row r="153" spans="1:14" s="104" customFormat="1" ht="52.5" customHeight="1" hidden="1">
      <c r="A153" s="265" t="s">
        <v>717</v>
      </c>
      <c r="B153" s="265" t="s">
        <v>1133</v>
      </c>
      <c r="C153" s="265" t="s">
        <v>163</v>
      </c>
      <c r="D153" s="435"/>
      <c r="E153" s="441"/>
      <c r="F153" s="100" t="s">
        <v>1231</v>
      </c>
      <c r="G153" s="75"/>
      <c r="H153" s="75"/>
      <c r="I153" s="75">
        <f t="shared" si="3"/>
        <v>0</v>
      </c>
      <c r="J153" s="245"/>
      <c r="K153" s="106"/>
      <c r="N153" s="158"/>
    </row>
    <row r="154" spans="1:14" s="104" customFormat="1" ht="31.5">
      <c r="A154" s="268" t="s">
        <v>720</v>
      </c>
      <c r="B154" s="268" t="s">
        <v>1134</v>
      </c>
      <c r="C154" s="268"/>
      <c r="D154" s="268"/>
      <c r="E154" s="281" t="s">
        <v>721</v>
      </c>
      <c r="F154" s="100"/>
      <c r="G154" s="75">
        <f>G155+G156</f>
        <v>360133</v>
      </c>
      <c r="H154" s="75">
        <f>H155+H156</f>
        <v>0</v>
      </c>
      <c r="I154" s="75">
        <f t="shared" si="3"/>
        <v>360133</v>
      </c>
      <c r="J154" s="245">
        <f>J155+J156</f>
        <v>0</v>
      </c>
      <c r="K154" s="106"/>
      <c r="N154" s="158"/>
    </row>
    <row r="155" spans="1:14" s="104" customFormat="1" ht="47.25" customHeight="1" hidden="1">
      <c r="A155" s="268" t="s">
        <v>722</v>
      </c>
      <c r="B155" s="268" t="s">
        <v>1135</v>
      </c>
      <c r="C155" s="25" t="s">
        <v>79</v>
      </c>
      <c r="D155" s="25" t="s">
        <v>444</v>
      </c>
      <c r="E155" s="353" t="s">
        <v>723</v>
      </c>
      <c r="F155" s="204" t="s">
        <v>513</v>
      </c>
      <c r="G155" s="75"/>
      <c r="H155" s="75"/>
      <c r="I155" s="75">
        <f t="shared" si="3"/>
        <v>0</v>
      </c>
      <c r="J155" s="245"/>
      <c r="K155" s="106"/>
      <c r="N155" s="158"/>
    </row>
    <row r="156" spans="1:14" s="104" customFormat="1" ht="47.25" customHeight="1">
      <c r="A156" s="268" t="s">
        <v>724</v>
      </c>
      <c r="B156" s="268" t="s">
        <v>1136</v>
      </c>
      <c r="C156" s="25" t="s">
        <v>80</v>
      </c>
      <c r="D156" s="25" t="s">
        <v>444</v>
      </c>
      <c r="E156" s="353" t="s">
        <v>235</v>
      </c>
      <c r="F156" s="204" t="s">
        <v>513</v>
      </c>
      <c r="G156" s="75">
        <v>360133</v>
      </c>
      <c r="H156" s="75"/>
      <c r="I156" s="75">
        <f t="shared" si="3"/>
        <v>360133</v>
      </c>
      <c r="J156" s="245"/>
      <c r="K156" s="106"/>
      <c r="N156" s="158"/>
    </row>
    <row r="157" spans="1:14" s="104" customFormat="1" ht="15.75" customHeight="1">
      <c r="A157" s="268" t="s">
        <v>725</v>
      </c>
      <c r="B157" s="268" t="s">
        <v>1137</v>
      </c>
      <c r="C157" s="268"/>
      <c r="D157" s="268"/>
      <c r="E157" s="281" t="s">
        <v>726</v>
      </c>
      <c r="F157" s="100"/>
      <c r="G157" s="75">
        <f>G158+G159</f>
        <v>2527808</v>
      </c>
      <c r="H157" s="75">
        <f>H158+H159</f>
        <v>170000</v>
      </c>
      <c r="I157" s="75">
        <f t="shared" si="3"/>
        <v>2697808</v>
      </c>
      <c r="J157" s="245">
        <f>J158+J159</f>
        <v>0</v>
      </c>
      <c r="K157" s="106"/>
      <c r="N157" s="158"/>
    </row>
    <row r="158" spans="1:14" s="104" customFormat="1" ht="52.5" customHeight="1">
      <c r="A158" s="265" t="s">
        <v>727</v>
      </c>
      <c r="B158" s="265" t="s">
        <v>1138</v>
      </c>
      <c r="C158" s="265" t="s">
        <v>23</v>
      </c>
      <c r="D158" s="265" t="s">
        <v>456</v>
      </c>
      <c r="E158" s="428" t="s">
        <v>728</v>
      </c>
      <c r="F158" s="204" t="s">
        <v>513</v>
      </c>
      <c r="G158" s="75">
        <f>2453308+(40000)</f>
        <v>2493308</v>
      </c>
      <c r="H158" s="75">
        <f>(170000)</f>
        <v>170000</v>
      </c>
      <c r="I158" s="75">
        <f t="shared" si="3"/>
        <v>2663308</v>
      </c>
      <c r="J158" s="245"/>
      <c r="K158" s="106"/>
      <c r="N158" s="158"/>
    </row>
    <row r="159" spans="1:14" s="104" customFormat="1" ht="52.5" customHeight="1">
      <c r="A159" s="265" t="s">
        <v>727</v>
      </c>
      <c r="B159" s="265" t="s">
        <v>1138</v>
      </c>
      <c r="C159" s="265" t="s">
        <v>23</v>
      </c>
      <c r="D159" s="265" t="s">
        <v>456</v>
      </c>
      <c r="E159" s="428" t="s">
        <v>728</v>
      </c>
      <c r="F159" s="100" t="s">
        <v>1231</v>
      </c>
      <c r="G159" s="75">
        <v>34500</v>
      </c>
      <c r="H159" s="75"/>
      <c r="I159" s="75">
        <f t="shared" si="3"/>
        <v>34500</v>
      </c>
      <c r="J159" s="245"/>
      <c r="K159" s="106"/>
      <c r="N159" s="158"/>
    </row>
    <row r="160" spans="1:14" s="104" customFormat="1" ht="52.5" customHeight="1">
      <c r="A160" s="25" t="s">
        <v>719</v>
      </c>
      <c r="B160" s="25" t="s">
        <v>1097</v>
      </c>
      <c r="C160" s="268" t="s">
        <v>495</v>
      </c>
      <c r="D160" s="268" t="s">
        <v>496</v>
      </c>
      <c r="E160" s="281" t="s">
        <v>497</v>
      </c>
      <c r="F160" s="236" t="s">
        <v>14</v>
      </c>
      <c r="G160" s="75">
        <f>781522-181717+37</f>
        <v>599842</v>
      </c>
      <c r="H160" s="75"/>
      <c r="I160" s="75">
        <f t="shared" si="3"/>
        <v>599842</v>
      </c>
      <c r="J160" s="245"/>
      <c r="K160" s="106"/>
      <c r="N160" s="158"/>
    </row>
    <row r="161" spans="1:14" s="104" customFormat="1" ht="15.75" customHeight="1" hidden="1">
      <c r="A161" s="25" t="s">
        <v>729</v>
      </c>
      <c r="B161" s="25" t="s">
        <v>1139</v>
      </c>
      <c r="C161" s="268"/>
      <c r="D161" s="268"/>
      <c r="E161" s="281" t="s">
        <v>93</v>
      </c>
      <c r="F161" s="204"/>
      <c r="G161" s="75">
        <f>G162+G163+G164</f>
        <v>76862819</v>
      </c>
      <c r="H161" s="75">
        <f>H162+H163+H164</f>
        <v>0</v>
      </c>
      <c r="I161" s="75">
        <f t="shared" si="3"/>
        <v>76862819</v>
      </c>
      <c r="J161" s="245">
        <f>J162+J163+J164</f>
        <v>0</v>
      </c>
      <c r="K161" s="106"/>
      <c r="N161" s="158"/>
    </row>
    <row r="162" spans="1:14" s="104" customFormat="1" ht="51" customHeight="1">
      <c r="A162" s="283" t="s">
        <v>729</v>
      </c>
      <c r="B162" s="265" t="s">
        <v>1139</v>
      </c>
      <c r="C162" s="434" t="s">
        <v>86</v>
      </c>
      <c r="D162" s="265" t="s">
        <v>457</v>
      </c>
      <c r="E162" s="282" t="s">
        <v>93</v>
      </c>
      <c r="F162" s="201" t="s">
        <v>513</v>
      </c>
      <c r="G162" s="75">
        <v>22924006</v>
      </c>
      <c r="H162" s="75"/>
      <c r="I162" s="75">
        <f t="shared" si="3"/>
        <v>22924006</v>
      </c>
      <c r="J162" s="245"/>
      <c r="K162" s="106"/>
      <c r="N162" s="158"/>
    </row>
    <row r="163" spans="1:14" s="104" customFormat="1" ht="51" customHeight="1">
      <c r="A163" s="283" t="s">
        <v>729</v>
      </c>
      <c r="B163" s="265" t="s">
        <v>1139</v>
      </c>
      <c r="C163" s="438"/>
      <c r="D163" s="265" t="s">
        <v>457</v>
      </c>
      <c r="E163" s="282" t="s">
        <v>93</v>
      </c>
      <c r="F163" s="344" t="s">
        <v>1195</v>
      </c>
      <c r="G163" s="75">
        <v>24002400</v>
      </c>
      <c r="H163" s="75"/>
      <c r="I163" s="75">
        <f t="shared" si="3"/>
        <v>24002400</v>
      </c>
      <c r="J163" s="245"/>
      <c r="K163" s="106"/>
      <c r="N163" s="158"/>
    </row>
    <row r="164" spans="1:14" s="104" customFormat="1" ht="50.25" customHeight="1">
      <c r="A164" s="283" t="s">
        <v>729</v>
      </c>
      <c r="B164" s="265" t="s">
        <v>1139</v>
      </c>
      <c r="C164" s="435"/>
      <c r="D164" s="265" t="s">
        <v>457</v>
      </c>
      <c r="E164" s="282" t="s">
        <v>93</v>
      </c>
      <c r="F164" s="100" t="s">
        <v>1231</v>
      </c>
      <c r="G164" s="75">
        <f>9600000+22400000-104000-1959587</f>
        <v>29936413</v>
      </c>
      <c r="H164" s="75"/>
      <c r="I164" s="75">
        <f t="shared" si="3"/>
        <v>29936413</v>
      </c>
      <c r="J164" s="245"/>
      <c r="K164" s="106"/>
      <c r="N164" s="158"/>
    </row>
    <row r="165" spans="1:14" s="104" customFormat="1" ht="15.75" customHeight="1">
      <c r="A165" s="313" t="s">
        <v>731</v>
      </c>
      <c r="B165" s="313" t="s">
        <v>1073</v>
      </c>
      <c r="C165" s="314" t="s">
        <v>572</v>
      </c>
      <c r="D165" s="314"/>
      <c r="E165" s="285" t="s">
        <v>694</v>
      </c>
      <c r="F165" s="220"/>
      <c r="G165" s="83">
        <f>G166</f>
        <v>0</v>
      </c>
      <c r="H165" s="83">
        <f>H166</f>
        <v>7500000</v>
      </c>
      <c r="I165" s="83">
        <f t="shared" si="3"/>
        <v>7500000</v>
      </c>
      <c r="J165" s="245">
        <f>J166</f>
        <v>0</v>
      </c>
      <c r="K165" s="106"/>
      <c r="N165" s="158"/>
    </row>
    <row r="166" spans="1:14" s="104" customFormat="1" ht="51.75" customHeight="1">
      <c r="A166" s="268" t="s">
        <v>732</v>
      </c>
      <c r="B166" s="268" t="s">
        <v>1074</v>
      </c>
      <c r="C166" s="268" t="s">
        <v>84</v>
      </c>
      <c r="D166" s="268" t="s">
        <v>438</v>
      </c>
      <c r="E166" s="354" t="s">
        <v>575</v>
      </c>
      <c r="F166" s="181" t="s">
        <v>513</v>
      </c>
      <c r="G166" s="75"/>
      <c r="H166" s="75">
        <v>7500000</v>
      </c>
      <c r="I166" s="75">
        <f t="shared" si="3"/>
        <v>7500000</v>
      </c>
      <c r="J166" s="245"/>
      <c r="K166" s="113"/>
      <c r="N166" s="158"/>
    </row>
    <row r="167" spans="1:14" s="104" customFormat="1" ht="36.75" customHeight="1">
      <c r="A167" s="98"/>
      <c r="B167" s="98" t="s">
        <v>176</v>
      </c>
      <c r="C167" s="98" t="s">
        <v>176</v>
      </c>
      <c r="D167" s="98"/>
      <c r="E167" s="99" t="s">
        <v>180</v>
      </c>
      <c r="F167" s="166"/>
      <c r="G167" s="83">
        <f>G168</f>
        <v>818931</v>
      </c>
      <c r="H167" s="83">
        <f>H168</f>
        <v>108583</v>
      </c>
      <c r="I167" s="83">
        <f aca="true" t="shared" si="4" ref="I167:I175">G167+H167</f>
        <v>927514</v>
      </c>
      <c r="J167" s="144">
        <f>J168</f>
        <v>0</v>
      </c>
      <c r="K167" s="106"/>
      <c r="N167" s="158"/>
    </row>
    <row r="168" spans="1:14" s="104" customFormat="1" ht="31.5" customHeight="1">
      <c r="A168" s="25" t="s">
        <v>733</v>
      </c>
      <c r="B168" s="25"/>
      <c r="C168" s="25"/>
      <c r="D168" s="25"/>
      <c r="E168" s="217" t="s">
        <v>180</v>
      </c>
      <c r="F168" s="204"/>
      <c r="G168" s="83">
        <f>G169+G171+G173</f>
        <v>818931</v>
      </c>
      <c r="H168" s="83">
        <f>H169+H171+H173</f>
        <v>108583</v>
      </c>
      <c r="I168" s="83">
        <f t="shared" si="4"/>
        <v>927514</v>
      </c>
      <c r="J168" s="144">
        <f>J169+J171+J173</f>
        <v>0</v>
      </c>
      <c r="K168" s="106"/>
      <c r="N168" s="158"/>
    </row>
    <row r="169" spans="1:14" s="104" customFormat="1" ht="15.75" customHeight="1" hidden="1">
      <c r="A169" s="313" t="s">
        <v>734</v>
      </c>
      <c r="B169" s="313" t="s">
        <v>1068</v>
      </c>
      <c r="C169" s="314" t="s">
        <v>559</v>
      </c>
      <c r="D169" s="314"/>
      <c r="E169" s="285" t="s">
        <v>560</v>
      </c>
      <c r="F169" s="204"/>
      <c r="G169" s="83">
        <f>G170</f>
        <v>0</v>
      </c>
      <c r="H169" s="83">
        <f>H170</f>
        <v>0</v>
      </c>
      <c r="I169" s="83">
        <f t="shared" si="4"/>
        <v>0</v>
      </c>
      <c r="J169" s="144">
        <f>J170</f>
        <v>0</v>
      </c>
      <c r="K169" s="106"/>
      <c r="N169" s="158"/>
    </row>
    <row r="170" spans="1:14" s="104" customFormat="1" ht="47.25" customHeight="1" hidden="1">
      <c r="A170" s="268" t="s">
        <v>735</v>
      </c>
      <c r="B170" s="268" t="s">
        <v>471</v>
      </c>
      <c r="C170" s="268" t="s">
        <v>165</v>
      </c>
      <c r="D170" s="268" t="s">
        <v>436</v>
      </c>
      <c r="E170" s="353" t="s">
        <v>736</v>
      </c>
      <c r="F170" s="402" t="s">
        <v>1222</v>
      </c>
      <c r="G170" s="75"/>
      <c r="H170" s="75"/>
      <c r="I170" s="75">
        <f t="shared" si="4"/>
        <v>0</v>
      </c>
      <c r="J170" s="241"/>
      <c r="K170" s="106"/>
      <c r="N170" s="158"/>
    </row>
    <row r="171" spans="1:14" s="104" customFormat="1" ht="15.75">
      <c r="A171" s="314"/>
      <c r="B171" s="314"/>
      <c r="C171" s="314" t="s">
        <v>594</v>
      </c>
      <c r="D171" s="314"/>
      <c r="E171" s="285" t="s">
        <v>595</v>
      </c>
      <c r="F171" s="204"/>
      <c r="G171" s="83">
        <f>G172</f>
        <v>312136</v>
      </c>
      <c r="H171" s="83">
        <f>H172</f>
        <v>108583</v>
      </c>
      <c r="I171" s="83">
        <f t="shared" si="4"/>
        <v>420719</v>
      </c>
      <c r="J171" s="241">
        <f>J172</f>
        <v>0</v>
      </c>
      <c r="K171" s="106"/>
      <c r="N171" s="158"/>
    </row>
    <row r="172" spans="1:14" s="104" customFormat="1" ht="63" customHeight="1">
      <c r="A172" s="268" t="s">
        <v>742</v>
      </c>
      <c r="B172" s="268" t="s">
        <v>448</v>
      </c>
      <c r="C172" s="25" t="s">
        <v>538</v>
      </c>
      <c r="D172" s="25" t="s">
        <v>440</v>
      </c>
      <c r="E172" s="9" t="s">
        <v>743</v>
      </c>
      <c r="F172" s="199" t="s">
        <v>546</v>
      </c>
      <c r="G172" s="75">
        <v>312136</v>
      </c>
      <c r="H172" s="75">
        <v>108583</v>
      </c>
      <c r="I172" s="75">
        <f t="shared" si="4"/>
        <v>420719</v>
      </c>
      <c r="J172" s="241"/>
      <c r="K172" s="106"/>
      <c r="N172" s="158"/>
    </row>
    <row r="173" spans="1:14" s="104" customFormat="1" ht="15.75" customHeight="1">
      <c r="A173" s="314"/>
      <c r="B173" s="314"/>
      <c r="C173" s="314" t="s">
        <v>616</v>
      </c>
      <c r="D173" s="314"/>
      <c r="E173" s="285" t="s">
        <v>617</v>
      </c>
      <c r="F173" s="204"/>
      <c r="G173" s="83">
        <f>G174</f>
        <v>506795</v>
      </c>
      <c r="H173" s="83">
        <f>H174</f>
        <v>0</v>
      </c>
      <c r="I173" s="83">
        <f t="shared" si="4"/>
        <v>506795</v>
      </c>
      <c r="J173" s="241">
        <f>J174</f>
        <v>0</v>
      </c>
      <c r="K173" s="106"/>
      <c r="N173" s="158"/>
    </row>
    <row r="174" spans="1:14" s="104" customFormat="1" ht="34.5" customHeight="1">
      <c r="A174" s="268" t="s">
        <v>737</v>
      </c>
      <c r="B174" s="268" t="s">
        <v>1141</v>
      </c>
      <c r="C174" s="25"/>
      <c r="D174" s="25"/>
      <c r="E174" s="281" t="s">
        <v>738</v>
      </c>
      <c r="F174" s="204"/>
      <c r="G174" s="75">
        <f>G175</f>
        <v>506795</v>
      </c>
      <c r="H174" s="75">
        <f>H175</f>
        <v>0</v>
      </c>
      <c r="I174" s="75">
        <f t="shared" si="4"/>
        <v>506795</v>
      </c>
      <c r="J174" s="241">
        <f>J175</f>
        <v>0</v>
      </c>
      <c r="K174" s="106"/>
      <c r="N174" s="158"/>
    </row>
    <row r="175" spans="1:14" s="104" customFormat="1" ht="61.5" customHeight="1">
      <c r="A175" s="268" t="s">
        <v>739</v>
      </c>
      <c r="B175" s="268" t="s">
        <v>1142</v>
      </c>
      <c r="C175" s="25" t="s">
        <v>539</v>
      </c>
      <c r="D175" s="25" t="s">
        <v>740</v>
      </c>
      <c r="E175" s="429" t="s">
        <v>741</v>
      </c>
      <c r="F175" s="199" t="s">
        <v>547</v>
      </c>
      <c r="G175" s="75">
        <v>506795</v>
      </c>
      <c r="H175" s="75"/>
      <c r="I175" s="75">
        <f t="shared" si="4"/>
        <v>506795</v>
      </c>
      <c r="J175" s="241"/>
      <c r="K175" s="106"/>
      <c r="N175" s="158"/>
    </row>
    <row r="176" spans="1:14" s="104" customFormat="1" ht="47.25" customHeight="1" hidden="1">
      <c r="A176" s="98"/>
      <c r="B176" s="98" t="s">
        <v>187</v>
      </c>
      <c r="C176" s="98" t="s">
        <v>187</v>
      </c>
      <c r="D176" s="98"/>
      <c r="E176" s="99" t="s">
        <v>532</v>
      </c>
      <c r="F176" s="164"/>
      <c r="G176" s="83">
        <f aca="true" t="shared" si="5" ref="G176:J178">G177</f>
        <v>0</v>
      </c>
      <c r="H176" s="83">
        <f t="shared" si="5"/>
        <v>0</v>
      </c>
      <c r="I176" s="83">
        <f>G176+H176</f>
        <v>0</v>
      </c>
      <c r="J176" s="144">
        <f t="shared" si="5"/>
        <v>0</v>
      </c>
      <c r="K176" s="106"/>
      <c r="N176" s="158"/>
    </row>
    <row r="177" spans="1:14" s="104" customFormat="1" ht="30.75" customHeight="1" hidden="1">
      <c r="A177" s="25" t="s">
        <v>744</v>
      </c>
      <c r="B177" s="25"/>
      <c r="C177" s="25"/>
      <c r="D177" s="25"/>
      <c r="E177" s="285" t="s">
        <v>532</v>
      </c>
      <c r="F177" s="204"/>
      <c r="G177" s="83">
        <f t="shared" si="5"/>
        <v>0</v>
      </c>
      <c r="H177" s="83">
        <f t="shared" si="5"/>
        <v>0</v>
      </c>
      <c r="I177" s="83"/>
      <c r="J177" s="144">
        <f t="shared" si="5"/>
        <v>0</v>
      </c>
      <c r="K177" s="106"/>
      <c r="N177" s="158"/>
    </row>
    <row r="178" spans="1:14" s="104" customFormat="1" ht="15.75" customHeight="1" hidden="1">
      <c r="A178" s="313" t="s">
        <v>745</v>
      </c>
      <c r="B178" s="313" t="s">
        <v>1068</v>
      </c>
      <c r="C178" s="314" t="s">
        <v>559</v>
      </c>
      <c r="D178" s="314"/>
      <c r="E178" s="285" t="s">
        <v>560</v>
      </c>
      <c r="F178" s="204"/>
      <c r="G178" s="83">
        <f t="shared" si="5"/>
        <v>0</v>
      </c>
      <c r="H178" s="83">
        <f t="shared" si="5"/>
        <v>0</v>
      </c>
      <c r="I178" s="83"/>
      <c r="J178" s="144">
        <f t="shared" si="5"/>
        <v>0</v>
      </c>
      <c r="K178" s="106"/>
      <c r="N178" s="158"/>
    </row>
    <row r="179" spans="1:14" s="104" customFormat="1" ht="47.25" customHeight="1" hidden="1">
      <c r="A179" s="268" t="s">
        <v>746</v>
      </c>
      <c r="B179" s="268" t="s">
        <v>471</v>
      </c>
      <c r="C179" s="268" t="s">
        <v>165</v>
      </c>
      <c r="D179" s="268" t="s">
        <v>436</v>
      </c>
      <c r="E179" s="353" t="s">
        <v>747</v>
      </c>
      <c r="F179" s="402" t="s">
        <v>1222</v>
      </c>
      <c r="G179" s="75"/>
      <c r="H179" s="75"/>
      <c r="I179" s="75">
        <f>G179+H179</f>
        <v>0</v>
      </c>
      <c r="J179" s="241"/>
      <c r="K179" s="113"/>
      <c r="N179" s="158"/>
    </row>
    <row r="180" spans="1:14" s="104" customFormat="1" ht="36.75" customHeight="1">
      <c r="A180" s="98"/>
      <c r="B180" s="98" t="s">
        <v>148</v>
      </c>
      <c r="C180" s="98" t="s">
        <v>148</v>
      </c>
      <c r="D180" s="96"/>
      <c r="E180" s="99" t="s">
        <v>522</v>
      </c>
      <c r="F180" s="166"/>
      <c r="G180" s="83">
        <f>G181</f>
        <v>7784655</v>
      </c>
      <c r="H180" s="83">
        <f>H181</f>
        <v>13763670</v>
      </c>
      <c r="I180" s="83">
        <f aca="true" t="shared" si="6" ref="I180:I235">G180+H180</f>
        <v>21548325</v>
      </c>
      <c r="J180" s="144">
        <f>J181</f>
        <v>126270</v>
      </c>
      <c r="K180" s="113"/>
      <c r="L180" s="115"/>
      <c r="N180" s="158"/>
    </row>
    <row r="181" spans="1:14" s="104" customFormat="1" ht="31.5" customHeight="1">
      <c r="A181" s="25" t="s">
        <v>748</v>
      </c>
      <c r="B181" s="25"/>
      <c r="C181" s="25"/>
      <c r="D181" s="25"/>
      <c r="E181" s="217" t="s">
        <v>522</v>
      </c>
      <c r="F181" s="202"/>
      <c r="G181" s="83">
        <f>G182+G184+G200+G202</f>
        <v>7784655</v>
      </c>
      <c r="H181" s="83">
        <f>H182+H184+H200+H202</f>
        <v>13763670</v>
      </c>
      <c r="I181" s="83">
        <f t="shared" si="6"/>
        <v>21548325</v>
      </c>
      <c r="J181" s="144">
        <f>J182+J184+J200+J202</f>
        <v>126270</v>
      </c>
      <c r="K181" s="113"/>
      <c r="L181" s="115"/>
      <c r="N181" s="158"/>
    </row>
    <row r="182" spans="1:14" s="104" customFormat="1" ht="15.75" customHeight="1">
      <c r="A182" s="313" t="s">
        <v>749</v>
      </c>
      <c r="B182" s="313" t="s">
        <v>1068</v>
      </c>
      <c r="C182" s="314" t="s">
        <v>559</v>
      </c>
      <c r="D182" s="314"/>
      <c r="E182" s="285" t="s">
        <v>560</v>
      </c>
      <c r="F182" s="202"/>
      <c r="G182" s="83">
        <f>G183</f>
        <v>0</v>
      </c>
      <c r="H182" s="83">
        <f>H183</f>
        <v>1546654</v>
      </c>
      <c r="I182" s="83">
        <f t="shared" si="6"/>
        <v>1546654</v>
      </c>
      <c r="J182" s="144">
        <f>J183</f>
        <v>0</v>
      </c>
      <c r="K182" s="113"/>
      <c r="L182" s="115"/>
      <c r="N182" s="158"/>
    </row>
    <row r="183" spans="1:14" s="104" customFormat="1" ht="47.25" customHeight="1">
      <c r="A183" s="268" t="s">
        <v>750</v>
      </c>
      <c r="B183" s="268" t="s">
        <v>471</v>
      </c>
      <c r="C183" s="268" t="s">
        <v>165</v>
      </c>
      <c r="D183" s="268" t="s">
        <v>436</v>
      </c>
      <c r="E183" s="353" t="s">
        <v>1189</v>
      </c>
      <c r="F183" s="176" t="s">
        <v>498</v>
      </c>
      <c r="G183" s="75"/>
      <c r="H183" s="75">
        <v>1546654</v>
      </c>
      <c r="I183" s="75">
        <f t="shared" si="6"/>
        <v>1546654</v>
      </c>
      <c r="J183" s="144"/>
      <c r="K183" s="113"/>
      <c r="N183" s="158"/>
    </row>
    <row r="184" spans="1:14" s="104" customFormat="1" ht="15.75" customHeight="1">
      <c r="A184" s="313" t="s">
        <v>751</v>
      </c>
      <c r="B184" s="313" t="s">
        <v>1143</v>
      </c>
      <c r="C184" s="313" t="s">
        <v>752</v>
      </c>
      <c r="D184" s="313"/>
      <c r="E184" s="286" t="s">
        <v>753</v>
      </c>
      <c r="F184" s="202"/>
      <c r="G184" s="83">
        <f>G185+G186+G187+G188+G189+G190+G192+G193+G194+G191</f>
        <v>7162450</v>
      </c>
      <c r="H184" s="83">
        <f>H185+H186+H187+H188+H189+H190+H192+H193+H194+H191</f>
        <v>10741466</v>
      </c>
      <c r="I184" s="83">
        <f>I185+I186+I187+I188+I189+I190+I192+I193+I194+I191</f>
        <v>17903916</v>
      </c>
      <c r="J184" s="144">
        <f>J185+J186+J187+J188+J189+J190+J192+J193+J194</f>
        <v>126270</v>
      </c>
      <c r="K184" s="113"/>
      <c r="N184" s="158"/>
    </row>
    <row r="185" spans="1:14" s="104" customFormat="1" ht="47.25">
      <c r="A185" s="268" t="s">
        <v>754</v>
      </c>
      <c r="B185" s="268" t="s">
        <v>1144</v>
      </c>
      <c r="C185" s="268">
        <v>110102</v>
      </c>
      <c r="D185" s="268" t="s">
        <v>459</v>
      </c>
      <c r="E185" s="281" t="s">
        <v>160</v>
      </c>
      <c r="F185" s="191" t="s">
        <v>498</v>
      </c>
      <c r="G185" s="75">
        <v>198880</v>
      </c>
      <c r="H185" s="75">
        <v>808480</v>
      </c>
      <c r="I185" s="75">
        <f t="shared" si="6"/>
        <v>1007360</v>
      </c>
      <c r="J185" s="241"/>
      <c r="K185" s="106"/>
      <c r="N185" s="158"/>
    </row>
    <row r="186" spans="1:14" s="104" customFormat="1" ht="53.25" customHeight="1">
      <c r="A186" s="265" t="s">
        <v>755</v>
      </c>
      <c r="B186" s="265" t="s">
        <v>1145</v>
      </c>
      <c r="C186" s="265">
        <v>110201</v>
      </c>
      <c r="D186" s="265" t="s">
        <v>460</v>
      </c>
      <c r="E186" s="282" t="s">
        <v>162</v>
      </c>
      <c r="F186" s="176" t="s">
        <v>498</v>
      </c>
      <c r="G186" s="75">
        <v>864793</v>
      </c>
      <c r="H186" s="75">
        <v>985409</v>
      </c>
      <c r="I186" s="75">
        <f t="shared" si="6"/>
        <v>1850202</v>
      </c>
      <c r="J186" s="241"/>
      <c r="K186" s="113"/>
      <c r="M186" s="115"/>
      <c r="N186" s="158"/>
    </row>
    <row r="187" spans="1:14" s="104" customFormat="1" ht="31.5">
      <c r="A187" s="265" t="s">
        <v>755</v>
      </c>
      <c r="B187" s="265" t="s">
        <v>1145</v>
      </c>
      <c r="C187" s="265">
        <v>110201</v>
      </c>
      <c r="D187" s="265" t="s">
        <v>460</v>
      </c>
      <c r="E187" s="282" t="s">
        <v>162</v>
      </c>
      <c r="F187" s="100" t="s">
        <v>1231</v>
      </c>
      <c r="G187" s="82">
        <v>10000</v>
      </c>
      <c r="H187" s="82">
        <v>38000</v>
      </c>
      <c r="I187" s="82">
        <f t="shared" si="6"/>
        <v>48000</v>
      </c>
      <c r="J187" s="249"/>
      <c r="K187" s="106"/>
      <c r="N187" s="158"/>
    </row>
    <row r="188" spans="1:14" s="104" customFormat="1" ht="60" customHeight="1">
      <c r="A188" s="265" t="s">
        <v>756</v>
      </c>
      <c r="B188" s="265" t="s">
        <v>1146</v>
      </c>
      <c r="C188" s="265">
        <v>110204</v>
      </c>
      <c r="D188" s="265" t="s">
        <v>461</v>
      </c>
      <c r="E188" s="415" t="s">
        <v>170</v>
      </c>
      <c r="F188" s="176" t="s">
        <v>498</v>
      </c>
      <c r="G188" s="75">
        <v>22392</v>
      </c>
      <c r="H188" s="75">
        <v>4657870</v>
      </c>
      <c r="I188" s="75">
        <f t="shared" si="6"/>
        <v>4680262</v>
      </c>
      <c r="J188" s="241"/>
      <c r="K188" s="113"/>
      <c r="L188" s="115"/>
      <c r="M188" s="115"/>
      <c r="N188" s="158"/>
    </row>
    <row r="189" spans="1:14" s="104" customFormat="1" ht="31.5">
      <c r="A189" s="265" t="s">
        <v>756</v>
      </c>
      <c r="B189" s="265" t="s">
        <v>1146</v>
      </c>
      <c r="C189" s="265">
        <v>110204</v>
      </c>
      <c r="D189" s="265" t="s">
        <v>461</v>
      </c>
      <c r="E189" s="415" t="s">
        <v>170</v>
      </c>
      <c r="F189" s="100" t="s">
        <v>1231</v>
      </c>
      <c r="G189" s="375">
        <v>500000</v>
      </c>
      <c r="H189" s="375"/>
      <c r="I189" s="375">
        <f t="shared" si="6"/>
        <v>500000</v>
      </c>
      <c r="J189" s="248"/>
      <c r="K189" s="106"/>
      <c r="N189" s="158"/>
    </row>
    <row r="190" spans="1:14" s="104" customFormat="1" ht="47.25">
      <c r="A190" s="265" t="s">
        <v>757</v>
      </c>
      <c r="B190" s="265" t="s">
        <v>1147</v>
      </c>
      <c r="C190" s="434">
        <v>110205</v>
      </c>
      <c r="D190" s="265" t="s">
        <v>442</v>
      </c>
      <c r="E190" s="282" t="s">
        <v>168</v>
      </c>
      <c r="F190" s="176" t="s">
        <v>498</v>
      </c>
      <c r="G190" s="75">
        <v>275013</v>
      </c>
      <c r="H190" s="75">
        <v>4186142</v>
      </c>
      <c r="I190" s="75">
        <f t="shared" si="6"/>
        <v>4461155</v>
      </c>
      <c r="J190" s="241">
        <v>126270</v>
      </c>
      <c r="K190" s="113"/>
      <c r="M190" s="115"/>
      <c r="N190" s="158"/>
    </row>
    <row r="191" spans="1:14" s="104" customFormat="1" ht="47.25">
      <c r="A191" s="265" t="s">
        <v>757</v>
      </c>
      <c r="B191" s="265" t="s">
        <v>1147</v>
      </c>
      <c r="C191" s="435"/>
      <c r="D191" s="265" t="s">
        <v>442</v>
      </c>
      <c r="E191" s="282" t="s">
        <v>168</v>
      </c>
      <c r="F191" s="409" t="s">
        <v>1247</v>
      </c>
      <c r="G191" s="75">
        <v>134435</v>
      </c>
      <c r="H191" s="75">
        <v>65565</v>
      </c>
      <c r="I191" s="75">
        <f t="shared" si="6"/>
        <v>200000</v>
      </c>
      <c r="J191" s="241"/>
      <c r="K191" s="113"/>
      <c r="M191" s="115"/>
      <c r="N191" s="158"/>
    </row>
    <row r="192" spans="1:14" s="120" customFormat="1" ht="52.5" customHeight="1" hidden="1">
      <c r="A192" s="265" t="s">
        <v>757</v>
      </c>
      <c r="B192" s="265" t="s">
        <v>1147</v>
      </c>
      <c r="C192" s="265">
        <v>110205</v>
      </c>
      <c r="D192" s="420"/>
      <c r="E192" s="421"/>
      <c r="F192" s="100" t="s">
        <v>1231</v>
      </c>
      <c r="G192" s="376"/>
      <c r="H192" s="376"/>
      <c r="I192" s="376">
        <f t="shared" si="6"/>
        <v>0</v>
      </c>
      <c r="J192" s="252"/>
      <c r="K192" s="119"/>
      <c r="M192" s="121"/>
      <c r="N192" s="122"/>
    </row>
    <row r="193" spans="1:15" s="104" customFormat="1" ht="47.25">
      <c r="A193" s="268" t="s">
        <v>758</v>
      </c>
      <c r="B193" s="268" t="s">
        <v>1148</v>
      </c>
      <c r="C193" s="268" t="s">
        <v>759</v>
      </c>
      <c r="D193" s="268" t="s">
        <v>463</v>
      </c>
      <c r="E193" s="281" t="s">
        <v>30</v>
      </c>
      <c r="F193" s="176" t="s">
        <v>498</v>
      </c>
      <c r="G193" s="373">
        <v>2726604</v>
      </c>
      <c r="H193" s="373"/>
      <c r="I193" s="373">
        <f t="shared" si="6"/>
        <v>2726604</v>
      </c>
      <c r="J193" s="247"/>
      <c r="K193" s="106"/>
      <c r="N193" s="114"/>
      <c r="O193" s="115"/>
    </row>
    <row r="194" spans="1:14" s="104" customFormat="1" ht="47.25">
      <c r="A194" s="268" t="s">
        <v>760</v>
      </c>
      <c r="B194" s="268" t="s">
        <v>1149</v>
      </c>
      <c r="C194" s="268" t="s">
        <v>761</v>
      </c>
      <c r="D194" s="268" t="s">
        <v>462</v>
      </c>
      <c r="E194" s="281" t="s">
        <v>18</v>
      </c>
      <c r="F194" s="418" t="s">
        <v>498</v>
      </c>
      <c r="G194" s="373">
        <f>G195+G196+G197+G198+G199</f>
        <v>2430333</v>
      </c>
      <c r="H194" s="373">
        <f>H195+H196+H197+H198+H199</f>
        <v>0</v>
      </c>
      <c r="I194" s="373">
        <f t="shared" si="6"/>
        <v>2430333</v>
      </c>
      <c r="J194" s="247">
        <f>J195+J196+J197+J198+J199</f>
        <v>0</v>
      </c>
      <c r="K194" s="106"/>
      <c r="N194" s="158"/>
    </row>
    <row r="195" spans="1:14" s="104" customFormat="1" ht="47.25" customHeight="1" hidden="1">
      <c r="A195" s="268" t="s">
        <v>760</v>
      </c>
      <c r="B195" s="268" t="s">
        <v>1149</v>
      </c>
      <c r="C195" s="268">
        <v>110502</v>
      </c>
      <c r="D195" s="268" t="s">
        <v>462</v>
      </c>
      <c r="E195" s="281" t="s">
        <v>18</v>
      </c>
      <c r="F195" s="202" t="s">
        <v>498</v>
      </c>
      <c r="G195" s="373"/>
      <c r="H195" s="373"/>
      <c r="I195" s="373">
        <f t="shared" si="6"/>
        <v>0</v>
      </c>
      <c r="J195" s="247"/>
      <c r="K195" s="106"/>
      <c r="N195" s="158"/>
    </row>
    <row r="196" spans="1:14" s="104" customFormat="1" ht="47.25" customHeight="1" hidden="1">
      <c r="A196" s="268" t="s">
        <v>760</v>
      </c>
      <c r="B196" s="268" t="s">
        <v>1149</v>
      </c>
      <c r="C196" s="268" t="s">
        <v>761</v>
      </c>
      <c r="D196" s="268" t="s">
        <v>462</v>
      </c>
      <c r="E196" s="281" t="s">
        <v>18</v>
      </c>
      <c r="F196" s="202" t="s">
        <v>498</v>
      </c>
      <c r="G196" s="373"/>
      <c r="H196" s="373"/>
      <c r="I196" s="373">
        <f t="shared" si="6"/>
        <v>0</v>
      </c>
      <c r="J196" s="247"/>
      <c r="K196" s="106"/>
      <c r="N196" s="158"/>
    </row>
    <row r="197" spans="1:14" s="104" customFormat="1" ht="47.25" customHeight="1" hidden="1">
      <c r="A197" s="268" t="s">
        <v>760</v>
      </c>
      <c r="B197" s="268" t="s">
        <v>1149</v>
      </c>
      <c r="C197" s="268" t="s">
        <v>761</v>
      </c>
      <c r="D197" s="268" t="s">
        <v>462</v>
      </c>
      <c r="E197" s="281" t="s">
        <v>18</v>
      </c>
      <c r="F197" s="202" t="s">
        <v>498</v>
      </c>
      <c r="G197" s="373">
        <v>887659</v>
      </c>
      <c r="H197" s="373"/>
      <c r="I197" s="373">
        <f t="shared" si="6"/>
        <v>887659</v>
      </c>
      <c r="J197" s="247"/>
      <c r="K197" s="106"/>
      <c r="N197" s="158"/>
    </row>
    <row r="198" spans="1:14" s="104" customFormat="1" ht="47.25" customHeight="1" hidden="1">
      <c r="A198" s="268" t="s">
        <v>760</v>
      </c>
      <c r="B198" s="268" t="s">
        <v>1149</v>
      </c>
      <c r="C198" s="268" t="s">
        <v>761</v>
      </c>
      <c r="D198" s="268" t="s">
        <v>462</v>
      </c>
      <c r="E198" s="281" t="s">
        <v>18</v>
      </c>
      <c r="F198" s="202" t="s">
        <v>498</v>
      </c>
      <c r="G198" s="373">
        <v>1542674</v>
      </c>
      <c r="H198" s="373"/>
      <c r="I198" s="373">
        <f t="shared" si="6"/>
        <v>1542674</v>
      </c>
      <c r="J198" s="247"/>
      <c r="K198" s="106"/>
      <c r="N198" s="158"/>
    </row>
    <row r="199" spans="1:14" s="104" customFormat="1" ht="47.25" customHeight="1" hidden="1">
      <c r="A199" s="268" t="s">
        <v>762</v>
      </c>
      <c r="B199" s="268" t="s">
        <v>1150</v>
      </c>
      <c r="C199" s="268" t="s">
        <v>761</v>
      </c>
      <c r="D199" s="268" t="s">
        <v>462</v>
      </c>
      <c r="E199" s="353" t="s">
        <v>763</v>
      </c>
      <c r="F199" s="202" t="s">
        <v>498</v>
      </c>
      <c r="G199" s="373"/>
      <c r="H199" s="373"/>
      <c r="I199" s="373">
        <f t="shared" si="6"/>
        <v>0</v>
      </c>
      <c r="J199" s="247"/>
      <c r="K199" s="106"/>
      <c r="N199" s="158"/>
    </row>
    <row r="200" spans="1:14" s="104" customFormat="1" ht="15.75" customHeight="1">
      <c r="A200" s="313" t="s">
        <v>764</v>
      </c>
      <c r="B200" s="313" t="s">
        <v>1073</v>
      </c>
      <c r="C200" s="313" t="s">
        <v>572</v>
      </c>
      <c r="D200" s="313"/>
      <c r="E200" s="355" t="s">
        <v>694</v>
      </c>
      <c r="F200" s="202"/>
      <c r="G200" s="352">
        <f>G201</f>
        <v>0</v>
      </c>
      <c r="H200" s="352">
        <f>H201</f>
        <v>1475550</v>
      </c>
      <c r="I200" s="352">
        <f t="shared" si="6"/>
        <v>1475550</v>
      </c>
      <c r="J200" s="242">
        <f>J201</f>
        <v>0</v>
      </c>
      <c r="K200" s="106"/>
      <c r="N200" s="158"/>
    </row>
    <row r="201" spans="1:14" s="104" customFormat="1" ht="56.25" customHeight="1">
      <c r="A201" s="268" t="s">
        <v>765</v>
      </c>
      <c r="B201" s="268" t="s">
        <v>1074</v>
      </c>
      <c r="C201" s="268" t="s">
        <v>84</v>
      </c>
      <c r="D201" s="268" t="s">
        <v>438</v>
      </c>
      <c r="E201" s="281" t="s">
        <v>575</v>
      </c>
      <c r="F201" s="176" t="s">
        <v>498</v>
      </c>
      <c r="G201" s="310"/>
      <c r="H201" s="310">
        <v>1475550</v>
      </c>
      <c r="I201" s="310">
        <f t="shared" si="6"/>
        <v>1475550</v>
      </c>
      <c r="J201" s="246"/>
      <c r="K201" s="113"/>
      <c r="N201" s="158"/>
    </row>
    <row r="202" spans="1:14" s="104" customFormat="1" ht="31.5">
      <c r="A202" s="313" t="s">
        <v>767</v>
      </c>
      <c r="B202" s="313" t="s">
        <v>1151</v>
      </c>
      <c r="C202" s="313" t="s">
        <v>206</v>
      </c>
      <c r="D202" s="313" t="s">
        <v>446</v>
      </c>
      <c r="E202" s="355" t="s">
        <v>207</v>
      </c>
      <c r="F202" s="404" t="s">
        <v>1232</v>
      </c>
      <c r="G202" s="310">
        <f>G203</f>
        <v>622205</v>
      </c>
      <c r="H202" s="310">
        <f>H203</f>
        <v>0</v>
      </c>
      <c r="I202" s="310">
        <f t="shared" si="6"/>
        <v>622205</v>
      </c>
      <c r="J202" s="246">
        <f>J203</f>
        <v>0</v>
      </c>
      <c r="K202" s="113"/>
      <c r="N202" s="158"/>
    </row>
    <row r="203" spans="1:14" s="104" customFormat="1" ht="39" customHeight="1" hidden="1">
      <c r="A203" s="25" t="s">
        <v>768</v>
      </c>
      <c r="B203" s="25" t="s">
        <v>1152</v>
      </c>
      <c r="C203" s="25" t="s">
        <v>206</v>
      </c>
      <c r="D203" s="25" t="s">
        <v>446</v>
      </c>
      <c r="E203" s="354" t="s">
        <v>766</v>
      </c>
      <c r="F203" s="404" t="s">
        <v>1232</v>
      </c>
      <c r="G203" s="310">
        <v>622205</v>
      </c>
      <c r="H203" s="310"/>
      <c r="I203" s="310">
        <f t="shared" si="6"/>
        <v>622205</v>
      </c>
      <c r="J203" s="246"/>
      <c r="K203" s="113"/>
      <c r="N203" s="158"/>
    </row>
    <row r="204" spans="1:14" s="104" customFormat="1" ht="54" customHeight="1">
      <c r="A204" s="98"/>
      <c r="B204" s="98" t="s">
        <v>147</v>
      </c>
      <c r="C204" s="98" t="s">
        <v>147</v>
      </c>
      <c r="D204" s="98"/>
      <c r="E204" s="99" t="s">
        <v>525</v>
      </c>
      <c r="F204" s="410"/>
      <c r="G204" s="83">
        <f>G205</f>
        <v>3595265</v>
      </c>
      <c r="H204" s="83">
        <f>H205</f>
        <v>4582388</v>
      </c>
      <c r="I204" s="83">
        <f t="shared" si="6"/>
        <v>8177653</v>
      </c>
      <c r="J204" s="144">
        <f>J205</f>
        <v>0</v>
      </c>
      <c r="K204" s="113"/>
      <c r="N204" s="158"/>
    </row>
    <row r="205" spans="1:14" s="104" customFormat="1" ht="30" customHeight="1">
      <c r="A205" s="25" t="s">
        <v>769</v>
      </c>
      <c r="B205" s="25"/>
      <c r="C205" s="25"/>
      <c r="D205" s="25"/>
      <c r="E205" s="217" t="s">
        <v>525</v>
      </c>
      <c r="F205" s="221"/>
      <c r="G205" s="83">
        <f>G206+G209+G211+G213</f>
        <v>3595265</v>
      </c>
      <c r="H205" s="83">
        <f>H206+H209+H211+H213</f>
        <v>4582388</v>
      </c>
      <c r="I205" s="83">
        <f t="shared" si="6"/>
        <v>8177653</v>
      </c>
      <c r="J205" s="144">
        <f>J206+J209+J211+J213</f>
        <v>0</v>
      </c>
      <c r="K205" s="113"/>
      <c r="N205" s="158"/>
    </row>
    <row r="206" spans="1:14" s="104" customFormat="1" ht="15.75" customHeight="1">
      <c r="A206" s="313" t="s">
        <v>770</v>
      </c>
      <c r="B206" s="313" t="s">
        <v>1068</v>
      </c>
      <c r="C206" s="314" t="s">
        <v>559</v>
      </c>
      <c r="D206" s="314"/>
      <c r="E206" s="285" t="s">
        <v>560</v>
      </c>
      <c r="F206" s="221"/>
      <c r="G206" s="83">
        <f>G207+G208</f>
        <v>0</v>
      </c>
      <c r="H206" s="83">
        <f>H207+H208</f>
        <v>1911496</v>
      </c>
      <c r="I206" s="83">
        <f t="shared" si="6"/>
        <v>1911496</v>
      </c>
      <c r="J206" s="144">
        <f>J207+J208</f>
        <v>0</v>
      </c>
      <c r="K206" s="113"/>
      <c r="N206" s="158"/>
    </row>
    <row r="207" spans="1:14" s="104" customFormat="1" ht="57.75" customHeight="1">
      <c r="A207" s="265" t="s">
        <v>771</v>
      </c>
      <c r="B207" s="265" t="s">
        <v>471</v>
      </c>
      <c r="C207" s="265" t="s">
        <v>165</v>
      </c>
      <c r="D207" s="434" t="s">
        <v>436</v>
      </c>
      <c r="E207" s="447" t="s">
        <v>772</v>
      </c>
      <c r="F207" s="181" t="s">
        <v>509</v>
      </c>
      <c r="G207" s="75"/>
      <c r="H207" s="75">
        <v>1911496</v>
      </c>
      <c r="I207" s="75">
        <f t="shared" si="6"/>
        <v>1911496</v>
      </c>
      <c r="J207" s="241"/>
      <c r="K207" s="113"/>
      <c r="N207" s="158"/>
    </row>
    <row r="208" spans="1:14" s="104" customFormat="1" ht="57.75" customHeight="1" hidden="1">
      <c r="A208" s="265" t="s">
        <v>771</v>
      </c>
      <c r="B208" s="265" t="s">
        <v>471</v>
      </c>
      <c r="C208" s="265" t="s">
        <v>165</v>
      </c>
      <c r="D208" s="435"/>
      <c r="E208" s="448"/>
      <c r="F208" s="402" t="s">
        <v>1222</v>
      </c>
      <c r="G208" s="75"/>
      <c r="H208" s="75"/>
      <c r="I208" s="75">
        <f t="shared" si="6"/>
        <v>0</v>
      </c>
      <c r="J208" s="241"/>
      <c r="K208" s="113"/>
      <c r="N208" s="158"/>
    </row>
    <row r="209" spans="1:14" s="104" customFormat="1" ht="26.25" customHeight="1">
      <c r="A209" s="313" t="s">
        <v>773</v>
      </c>
      <c r="B209" s="313" t="s">
        <v>1073</v>
      </c>
      <c r="C209" s="313" t="s">
        <v>572</v>
      </c>
      <c r="D209" s="313"/>
      <c r="E209" s="286" t="s">
        <v>694</v>
      </c>
      <c r="F209" s="221"/>
      <c r="G209" s="351">
        <f>+G210</f>
        <v>0</v>
      </c>
      <c r="H209" s="351">
        <f>+H210</f>
        <v>2670892</v>
      </c>
      <c r="I209" s="351">
        <f t="shared" si="6"/>
        <v>2670892</v>
      </c>
      <c r="J209" s="246">
        <f>+J210</f>
        <v>0</v>
      </c>
      <c r="K209" s="113"/>
      <c r="N209" s="158"/>
    </row>
    <row r="210" spans="1:14" s="104" customFormat="1" ht="48" customHeight="1">
      <c r="A210" s="265" t="s">
        <v>774</v>
      </c>
      <c r="B210" s="265" t="s">
        <v>1074</v>
      </c>
      <c r="C210" s="265" t="s">
        <v>84</v>
      </c>
      <c r="D210" s="265" t="s">
        <v>438</v>
      </c>
      <c r="E210" s="282" t="s">
        <v>575</v>
      </c>
      <c r="F210" s="411" t="s">
        <v>1250</v>
      </c>
      <c r="G210" s="310"/>
      <c r="H210" s="310">
        <v>2670892</v>
      </c>
      <c r="I210" s="310">
        <f t="shared" si="6"/>
        <v>2670892</v>
      </c>
      <c r="J210" s="246"/>
      <c r="K210" s="113"/>
      <c r="N210" s="158"/>
    </row>
    <row r="211" spans="1:14" s="104" customFormat="1" ht="15.75" customHeight="1">
      <c r="A211" s="313" t="s">
        <v>775</v>
      </c>
      <c r="B211" s="313" t="s">
        <v>1076</v>
      </c>
      <c r="C211" s="313" t="s">
        <v>569</v>
      </c>
      <c r="D211" s="313"/>
      <c r="E211" s="286" t="s">
        <v>570</v>
      </c>
      <c r="F211" s="221"/>
      <c r="G211" s="83">
        <f>G212</f>
        <v>680000</v>
      </c>
      <c r="H211" s="83">
        <f>H212</f>
        <v>0</v>
      </c>
      <c r="I211" s="83">
        <f t="shared" si="6"/>
        <v>680000</v>
      </c>
      <c r="J211" s="241">
        <f>J212</f>
        <v>0</v>
      </c>
      <c r="K211" s="113"/>
      <c r="N211" s="158"/>
    </row>
    <row r="212" spans="1:15" s="104" customFormat="1" ht="51.75" customHeight="1">
      <c r="A212" s="268" t="s">
        <v>776</v>
      </c>
      <c r="B212" s="268" t="s">
        <v>1153</v>
      </c>
      <c r="C212" s="268" t="s">
        <v>102</v>
      </c>
      <c r="D212" s="268" t="s">
        <v>446</v>
      </c>
      <c r="E212" s="281" t="s">
        <v>777</v>
      </c>
      <c r="F212" s="402" t="s">
        <v>1233</v>
      </c>
      <c r="G212" s="75">
        <f>500000+80000+100000</f>
        <v>680000</v>
      </c>
      <c r="H212" s="75"/>
      <c r="I212" s="75">
        <f t="shared" si="6"/>
        <v>680000</v>
      </c>
      <c r="J212" s="241"/>
      <c r="K212" s="106"/>
      <c r="N212" s="114"/>
      <c r="O212" s="115"/>
    </row>
    <row r="213" spans="1:15" s="104" customFormat="1" ht="15.75" customHeight="1">
      <c r="A213" s="313" t="s">
        <v>778</v>
      </c>
      <c r="B213" s="313" t="s">
        <v>1078</v>
      </c>
      <c r="C213" s="313" t="s">
        <v>584</v>
      </c>
      <c r="D213" s="313"/>
      <c r="E213" s="286" t="s">
        <v>585</v>
      </c>
      <c r="F213" s="221"/>
      <c r="G213" s="75">
        <f>G214</f>
        <v>2915265</v>
      </c>
      <c r="H213" s="75">
        <f>H214</f>
        <v>0</v>
      </c>
      <c r="I213" s="75">
        <f t="shared" si="6"/>
        <v>2915265</v>
      </c>
      <c r="J213" s="241">
        <f>J214</f>
        <v>0</v>
      </c>
      <c r="K213" s="106"/>
      <c r="N213" s="114"/>
      <c r="O213" s="115"/>
    </row>
    <row r="214" spans="1:15" s="104" customFormat="1" ht="15.75" customHeight="1" hidden="1">
      <c r="A214" s="316" t="s">
        <v>779</v>
      </c>
      <c r="B214" s="316" t="s">
        <v>1079</v>
      </c>
      <c r="C214" s="316" t="s">
        <v>77</v>
      </c>
      <c r="D214" s="316"/>
      <c r="E214" s="356" t="s">
        <v>92</v>
      </c>
      <c r="F214" s="221"/>
      <c r="G214" s="75">
        <f>G215+G216</f>
        <v>2915265</v>
      </c>
      <c r="H214" s="75">
        <f>H215+H216</f>
        <v>0</v>
      </c>
      <c r="I214" s="75">
        <f t="shared" si="6"/>
        <v>2915265</v>
      </c>
      <c r="J214" s="241">
        <f>J215+J216</f>
        <v>0</v>
      </c>
      <c r="K214" s="106"/>
      <c r="N214" s="114"/>
      <c r="O214" s="115"/>
    </row>
    <row r="215" spans="1:15" s="104" customFormat="1" ht="47.25" customHeight="1">
      <c r="A215" s="316" t="s">
        <v>779</v>
      </c>
      <c r="B215" s="316" t="s">
        <v>1079</v>
      </c>
      <c r="C215" s="268" t="s">
        <v>77</v>
      </c>
      <c r="D215" s="268" t="s">
        <v>439</v>
      </c>
      <c r="E215" s="356" t="s">
        <v>92</v>
      </c>
      <c r="F215" s="85" t="s">
        <v>1234</v>
      </c>
      <c r="G215" s="75">
        <v>699935</v>
      </c>
      <c r="H215" s="75"/>
      <c r="I215" s="75">
        <f t="shared" si="6"/>
        <v>699935</v>
      </c>
      <c r="J215" s="241"/>
      <c r="K215" s="106"/>
      <c r="N215" s="114"/>
      <c r="O215" s="115"/>
    </row>
    <row r="216" spans="1:15" s="104" customFormat="1" ht="47.25" customHeight="1">
      <c r="A216" s="316" t="s">
        <v>779</v>
      </c>
      <c r="B216" s="316" t="s">
        <v>1079</v>
      </c>
      <c r="C216" s="25" t="s">
        <v>77</v>
      </c>
      <c r="D216" s="25" t="s">
        <v>439</v>
      </c>
      <c r="E216" s="356" t="s">
        <v>92</v>
      </c>
      <c r="F216" s="85" t="s">
        <v>1235</v>
      </c>
      <c r="G216" s="306">
        <v>2215330</v>
      </c>
      <c r="H216" s="306"/>
      <c r="I216" s="306">
        <f t="shared" si="6"/>
        <v>2215330</v>
      </c>
      <c r="J216" s="241"/>
      <c r="K216" s="106"/>
      <c r="N216" s="114"/>
      <c r="O216" s="115"/>
    </row>
    <row r="217" spans="1:15" s="104" customFormat="1" ht="42.75" customHeight="1">
      <c r="A217" s="179"/>
      <c r="B217" s="288" t="s">
        <v>182</v>
      </c>
      <c r="C217" s="98" t="s">
        <v>182</v>
      </c>
      <c r="D217" s="203"/>
      <c r="E217" s="99" t="s">
        <v>518</v>
      </c>
      <c r="F217" s="85"/>
      <c r="G217" s="180">
        <f>G220</f>
        <v>0</v>
      </c>
      <c r="H217" s="180">
        <f>H220</f>
        <v>1500000</v>
      </c>
      <c r="I217" s="180">
        <f t="shared" si="6"/>
        <v>1500000</v>
      </c>
      <c r="J217" s="253">
        <f>J220</f>
        <v>0</v>
      </c>
      <c r="K217" s="106"/>
      <c r="N217" s="114"/>
      <c r="O217" s="115"/>
    </row>
    <row r="218" spans="1:15" s="104" customFormat="1" ht="15.75" customHeight="1">
      <c r="A218" s="25" t="s">
        <v>780</v>
      </c>
      <c r="B218" s="25"/>
      <c r="C218" s="25"/>
      <c r="D218" s="25"/>
      <c r="E218" s="217" t="s">
        <v>781</v>
      </c>
      <c r="F218" s="223"/>
      <c r="G218" s="180">
        <f>G219</f>
        <v>0</v>
      </c>
      <c r="H218" s="180">
        <f>H219</f>
        <v>1500000</v>
      </c>
      <c r="I218" s="180">
        <f t="shared" si="6"/>
        <v>1500000</v>
      </c>
      <c r="J218" s="253">
        <f>J219</f>
        <v>0</v>
      </c>
      <c r="K218" s="106"/>
      <c r="N218" s="114"/>
      <c r="O218" s="115"/>
    </row>
    <row r="219" spans="1:15" s="104" customFormat="1" ht="15.75" customHeight="1">
      <c r="A219" s="313" t="s">
        <v>782</v>
      </c>
      <c r="B219" s="313" t="s">
        <v>1068</v>
      </c>
      <c r="C219" s="314" t="s">
        <v>559</v>
      </c>
      <c r="D219" s="314"/>
      <c r="E219" s="285" t="s">
        <v>560</v>
      </c>
      <c r="F219" s="223"/>
      <c r="G219" s="225">
        <f>G220</f>
        <v>0</v>
      </c>
      <c r="H219" s="225">
        <f>H220</f>
        <v>1500000</v>
      </c>
      <c r="I219" s="225">
        <f t="shared" si="6"/>
        <v>1500000</v>
      </c>
      <c r="J219" s="143">
        <f>J220</f>
        <v>0</v>
      </c>
      <c r="K219" s="106"/>
      <c r="N219" s="114"/>
      <c r="O219" s="115"/>
    </row>
    <row r="220" spans="1:15" s="104" customFormat="1" ht="66" customHeight="1">
      <c r="A220" s="268" t="s">
        <v>783</v>
      </c>
      <c r="B220" s="268" t="s">
        <v>471</v>
      </c>
      <c r="C220" s="268" t="s">
        <v>165</v>
      </c>
      <c r="D220" s="268" t="s">
        <v>436</v>
      </c>
      <c r="E220" s="353" t="s">
        <v>784</v>
      </c>
      <c r="F220" s="402" t="s">
        <v>1222</v>
      </c>
      <c r="G220" s="306"/>
      <c r="H220" s="306">
        <v>1500000</v>
      </c>
      <c r="I220" s="306">
        <f t="shared" si="6"/>
        <v>1500000</v>
      </c>
      <c r="J220" s="241"/>
      <c r="K220" s="106"/>
      <c r="N220" s="114"/>
      <c r="O220" s="115"/>
    </row>
    <row r="221" spans="1:14" s="104" customFormat="1" ht="60.75" customHeight="1">
      <c r="A221" s="98"/>
      <c r="B221" s="98" t="s">
        <v>145</v>
      </c>
      <c r="C221" s="98" t="s">
        <v>145</v>
      </c>
      <c r="D221" s="98"/>
      <c r="E221" s="99" t="s">
        <v>551</v>
      </c>
      <c r="F221" s="166"/>
      <c r="G221" s="225">
        <f>G222</f>
        <v>397419294</v>
      </c>
      <c r="H221" s="225">
        <f>H222</f>
        <v>584870176</v>
      </c>
      <c r="I221" s="225">
        <f t="shared" si="6"/>
        <v>982289470</v>
      </c>
      <c r="J221" s="144">
        <f>J222</f>
        <v>0</v>
      </c>
      <c r="K221" s="113"/>
      <c r="N221" s="158"/>
    </row>
    <row r="222" spans="1:14" s="140" customFormat="1" ht="47.25">
      <c r="A222" s="25" t="s">
        <v>785</v>
      </c>
      <c r="B222" s="25"/>
      <c r="C222" s="25"/>
      <c r="D222" s="25"/>
      <c r="E222" s="217" t="s">
        <v>786</v>
      </c>
      <c r="F222" s="222"/>
      <c r="G222" s="83">
        <f>G223+G226+G235+G236+G241+G242+G245+G251</f>
        <v>397419294</v>
      </c>
      <c r="H222" s="83">
        <f>H223+H226+H235+H236+H241+H242+H245+H251</f>
        <v>584870176</v>
      </c>
      <c r="I222" s="83">
        <f t="shared" si="6"/>
        <v>982289470</v>
      </c>
      <c r="J222" s="144">
        <f>J223+J226+J235+J236+J241+J242+J245+J251</f>
        <v>0</v>
      </c>
      <c r="K222" s="139"/>
      <c r="N222" s="141"/>
    </row>
    <row r="223" spans="1:14" s="140" customFormat="1" ht="15.75" customHeight="1">
      <c r="A223" s="313" t="s">
        <v>787</v>
      </c>
      <c r="B223" s="313" t="s">
        <v>1068</v>
      </c>
      <c r="C223" s="314" t="s">
        <v>559</v>
      </c>
      <c r="D223" s="314"/>
      <c r="E223" s="285" t="s">
        <v>560</v>
      </c>
      <c r="F223" s="222"/>
      <c r="G223" s="83">
        <f>G224+G225</f>
        <v>362474</v>
      </c>
      <c r="H223" s="83">
        <f>H224</f>
        <v>425542</v>
      </c>
      <c r="I223" s="83">
        <f t="shared" si="6"/>
        <v>788016</v>
      </c>
      <c r="J223" s="144">
        <f>J224</f>
        <v>0</v>
      </c>
      <c r="K223" s="139"/>
      <c r="N223" s="141"/>
    </row>
    <row r="224" spans="1:14" s="104" customFormat="1" ht="48" customHeight="1">
      <c r="A224" s="265" t="s">
        <v>788</v>
      </c>
      <c r="B224" s="265" t="s">
        <v>471</v>
      </c>
      <c r="C224" s="268" t="s">
        <v>165</v>
      </c>
      <c r="D224" s="265" t="s">
        <v>436</v>
      </c>
      <c r="E224" s="353" t="s">
        <v>789</v>
      </c>
      <c r="F224" s="402" t="s">
        <v>1236</v>
      </c>
      <c r="G224" s="377"/>
      <c r="H224" s="372">
        <f>291890+133652</f>
        <v>425542</v>
      </c>
      <c r="I224" s="372">
        <f t="shared" si="6"/>
        <v>425542</v>
      </c>
      <c r="J224" s="250"/>
      <c r="K224" s="106"/>
      <c r="N224" s="158"/>
    </row>
    <row r="225" spans="1:14" s="104" customFormat="1" ht="31.5" customHeight="1">
      <c r="A225" s="265" t="s">
        <v>788</v>
      </c>
      <c r="B225" s="265" t="s">
        <v>471</v>
      </c>
      <c r="C225" s="268" t="s">
        <v>165</v>
      </c>
      <c r="D225" s="265" t="s">
        <v>436</v>
      </c>
      <c r="E225" s="353" t="s">
        <v>789</v>
      </c>
      <c r="F225" s="402" t="s">
        <v>1225</v>
      </c>
      <c r="G225" s="372">
        <v>362474</v>
      </c>
      <c r="H225" s="372"/>
      <c r="I225" s="372">
        <f t="shared" si="6"/>
        <v>362474</v>
      </c>
      <c r="J225" s="250"/>
      <c r="K225" s="106"/>
      <c r="N225" s="158"/>
    </row>
    <row r="226" spans="1:14" s="104" customFormat="1" ht="15.75" customHeight="1">
      <c r="A226" s="313" t="s">
        <v>790</v>
      </c>
      <c r="B226" s="313" t="s">
        <v>1154</v>
      </c>
      <c r="C226" s="313" t="s">
        <v>791</v>
      </c>
      <c r="D226" s="313"/>
      <c r="E226" s="285" t="s">
        <v>792</v>
      </c>
      <c r="F226" s="222"/>
      <c r="G226" s="387">
        <f>G227+G228+G229</f>
        <v>19474185</v>
      </c>
      <c r="H226" s="387">
        <f>H227+H228+H229</f>
        <v>495960098</v>
      </c>
      <c r="I226" s="387">
        <f t="shared" si="6"/>
        <v>515434283</v>
      </c>
      <c r="J226" s="250">
        <f>J227+J228+J229</f>
        <v>0</v>
      </c>
      <c r="K226" s="106"/>
      <c r="N226" s="158"/>
    </row>
    <row r="227" spans="1:15" s="104" customFormat="1" ht="47.25" customHeight="1">
      <c r="A227" s="265" t="s">
        <v>793</v>
      </c>
      <c r="B227" s="265" t="s">
        <v>1155</v>
      </c>
      <c r="C227" s="265" t="s">
        <v>216</v>
      </c>
      <c r="D227" s="265" t="s">
        <v>464</v>
      </c>
      <c r="E227" s="282" t="s">
        <v>794</v>
      </c>
      <c r="F227" s="402" t="s">
        <v>1236</v>
      </c>
      <c r="G227" s="75">
        <f>11559091+33000000+10000000-302861-25000000-10000000+198000</f>
        <v>19454230</v>
      </c>
      <c r="H227" s="75"/>
      <c r="I227" s="75">
        <f t="shared" si="6"/>
        <v>19454230</v>
      </c>
      <c r="J227" s="241"/>
      <c r="K227" s="106"/>
      <c r="N227" s="114"/>
      <c r="O227" s="115"/>
    </row>
    <row r="228" spans="1:15" s="104" customFormat="1" ht="47.25">
      <c r="A228" s="265" t="s">
        <v>793</v>
      </c>
      <c r="B228" s="265" t="s">
        <v>1155</v>
      </c>
      <c r="C228" s="265" t="s">
        <v>216</v>
      </c>
      <c r="D228" s="265" t="s">
        <v>464</v>
      </c>
      <c r="E228" s="282" t="s">
        <v>794</v>
      </c>
      <c r="F228" s="100" t="s">
        <v>1231</v>
      </c>
      <c r="G228" s="371">
        <v>19955</v>
      </c>
      <c r="H228" s="371"/>
      <c r="I228" s="371">
        <f t="shared" si="6"/>
        <v>19955</v>
      </c>
      <c r="J228" s="243"/>
      <c r="K228" s="106"/>
      <c r="N228" s="114"/>
      <c r="O228" s="115"/>
    </row>
    <row r="229" spans="1:15" s="104" customFormat="1" ht="15.75" customHeight="1">
      <c r="A229" s="313" t="s">
        <v>795</v>
      </c>
      <c r="B229" s="313" t="s">
        <v>1156</v>
      </c>
      <c r="C229" s="313"/>
      <c r="D229" s="313"/>
      <c r="E229" s="358" t="s">
        <v>796</v>
      </c>
      <c r="F229" s="220"/>
      <c r="G229" s="387">
        <f>G230+G231+G232+G233+G234</f>
        <v>0</v>
      </c>
      <c r="H229" s="387">
        <f>H230+H231+H232+H233+H234</f>
        <v>495960098</v>
      </c>
      <c r="I229" s="387">
        <f t="shared" si="6"/>
        <v>495960098</v>
      </c>
      <c r="J229" s="243">
        <f>J230+J231+J232+J233+J234</f>
        <v>0</v>
      </c>
      <c r="K229" s="106"/>
      <c r="N229" s="114"/>
      <c r="O229" s="115"/>
    </row>
    <row r="230" spans="1:14" s="104" customFormat="1" ht="47.25" customHeight="1">
      <c r="A230" s="265" t="s">
        <v>797</v>
      </c>
      <c r="B230" s="265" t="s">
        <v>1157</v>
      </c>
      <c r="C230" s="265" t="s">
        <v>114</v>
      </c>
      <c r="D230" s="265" t="s">
        <v>464</v>
      </c>
      <c r="E230" s="282" t="s">
        <v>798</v>
      </c>
      <c r="F230" s="402" t="s">
        <v>1236</v>
      </c>
      <c r="G230" s="75"/>
      <c r="H230" s="75">
        <f>445000000-33000000-15000000+25000000-8536457+(402963)-8000000</f>
        <v>405866506</v>
      </c>
      <c r="I230" s="75">
        <f t="shared" si="6"/>
        <v>405866506</v>
      </c>
      <c r="J230" s="241"/>
      <c r="K230" s="113"/>
      <c r="N230" s="158"/>
    </row>
    <row r="231" spans="1:14" s="104" customFormat="1" ht="63" customHeight="1" hidden="1">
      <c r="A231" s="265" t="s">
        <v>797</v>
      </c>
      <c r="B231" s="265" t="s">
        <v>1157</v>
      </c>
      <c r="C231" s="265" t="s">
        <v>114</v>
      </c>
      <c r="D231" s="265" t="s">
        <v>464</v>
      </c>
      <c r="E231" s="282" t="s">
        <v>798</v>
      </c>
      <c r="F231" s="292" t="s">
        <v>1186</v>
      </c>
      <c r="G231" s="75"/>
      <c r="H231" s="75"/>
      <c r="I231" s="75">
        <f t="shared" si="6"/>
        <v>0</v>
      </c>
      <c r="J231" s="241"/>
      <c r="K231" s="113"/>
      <c r="N231" s="158"/>
    </row>
    <row r="232" spans="1:14" s="104" customFormat="1" ht="31.5">
      <c r="A232" s="268" t="s">
        <v>797</v>
      </c>
      <c r="B232" s="268" t="s">
        <v>1157</v>
      </c>
      <c r="C232" s="268" t="s">
        <v>114</v>
      </c>
      <c r="D232" s="268" t="s">
        <v>464</v>
      </c>
      <c r="E232" s="281" t="s">
        <v>798</v>
      </c>
      <c r="F232" s="100" t="s">
        <v>1231</v>
      </c>
      <c r="G232" s="75"/>
      <c r="H232" s="75">
        <v>76280</v>
      </c>
      <c r="I232" s="75">
        <f t="shared" si="6"/>
        <v>76280</v>
      </c>
      <c r="J232" s="241"/>
      <c r="K232" s="106"/>
      <c r="N232" s="158"/>
    </row>
    <row r="233" spans="1:14" s="104" customFormat="1" ht="51.75" customHeight="1">
      <c r="A233" s="265" t="s">
        <v>799</v>
      </c>
      <c r="B233" s="265" t="s">
        <v>1158</v>
      </c>
      <c r="C233" s="265" t="s">
        <v>260</v>
      </c>
      <c r="D233" s="426" t="s">
        <v>464</v>
      </c>
      <c r="E233" s="282" t="s">
        <v>261</v>
      </c>
      <c r="F233" s="402" t="s">
        <v>1236</v>
      </c>
      <c r="G233" s="75"/>
      <c r="H233" s="75">
        <f>32000000+28000000+30000000</f>
        <v>90000000</v>
      </c>
      <c r="I233" s="75">
        <f t="shared" si="6"/>
        <v>90000000</v>
      </c>
      <c r="J233" s="241"/>
      <c r="K233" s="113"/>
      <c r="N233" s="158"/>
    </row>
    <row r="234" spans="1:14" s="104" customFormat="1" ht="51.75" customHeight="1">
      <c r="A234" s="265" t="s">
        <v>799</v>
      </c>
      <c r="B234" s="265" t="s">
        <v>1158</v>
      </c>
      <c r="C234" s="265" t="s">
        <v>260</v>
      </c>
      <c r="D234" s="426" t="s">
        <v>464</v>
      </c>
      <c r="E234" s="282" t="s">
        <v>261</v>
      </c>
      <c r="F234" s="100" t="s">
        <v>1231</v>
      </c>
      <c r="G234" s="75"/>
      <c r="H234" s="75">
        <v>17312</v>
      </c>
      <c r="I234" s="75">
        <f t="shared" si="6"/>
        <v>17312</v>
      </c>
      <c r="J234" s="241"/>
      <c r="K234" s="113"/>
      <c r="N234" s="158"/>
    </row>
    <row r="235" spans="1:15" s="104" customFormat="1" ht="48.75" customHeight="1">
      <c r="A235" s="268" t="s">
        <v>800</v>
      </c>
      <c r="B235" s="268" t="s">
        <v>1159</v>
      </c>
      <c r="C235" s="268" t="s">
        <v>516</v>
      </c>
      <c r="D235" s="268" t="s">
        <v>465</v>
      </c>
      <c r="E235" s="281" t="s">
        <v>517</v>
      </c>
      <c r="F235" s="292" t="s">
        <v>1185</v>
      </c>
      <c r="G235" s="75"/>
      <c r="H235" s="75">
        <f>8536457-3960250</f>
        <v>4576207</v>
      </c>
      <c r="I235" s="75">
        <f t="shared" si="6"/>
        <v>4576207</v>
      </c>
      <c r="J235" s="241"/>
      <c r="K235" s="113"/>
      <c r="N235" s="114"/>
      <c r="O235" s="115"/>
    </row>
    <row r="236" spans="1:15" s="104" customFormat="1" ht="15.75" customHeight="1">
      <c r="A236" s="313" t="s">
        <v>801</v>
      </c>
      <c r="B236" s="313" t="s">
        <v>1073</v>
      </c>
      <c r="C236" s="313" t="s">
        <v>572</v>
      </c>
      <c r="D236" s="358"/>
      <c r="E236" s="286" t="s">
        <v>694</v>
      </c>
      <c r="F236" s="224"/>
      <c r="G236" s="83">
        <f>G237+G238+G239</f>
        <v>0</v>
      </c>
      <c r="H236" s="83">
        <f>H237+H238+H239</f>
        <v>64252902</v>
      </c>
      <c r="I236" s="83">
        <f aca="true" t="shared" si="7" ref="I236:I316">G236+H236</f>
        <v>64252902</v>
      </c>
      <c r="J236" s="241">
        <f>J237+J238+J239</f>
        <v>0</v>
      </c>
      <c r="K236" s="113"/>
      <c r="N236" s="114"/>
      <c r="O236" s="115"/>
    </row>
    <row r="237" spans="1:14" s="104" customFormat="1" ht="51" customHeight="1">
      <c r="A237" s="265" t="s">
        <v>802</v>
      </c>
      <c r="B237" s="265" t="s">
        <v>1074</v>
      </c>
      <c r="C237" s="265" t="s">
        <v>84</v>
      </c>
      <c r="D237" s="434" t="s">
        <v>438</v>
      </c>
      <c r="E237" s="447" t="s">
        <v>575</v>
      </c>
      <c r="F237" s="402" t="s">
        <v>1236</v>
      </c>
      <c r="G237" s="310"/>
      <c r="H237" s="310">
        <f>60632283+3620619</f>
        <v>64252902</v>
      </c>
      <c r="I237" s="310">
        <f t="shared" si="7"/>
        <v>64252902</v>
      </c>
      <c r="J237" s="246"/>
      <c r="K237" s="113"/>
      <c r="N237" s="158"/>
    </row>
    <row r="238" spans="1:14" s="104" customFormat="1" ht="31.5" customHeight="1" hidden="1">
      <c r="A238" s="265" t="s">
        <v>802</v>
      </c>
      <c r="B238" s="265" t="s">
        <v>1074</v>
      </c>
      <c r="C238" s="265" t="s">
        <v>84</v>
      </c>
      <c r="D238" s="435"/>
      <c r="E238" s="448"/>
      <c r="F238" s="100" t="s">
        <v>1231</v>
      </c>
      <c r="G238" s="310"/>
      <c r="H238" s="310"/>
      <c r="I238" s="310">
        <f t="shared" si="7"/>
        <v>0</v>
      </c>
      <c r="J238" s="246"/>
      <c r="K238" s="106"/>
      <c r="N238" s="158"/>
    </row>
    <row r="239" spans="1:14" s="104" customFormat="1" ht="15.75" customHeight="1" hidden="1">
      <c r="A239" s="268" t="s">
        <v>803</v>
      </c>
      <c r="B239" s="268" t="s">
        <v>1160</v>
      </c>
      <c r="C239" s="268"/>
      <c r="D239" s="268"/>
      <c r="E239" s="281" t="s">
        <v>804</v>
      </c>
      <c r="F239" s="220"/>
      <c r="G239" s="310">
        <f>G240</f>
        <v>0</v>
      </c>
      <c r="H239" s="310">
        <f>H240</f>
        <v>0</v>
      </c>
      <c r="I239" s="310">
        <f t="shared" si="7"/>
        <v>0</v>
      </c>
      <c r="J239" s="246">
        <f>J240</f>
        <v>0</v>
      </c>
      <c r="K239" s="106"/>
      <c r="N239" s="158"/>
    </row>
    <row r="240" spans="1:14" s="104" customFormat="1" ht="55.5" customHeight="1" hidden="1">
      <c r="A240" s="268" t="s">
        <v>805</v>
      </c>
      <c r="B240" s="268" t="s">
        <v>1161</v>
      </c>
      <c r="C240" s="268" t="s">
        <v>39</v>
      </c>
      <c r="D240" s="268" t="s">
        <v>448</v>
      </c>
      <c r="E240" s="353" t="s">
        <v>806</v>
      </c>
      <c r="F240" s="292" t="s">
        <v>1185</v>
      </c>
      <c r="G240" s="310"/>
      <c r="H240" s="310"/>
      <c r="I240" s="310">
        <f t="shared" si="7"/>
        <v>0</v>
      </c>
      <c r="J240" s="246"/>
      <c r="K240" s="106"/>
      <c r="N240" s="158"/>
    </row>
    <row r="241" spans="1:14" s="104" customFormat="1" ht="55.5" customHeight="1" hidden="1">
      <c r="A241" s="313" t="s">
        <v>807</v>
      </c>
      <c r="B241" s="313" t="s">
        <v>1162</v>
      </c>
      <c r="C241" s="358" t="s">
        <v>99</v>
      </c>
      <c r="D241" s="358" t="s">
        <v>465</v>
      </c>
      <c r="E241" s="286" t="s">
        <v>808</v>
      </c>
      <c r="F241" s="402" t="s">
        <v>1236</v>
      </c>
      <c r="G241" s="83"/>
      <c r="H241" s="83">
        <f>1000000-1000000</f>
        <v>0</v>
      </c>
      <c r="I241" s="83">
        <f t="shared" si="7"/>
        <v>0</v>
      </c>
      <c r="J241" s="246"/>
      <c r="K241" s="106"/>
      <c r="N241" s="158"/>
    </row>
    <row r="242" spans="1:14" s="104" customFormat="1" ht="15.75" customHeight="1">
      <c r="A242" s="313" t="s">
        <v>809</v>
      </c>
      <c r="B242" s="313" t="s">
        <v>1076</v>
      </c>
      <c r="C242" s="313" t="s">
        <v>569</v>
      </c>
      <c r="D242" s="358"/>
      <c r="E242" s="286" t="s">
        <v>570</v>
      </c>
      <c r="F242" s="344"/>
      <c r="G242" s="83">
        <f>G243+G244</f>
        <v>0</v>
      </c>
      <c r="H242" s="83">
        <f>H243+H244</f>
        <v>19655427</v>
      </c>
      <c r="I242" s="83">
        <f t="shared" si="7"/>
        <v>19655427</v>
      </c>
      <c r="J242" s="241">
        <f>J243+J244</f>
        <v>0</v>
      </c>
      <c r="K242" s="106"/>
      <c r="N242" s="158"/>
    </row>
    <row r="243" spans="1:14" s="104" customFormat="1" ht="47.25" customHeight="1">
      <c r="A243" s="265" t="s">
        <v>810</v>
      </c>
      <c r="B243" s="265" t="s">
        <v>1077</v>
      </c>
      <c r="C243" s="265" t="s">
        <v>98</v>
      </c>
      <c r="D243" s="434" t="s">
        <v>438</v>
      </c>
      <c r="E243" s="447" t="s">
        <v>811</v>
      </c>
      <c r="F243" s="402" t="s">
        <v>1236</v>
      </c>
      <c r="G243" s="378"/>
      <c r="H243" s="378">
        <f>59800427-15015228-2376945-22752827</f>
        <v>19655427</v>
      </c>
      <c r="I243" s="378">
        <f t="shared" si="7"/>
        <v>19655427</v>
      </c>
      <c r="J243" s="114"/>
      <c r="K243" s="113"/>
      <c r="N243" s="158"/>
    </row>
    <row r="244" spans="1:14" s="104" customFormat="1" ht="54" customHeight="1" hidden="1">
      <c r="A244" s="265" t="s">
        <v>810</v>
      </c>
      <c r="B244" s="265" t="s">
        <v>1077</v>
      </c>
      <c r="C244" s="265" t="s">
        <v>98</v>
      </c>
      <c r="D244" s="435"/>
      <c r="E244" s="448"/>
      <c r="F244" s="100" t="s">
        <v>1231</v>
      </c>
      <c r="G244" s="371"/>
      <c r="H244" s="371"/>
      <c r="I244" s="371">
        <f t="shared" si="7"/>
        <v>0</v>
      </c>
      <c r="J244" s="243"/>
      <c r="K244" s="106"/>
      <c r="N244" s="158"/>
    </row>
    <row r="245" spans="1:14" s="104" customFormat="1" ht="15.75" customHeight="1">
      <c r="A245" s="313" t="s">
        <v>812</v>
      </c>
      <c r="B245" s="313" t="s">
        <v>1078</v>
      </c>
      <c r="C245" s="313" t="s">
        <v>584</v>
      </c>
      <c r="D245" s="358"/>
      <c r="E245" s="286" t="s">
        <v>585</v>
      </c>
      <c r="F245" s="344"/>
      <c r="G245" s="83">
        <f>G246</f>
        <v>377582635</v>
      </c>
      <c r="H245" s="83">
        <f>H246</f>
        <v>0</v>
      </c>
      <c r="I245" s="83">
        <f t="shared" si="7"/>
        <v>377582635</v>
      </c>
      <c r="J245" s="243">
        <f>J246</f>
        <v>0</v>
      </c>
      <c r="K245" s="106"/>
      <c r="N245" s="158"/>
    </row>
    <row r="246" spans="1:14" s="104" customFormat="1" ht="15.75" customHeight="1" hidden="1">
      <c r="A246" s="316" t="s">
        <v>813</v>
      </c>
      <c r="B246" s="316" t="s">
        <v>1079</v>
      </c>
      <c r="C246" s="316" t="s">
        <v>77</v>
      </c>
      <c r="D246" s="316"/>
      <c r="E246" s="356" t="s">
        <v>92</v>
      </c>
      <c r="F246" s="224"/>
      <c r="G246" s="75">
        <f>G247+G248+G249+G250</f>
        <v>377582635</v>
      </c>
      <c r="H246" s="75">
        <f>H247+H248+H249+H250</f>
        <v>0</v>
      </c>
      <c r="I246" s="75">
        <f t="shared" si="7"/>
        <v>377582635</v>
      </c>
      <c r="J246" s="241">
        <f>J247+J248+J249+J250</f>
        <v>0</v>
      </c>
      <c r="K246" s="113"/>
      <c r="N246" s="158"/>
    </row>
    <row r="247" spans="1:15" s="104" customFormat="1" ht="48.75" customHeight="1">
      <c r="A247" s="316" t="s">
        <v>813</v>
      </c>
      <c r="B247" s="316" t="s">
        <v>1079</v>
      </c>
      <c r="C247" s="101" t="s">
        <v>77</v>
      </c>
      <c r="D247" s="101" t="s">
        <v>439</v>
      </c>
      <c r="E247" s="388" t="s">
        <v>92</v>
      </c>
      <c r="F247" s="410" t="s">
        <v>1236</v>
      </c>
      <c r="G247" s="75">
        <f>400000000-30000000-22400000</f>
        <v>347600000</v>
      </c>
      <c r="H247" s="75"/>
      <c r="I247" s="75">
        <f t="shared" si="7"/>
        <v>347600000</v>
      </c>
      <c r="J247" s="241"/>
      <c r="K247" s="113"/>
      <c r="N247" s="114"/>
      <c r="O247" s="115"/>
    </row>
    <row r="248" spans="1:14" s="104" customFormat="1" ht="48.75" customHeight="1">
      <c r="A248" s="316" t="s">
        <v>813</v>
      </c>
      <c r="B248" s="316" t="s">
        <v>1079</v>
      </c>
      <c r="C248" s="101" t="s">
        <v>77</v>
      </c>
      <c r="D248" s="101" t="s">
        <v>439</v>
      </c>
      <c r="E248" s="388" t="s">
        <v>92</v>
      </c>
      <c r="F248" s="410" t="s">
        <v>1249</v>
      </c>
      <c r="G248" s="75">
        <v>29607232</v>
      </c>
      <c r="H248" s="75"/>
      <c r="I248" s="75">
        <f t="shared" si="7"/>
        <v>29607232</v>
      </c>
      <c r="J248" s="241"/>
      <c r="K248" s="106"/>
      <c r="N248" s="158"/>
    </row>
    <row r="249" spans="1:14" s="104" customFormat="1" ht="112.5" customHeight="1">
      <c r="A249" s="316" t="s">
        <v>813</v>
      </c>
      <c r="B249" s="316" t="s">
        <v>1079</v>
      </c>
      <c r="C249" s="268" t="s">
        <v>77</v>
      </c>
      <c r="D249" s="25" t="s">
        <v>439</v>
      </c>
      <c r="E249" s="388" t="s">
        <v>92</v>
      </c>
      <c r="F249" s="410" t="s">
        <v>1237</v>
      </c>
      <c r="G249" s="75">
        <v>375403</v>
      </c>
      <c r="H249" s="75"/>
      <c r="I249" s="75">
        <f t="shared" si="7"/>
        <v>375403</v>
      </c>
      <c r="J249" s="241"/>
      <c r="K249" s="106"/>
      <c r="N249" s="158"/>
    </row>
    <row r="250" spans="1:14" s="104" customFormat="1" ht="47.25" customHeight="1" hidden="1">
      <c r="A250" s="268" t="s">
        <v>814</v>
      </c>
      <c r="B250" s="268" t="s">
        <v>1081</v>
      </c>
      <c r="C250" s="268" t="s">
        <v>77</v>
      </c>
      <c r="D250" s="343"/>
      <c r="E250" s="348"/>
      <c r="F250" s="100" t="s">
        <v>1231</v>
      </c>
      <c r="G250" s="84"/>
      <c r="H250" s="84"/>
      <c r="I250" s="84">
        <f t="shared" si="7"/>
        <v>0</v>
      </c>
      <c r="J250" s="254"/>
      <c r="K250" s="106"/>
      <c r="N250" s="158"/>
    </row>
    <row r="251" spans="1:14" s="104" customFormat="1" ht="15.75" customHeight="1" hidden="1">
      <c r="A251" s="313" t="s">
        <v>815</v>
      </c>
      <c r="B251" s="313" t="s">
        <v>1084</v>
      </c>
      <c r="C251" s="313" t="s">
        <v>578</v>
      </c>
      <c r="D251" s="313"/>
      <c r="E251" s="357" t="s">
        <v>579</v>
      </c>
      <c r="F251" s="100"/>
      <c r="G251" s="84">
        <f>G252</f>
        <v>0</v>
      </c>
      <c r="H251" s="84">
        <f>H252</f>
        <v>0</v>
      </c>
      <c r="I251" s="84">
        <f t="shared" si="7"/>
        <v>0</v>
      </c>
      <c r="J251" s="254">
        <f>J252</f>
        <v>0</v>
      </c>
      <c r="K251" s="106"/>
      <c r="N251" s="158"/>
    </row>
    <row r="252" spans="1:14" s="104" customFormat="1" ht="47.25" customHeight="1" hidden="1">
      <c r="A252" s="268" t="s">
        <v>816</v>
      </c>
      <c r="B252" s="268" t="s">
        <v>1101</v>
      </c>
      <c r="C252" s="268" t="s">
        <v>29</v>
      </c>
      <c r="D252" s="268" t="s">
        <v>447</v>
      </c>
      <c r="E252" s="281" t="s">
        <v>106</v>
      </c>
      <c r="F252" s="404" t="s">
        <v>1227</v>
      </c>
      <c r="G252" s="84"/>
      <c r="H252" s="84"/>
      <c r="I252" s="84">
        <f t="shared" si="7"/>
        <v>0</v>
      </c>
      <c r="J252" s="254"/>
      <c r="K252" s="106"/>
      <c r="N252" s="158"/>
    </row>
    <row r="253" spans="1:14" s="104" customFormat="1" ht="47.25" customHeight="1">
      <c r="A253" s="236"/>
      <c r="B253" s="99">
        <v>41</v>
      </c>
      <c r="C253" s="98" t="s">
        <v>223</v>
      </c>
      <c r="D253" s="98"/>
      <c r="E253" s="99" t="s">
        <v>526</v>
      </c>
      <c r="F253" s="100"/>
      <c r="G253" s="83">
        <f>G254</f>
        <v>386266617</v>
      </c>
      <c r="H253" s="83">
        <f>H254</f>
        <v>306584984</v>
      </c>
      <c r="I253" s="83">
        <f t="shared" si="7"/>
        <v>692851601</v>
      </c>
      <c r="J253" s="144">
        <f>J254</f>
        <v>0</v>
      </c>
      <c r="K253" s="106"/>
      <c r="N253" s="158"/>
    </row>
    <row r="254" spans="1:14" s="104" customFormat="1" ht="33" customHeight="1">
      <c r="A254" s="25" t="s">
        <v>817</v>
      </c>
      <c r="B254" s="25"/>
      <c r="C254" s="25"/>
      <c r="D254" s="25"/>
      <c r="E254" s="217" t="s">
        <v>818</v>
      </c>
      <c r="F254" s="220"/>
      <c r="G254" s="83">
        <f>G255+G258+G263+G267+G270+G272+G274+G278</f>
        <v>386266617</v>
      </c>
      <c r="H254" s="83">
        <f>H255+H258+H263+H267+H270+H272+H274+H278</f>
        <v>306584984</v>
      </c>
      <c r="I254" s="83">
        <f t="shared" si="7"/>
        <v>692851601</v>
      </c>
      <c r="J254" s="144">
        <f>J255+J258+J263+J267+J270+J272+J274+J278</f>
        <v>0</v>
      </c>
      <c r="K254" s="106"/>
      <c r="N254" s="158"/>
    </row>
    <row r="255" spans="1:14" s="104" customFormat="1" ht="15.75" customHeight="1">
      <c r="A255" s="313" t="s">
        <v>819</v>
      </c>
      <c r="B255" s="313" t="s">
        <v>1068</v>
      </c>
      <c r="C255" s="314" t="s">
        <v>559</v>
      </c>
      <c r="D255" s="314"/>
      <c r="E255" s="285" t="s">
        <v>560</v>
      </c>
      <c r="F255" s="220"/>
      <c r="G255" s="83">
        <f>G256+G257</f>
        <v>1094306</v>
      </c>
      <c r="H255" s="83">
        <f>H256</f>
        <v>350000</v>
      </c>
      <c r="I255" s="83">
        <f t="shared" si="7"/>
        <v>1444306</v>
      </c>
      <c r="J255" s="144">
        <f>J256</f>
        <v>0</v>
      </c>
      <c r="K255" s="106"/>
      <c r="N255" s="158"/>
    </row>
    <row r="256" spans="1:14" s="104" customFormat="1" ht="47.25" customHeight="1">
      <c r="A256" s="268" t="s">
        <v>820</v>
      </c>
      <c r="B256" s="268" t="s">
        <v>471</v>
      </c>
      <c r="C256" s="268" t="s">
        <v>165</v>
      </c>
      <c r="D256" s="268" t="s">
        <v>436</v>
      </c>
      <c r="E256" s="353" t="s">
        <v>821</v>
      </c>
      <c r="F256" s="407" t="s">
        <v>1238</v>
      </c>
      <c r="G256" s="84"/>
      <c r="H256" s="388">
        <v>350000</v>
      </c>
      <c r="I256" s="388">
        <f t="shared" si="7"/>
        <v>350000</v>
      </c>
      <c r="J256" s="254"/>
      <c r="K256" s="106"/>
      <c r="N256" s="158"/>
    </row>
    <row r="257" spans="1:14" s="104" customFormat="1" ht="31.5">
      <c r="A257" s="268" t="s">
        <v>820</v>
      </c>
      <c r="B257" s="268" t="s">
        <v>471</v>
      </c>
      <c r="C257" s="268" t="s">
        <v>165</v>
      </c>
      <c r="D257" s="268" t="s">
        <v>436</v>
      </c>
      <c r="E257" s="353" t="s">
        <v>821</v>
      </c>
      <c r="F257" s="402" t="s">
        <v>1225</v>
      </c>
      <c r="G257" s="388">
        <v>1094306</v>
      </c>
      <c r="H257" s="388"/>
      <c r="I257" s="388">
        <f t="shared" si="7"/>
        <v>1094306</v>
      </c>
      <c r="J257" s="254"/>
      <c r="K257" s="106"/>
      <c r="N257" s="158"/>
    </row>
    <row r="258" spans="1:14" s="104" customFormat="1" ht="15.75" customHeight="1">
      <c r="A258" s="313" t="s">
        <v>822</v>
      </c>
      <c r="B258" s="313" t="s">
        <v>1095</v>
      </c>
      <c r="C258" s="313" t="s">
        <v>616</v>
      </c>
      <c r="D258" s="313"/>
      <c r="E258" s="286" t="s">
        <v>617</v>
      </c>
      <c r="F258" s="226"/>
      <c r="G258" s="389">
        <f>G259+G260</f>
        <v>295000</v>
      </c>
      <c r="H258" s="389">
        <f>H259+H260</f>
        <v>0</v>
      </c>
      <c r="I258" s="389">
        <f t="shared" si="7"/>
        <v>295000</v>
      </c>
      <c r="J258" s="254">
        <f>J259+J260</f>
        <v>0</v>
      </c>
      <c r="K258" s="106"/>
      <c r="N258" s="158"/>
    </row>
    <row r="259" spans="1:14" s="104" customFormat="1" ht="15.75" customHeight="1" hidden="1">
      <c r="A259" s="268" t="s">
        <v>823</v>
      </c>
      <c r="B259" s="268" t="s">
        <v>1097</v>
      </c>
      <c r="C259" s="268" t="s">
        <v>495</v>
      </c>
      <c r="D259" s="268" t="s">
        <v>496</v>
      </c>
      <c r="E259" s="281" t="s">
        <v>497</v>
      </c>
      <c r="F259" s="226"/>
      <c r="G259" s="388"/>
      <c r="H259" s="388"/>
      <c r="I259" s="388">
        <f t="shared" si="7"/>
        <v>0</v>
      </c>
      <c r="J259" s="254"/>
      <c r="K259" s="106"/>
      <c r="N259" s="158"/>
    </row>
    <row r="260" spans="1:14" s="104" customFormat="1" ht="15.75" customHeight="1" hidden="1">
      <c r="A260" s="316" t="s">
        <v>824</v>
      </c>
      <c r="B260" s="316" t="s">
        <v>1139</v>
      </c>
      <c r="C260" s="316" t="s">
        <v>86</v>
      </c>
      <c r="D260" s="316"/>
      <c r="E260" s="360" t="s">
        <v>93</v>
      </c>
      <c r="F260" s="226"/>
      <c r="G260" s="372">
        <f>G261+G262</f>
        <v>295000</v>
      </c>
      <c r="H260" s="372">
        <f>H261+H262</f>
        <v>0</v>
      </c>
      <c r="I260" s="372">
        <f t="shared" si="7"/>
        <v>295000</v>
      </c>
      <c r="J260" s="255">
        <f>J261+J262</f>
        <v>0</v>
      </c>
      <c r="K260" s="106"/>
      <c r="N260" s="158"/>
    </row>
    <row r="261" spans="1:14" s="104" customFormat="1" ht="25.5" customHeight="1" hidden="1">
      <c r="A261" s="316" t="s">
        <v>824</v>
      </c>
      <c r="B261" s="316" t="s">
        <v>1139</v>
      </c>
      <c r="C261" s="268" t="s">
        <v>86</v>
      </c>
      <c r="D261" s="268"/>
      <c r="E261" s="360" t="s">
        <v>93</v>
      </c>
      <c r="F261" s="226"/>
      <c r="G261" s="84"/>
      <c r="H261" s="84"/>
      <c r="I261" s="84">
        <f t="shared" si="7"/>
        <v>0</v>
      </c>
      <c r="J261" s="254"/>
      <c r="K261" s="106"/>
      <c r="N261" s="158"/>
    </row>
    <row r="262" spans="1:14" s="104" customFormat="1" ht="47.25" customHeight="1">
      <c r="A262" s="316" t="s">
        <v>824</v>
      </c>
      <c r="B262" s="316" t="s">
        <v>1139</v>
      </c>
      <c r="C262" s="268" t="s">
        <v>86</v>
      </c>
      <c r="D262" s="268" t="s">
        <v>457</v>
      </c>
      <c r="E262" s="360" t="s">
        <v>93</v>
      </c>
      <c r="F262" s="407" t="s">
        <v>1238</v>
      </c>
      <c r="G262" s="75">
        <v>295000</v>
      </c>
      <c r="H262" s="75"/>
      <c r="I262" s="75">
        <f t="shared" si="7"/>
        <v>295000</v>
      </c>
      <c r="J262" s="241"/>
      <c r="K262" s="106"/>
      <c r="N262" s="158"/>
    </row>
    <row r="263" spans="1:14" s="104" customFormat="1" ht="15.75" customHeight="1">
      <c r="A263" s="313" t="s">
        <v>825</v>
      </c>
      <c r="B263" s="313" t="s">
        <v>1154</v>
      </c>
      <c r="C263" s="313" t="s">
        <v>791</v>
      </c>
      <c r="D263" s="313"/>
      <c r="E263" s="285" t="s">
        <v>792</v>
      </c>
      <c r="F263" s="226"/>
      <c r="G263" s="83">
        <f>G264+G265+G266</f>
        <v>116386127</v>
      </c>
      <c r="H263" s="83">
        <f>H264+H265+H266</f>
        <v>6440729</v>
      </c>
      <c r="I263" s="83">
        <f t="shared" si="7"/>
        <v>122826856</v>
      </c>
      <c r="J263" s="241">
        <f>J264+J265+J266</f>
        <v>0</v>
      </c>
      <c r="K263" s="106"/>
      <c r="N263" s="158"/>
    </row>
    <row r="264" spans="1:14" s="104" customFormat="1" ht="47.25" customHeight="1">
      <c r="A264" s="400" t="s">
        <v>826</v>
      </c>
      <c r="B264" s="265" t="s">
        <v>1163</v>
      </c>
      <c r="C264" s="265" t="s">
        <v>94</v>
      </c>
      <c r="D264" s="434" t="s">
        <v>465</v>
      </c>
      <c r="E264" s="333" t="s">
        <v>95</v>
      </c>
      <c r="F264" s="407" t="s">
        <v>1238</v>
      </c>
      <c r="G264" s="372">
        <v>115449432</v>
      </c>
      <c r="H264" s="372">
        <f>6160729+(280000)</f>
        <v>6440729</v>
      </c>
      <c r="I264" s="372">
        <f t="shared" si="7"/>
        <v>121890161</v>
      </c>
      <c r="J264" s="256"/>
      <c r="K264" s="106"/>
      <c r="N264" s="158"/>
    </row>
    <row r="265" spans="1:14" s="104" customFormat="1" ht="47.25" customHeight="1" hidden="1">
      <c r="A265" s="400" t="s">
        <v>826</v>
      </c>
      <c r="B265" s="265" t="s">
        <v>1163</v>
      </c>
      <c r="C265" s="265" t="s">
        <v>94</v>
      </c>
      <c r="D265" s="435" t="s">
        <v>465</v>
      </c>
      <c r="E265" s="333" t="s">
        <v>95</v>
      </c>
      <c r="F265" s="100" t="s">
        <v>1231</v>
      </c>
      <c r="G265" s="371"/>
      <c r="H265" s="371"/>
      <c r="I265" s="371">
        <f t="shared" si="7"/>
        <v>0</v>
      </c>
      <c r="J265" s="243"/>
      <c r="K265" s="106"/>
      <c r="N265" s="158"/>
    </row>
    <row r="266" spans="1:14" s="104" customFormat="1" ht="47.25" customHeight="1">
      <c r="A266" s="400" t="s">
        <v>826</v>
      </c>
      <c r="B266" s="397" t="s">
        <v>1163</v>
      </c>
      <c r="C266" s="397" t="s">
        <v>94</v>
      </c>
      <c r="D266" s="397" t="s">
        <v>465</v>
      </c>
      <c r="E266" s="333" t="s">
        <v>95</v>
      </c>
      <c r="F266" s="85" t="s">
        <v>1234</v>
      </c>
      <c r="G266" s="75">
        <v>936695</v>
      </c>
      <c r="H266" s="75"/>
      <c r="I266" s="75">
        <f t="shared" si="7"/>
        <v>936695</v>
      </c>
      <c r="J266" s="241"/>
      <c r="K266" s="106"/>
      <c r="N266" s="158"/>
    </row>
    <row r="267" spans="1:14" s="104" customFormat="1" ht="15.75">
      <c r="A267" s="313" t="s">
        <v>827</v>
      </c>
      <c r="B267" s="313" t="s">
        <v>1073</v>
      </c>
      <c r="C267" s="313" t="s">
        <v>572</v>
      </c>
      <c r="D267" s="313"/>
      <c r="E267" s="286" t="s">
        <v>694</v>
      </c>
      <c r="F267" s="223"/>
      <c r="G267" s="83">
        <f>G268+G269</f>
        <v>0</v>
      </c>
      <c r="H267" s="83">
        <f>H268+H269</f>
        <v>104339574</v>
      </c>
      <c r="I267" s="83">
        <f t="shared" si="7"/>
        <v>104339574</v>
      </c>
      <c r="J267" s="241">
        <f>J268+J269</f>
        <v>0</v>
      </c>
      <c r="K267" s="106"/>
      <c r="N267" s="158"/>
    </row>
    <row r="268" spans="1:14" s="104" customFormat="1" ht="47.25" customHeight="1">
      <c r="A268" s="265" t="s">
        <v>828</v>
      </c>
      <c r="B268" s="265" t="s">
        <v>1074</v>
      </c>
      <c r="C268" s="265" t="s">
        <v>84</v>
      </c>
      <c r="D268" s="434" t="s">
        <v>438</v>
      </c>
      <c r="E268" s="282" t="s">
        <v>575</v>
      </c>
      <c r="F268" s="407" t="s">
        <v>1238</v>
      </c>
      <c r="G268" s="388"/>
      <c r="H268" s="388">
        <f>104962905-1532293+(877500)+31462</f>
        <v>104339574</v>
      </c>
      <c r="I268" s="388">
        <f t="shared" si="7"/>
        <v>104339574</v>
      </c>
      <c r="J268" s="254"/>
      <c r="K268" s="106"/>
      <c r="N268" s="158"/>
    </row>
    <row r="269" spans="1:14" s="104" customFormat="1" ht="47.25" customHeight="1" hidden="1">
      <c r="A269" s="265" t="s">
        <v>828</v>
      </c>
      <c r="B269" s="265" t="s">
        <v>1074</v>
      </c>
      <c r="C269" s="265" t="s">
        <v>84</v>
      </c>
      <c r="D269" s="435"/>
      <c r="E269" s="282" t="s">
        <v>575</v>
      </c>
      <c r="F269" s="100" t="s">
        <v>1231</v>
      </c>
      <c r="G269" s="84"/>
      <c r="H269" s="84"/>
      <c r="I269" s="84">
        <f t="shared" si="7"/>
        <v>0</v>
      </c>
      <c r="J269" s="254"/>
      <c r="K269" s="106"/>
      <c r="N269" s="158"/>
    </row>
    <row r="270" spans="1:14" s="104" customFormat="1" ht="47.25" customHeight="1">
      <c r="A270" s="313" t="s">
        <v>829</v>
      </c>
      <c r="B270" s="313" t="s">
        <v>1164</v>
      </c>
      <c r="C270" s="313" t="s">
        <v>830</v>
      </c>
      <c r="D270" s="313"/>
      <c r="E270" s="286" t="s">
        <v>831</v>
      </c>
      <c r="F270" s="220"/>
      <c r="G270" s="389">
        <f>G271</f>
        <v>267571468</v>
      </c>
      <c r="H270" s="389">
        <f>H271</f>
        <v>181854681</v>
      </c>
      <c r="I270" s="389">
        <f t="shared" si="7"/>
        <v>449426149</v>
      </c>
      <c r="J270" s="254">
        <f>J271</f>
        <v>0</v>
      </c>
      <c r="K270" s="106"/>
      <c r="N270" s="158"/>
    </row>
    <row r="271" spans="1:14" s="104" customFormat="1" ht="47.25" customHeight="1">
      <c r="A271" s="268" t="s">
        <v>1029</v>
      </c>
      <c r="B271" s="268" t="s">
        <v>1165</v>
      </c>
      <c r="C271" s="268">
        <v>170703</v>
      </c>
      <c r="D271" s="203" t="s">
        <v>466</v>
      </c>
      <c r="E271" s="281" t="s">
        <v>1034</v>
      </c>
      <c r="F271" s="407" t="s">
        <v>1238</v>
      </c>
      <c r="G271" s="310">
        <f>274027093-5683925-771700</f>
        <v>267571468</v>
      </c>
      <c r="H271" s="310">
        <f>192147458+987450-508360-66674-8073731-2600000-31462</f>
        <v>181854681</v>
      </c>
      <c r="I271" s="310">
        <f t="shared" si="7"/>
        <v>449426149</v>
      </c>
      <c r="J271" s="246"/>
      <c r="K271" s="106"/>
      <c r="N271" s="158"/>
    </row>
    <row r="272" spans="1:14" s="104" customFormat="1" ht="15.75" customHeight="1">
      <c r="A272" s="313" t="s">
        <v>832</v>
      </c>
      <c r="B272" s="313" t="s">
        <v>1076</v>
      </c>
      <c r="C272" s="313" t="s">
        <v>569</v>
      </c>
      <c r="D272" s="313"/>
      <c r="E272" s="286" t="s">
        <v>570</v>
      </c>
      <c r="F272" s="226"/>
      <c r="G272" s="390">
        <f>G273</f>
        <v>0</v>
      </c>
      <c r="H272" s="390">
        <f>H273</f>
        <v>12600000</v>
      </c>
      <c r="I272" s="390">
        <f t="shared" si="7"/>
        <v>12600000</v>
      </c>
      <c r="J272" s="241">
        <f>J273</f>
        <v>0</v>
      </c>
      <c r="K272" s="106"/>
      <c r="N272" s="158"/>
    </row>
    <row r="273" spans="1:14" s="104" customFormat="1" ht="47.25" customHeight="1">
      <c r="A273" s="268" t="s">
        <v>1030</v>
      </c>
      <c r="B273" s="268" t="s">
        <v>1077</v>
      </c>
      <c r="C273" s="268" t="s">
        <v>98</v>
      </c>
      <c r="D273" s="342" t="s">
        <v>438</v>
      </c>
      <c r="E273" s="159" t="s">
        <v>224</v>
      </c>
      <c r="F273" s="407" t="s">
        <v>1238</v>
      </c>
      <c r="G273" s="378"/>
      <c r="H273" s="378">
        <f>10000000+2600000</f>
        <v>12600000</v>
      </c>
      <c r="I273" s="378">
        <f t="shared" si="7"/>
        <v>12600000</v>
      </c>
      <c r="J273" s="114"/>
      <c r="K273" s="106"/>
      <c r="N273" s="158"/>
    </row>
    <row r="274" spans="1:14" s="104" customFormat="1" ht="15.75">
      <c r="A274" s="313" t="s">
        <v>833</v>
      </c>
      <c r="B274" s="313" t="s">
        <v>1078</v>
      </c>
      <c r="C274" s="313" t="s">
        <v>584</v>
      </c>
      <c r="D274" s="313"/>
      <c r="E274" s="286" t="s">
        <v>585</v>
      </c>
      <c r="F274" s="226"/>
      <c r="G274" s="391">
        <f>G275</f>
        <v>919716</v>
      </c>
      <c r="H274" s="391">
        <f>H275</f>
        <v>0</v>
      </c>
      <c r="I274" s="391">
        <f t="shared" si="7"/>
        <v>919716</v>
      </c>
      <c r="J274" s="114">
        <f>J275</f>
        <v>0</v>
      </c>
      <c r="K274" s="106"/>
      <c r="N274" s="158"/>
    </row>
    <row r="275" spans="1:14" s="104" customFormat="1" ht="15.75" hidden="1">
      <c r="A275" s="316" t="s">
        <v>834</v>
      </c>
      <c r="B275" s="316" t="s">
        <v>1079</v>
      </c>
      <c r="C275" s="316" t="s">
        <v>77</v>
      </c>
      <c r="D275" s="316"/>
      <c r="E275" s="356" t="s">
        <v>92</v>
      </c>
      <c r="F275" s="226"/>
      <c r="G275" s="378">
        <f>G276+G277</f>
        <v>919716</v>
      </c>
      <c r="H275" s="378">
        <f>H276+H277</f>
        <v>0</v>
      </c>
      <c r="I275" s="378">
        <f t="shared" si="7"/>
        <v>919716</v>
      </c>
      <c r="J275" s="114">
        <f>J276+J277</f>
        <v>0</v>
      </c>
      <c r="K275" s="106"/>
      <c r="N275" s="158"/>
    </row>
    <row r="276" spans="1:14" s="104" customFormat="1" ht="47.25" customHeight="1">
      <c r="A276" s="316" t="s">
        <v>834</v>
      </c>
      <c r="B276" s="268" t="s">
        <v>1079</v>
      </c>
      <c r="C276" s="268" t="s">
        <v>77</v>
      </c>
      <c r="D276" s="268" t="s">
        <v>439</v>
      </c>
      <c r="E276" s="356" t="s">
        <v>92</v>
      </c>
      <c r="F276" s="407" t="s">
        <v>1238</v>
      </c>
      <c r="G276" s="378">
        <f>534916+384800</f>
        <v>919716</v>
      </c>
      <c r="H276" s="378"/>
      <c r="I276" s="378">
        <f t="shared" si="7"/>
        <v>919716</v>
      </c>
      <c r="J276" s="114"/>
      <c r="K276" s="106"/>
      <c r="N276" s="158"/>
    </row>
    <row r="277" spans="1:14" s="104" customFormat="1" ht="47.25" customHeight="1" hidden="1">
      <c r="A277" s="268" t="s">
        <v>835</v>
      </c>
      <c r="B277" s="268" t="s">
        <v>1166</v>
      </c>
      <c r="C277" s="268" t="s">
        <v>77</v>
      </c>
      <c r="D277" s="268" t="s">
        <v>439</v>
      </c>
      <c r="E277" s="353" t="s">
        <v>1187</v>
      </c>
      <c r="F277" s="407" t="s">
        <v>1238</v>
      </c>
      <c r="G277" s="378"/>
      <c r="H277" s="378"/>
      <c r="I277" s="378">
        <f t="shared" si="7"/>
        <v>0</v>
      </c>
      <c r="J277" s="114"/>
      <c r="K277" s="106"/>
      <c r="N277" s="158"/>
    </row>
    <row r="278" spans="1:14" s="104" customFormat="1" ht="15.75" customHeight="1">
      <c r="A278" s="313" t="s">
        <v>836</v>
      </c>
      <c r="B278" s="313" t="s">
        <v>1084</v>
      </c>
      <c r="C278" s="313" t="s">
        <v>578</v>
      </c>
      <c r="D278" s="313"/>
      <c r="E278" s="286" t="s">
        <v>579</v>
      </c>
      <c r="F278" s="226"/>
      <c r="G278" s="390">
        <f>G279</f>
        <v>0</v>
      </c>
      <c r="H278" s="390">
        <f>H279</f>
        <v>1000000</v>
      </c>
      <c r="I278" s="390">
        <f t="shared" si="7"/>
        <v>1000000</v>
      </c>
      <c r="J278" s="114">
        <f>J279</f>
        <v>0</v>
      </c>
      <c r="K278" s="106"/>
      <c r="N278" s="158"/>
    </row>
    <row r="279" spans="1:14" s="104" customFormat="1" ht="56.25" customHeight="1">
      <c r="A279" s="268" t="s">
        <v>837</v>
      </c>
      <c r="B279" s="268" t="s">
        <v>1101</v>
      </c>
      <c r="C279" s="268" t="s">
        <v>29</v>
      </c>
      <c r="D279" s="268" t="s">
        <v>447</v>
      </c>
      <c r="E279" s="281" t="s">
        <v>106</v>
      </c>
      <c r="F279" s="404" t="s">
        <v>1227</v>
      </c>
      <c r="G279" s="310"/>
      <c r="H279" s="310">
        <v>1000000</v>
      </c>
      <c r="I279" s="310">
        <f t="shared" si="7"/>
        <v>1000000</v>
      </c>
      <c r="J279" s="246"/>
      <c r="K279" s="106"/>
      <c r="N279" s="158"/>
    </row>
    <row r="280" spans="1:14" s="104" customFormat="1" ht="31.5" customHeight="1" hidden="1">
      <c r="A280" s="98"/>
      <c r="B280" s="98" t="s">
        <v>146</v>
      </c>
      <c r="C280" s="98" t="s">
        <v>146</v>
      </c>
      <c r="D280" s="98"/>
      <c r="E280" s="99" t="s">
        <v>53</v>
      </c>
      <c r="F280" s="166"/>
      <c r="G280" s="83">
        <f>G281</f>
        <v>0</v>
      </c>
      <c r="H280" s="83">
        <f>H281</f>
        <v>0</v>
      </c>
      <c r="I280" s="83">
        <f t="shared" si="7"/>
        <v>0</v>
      </c>
      <c r="J280" s="144">
        <f>J281</f>
        <v>0</v>
      </c>
      <c r="K280" s="113"/>
      <c r="N280" s="158"/>
    </row>
    <row r="281" spans="1:14" s="104" customFormat="1" ht="25.5" customHeight="1" hidden="1">
      <c r="A281" s="25" t="s">
        <v>838</v>
      </c>
      <c r="B281" s="25"/>
      <c r="C281" s="25"/>
      <c r="D281" s="25"/>
      <c r="E281" s="354" t="s">
        <v>53</v>
      </c>
      <c r="F281" s="207"/>
      <c r="G281" s="83">
        <f>G282+G284</f>
        <v>0</v>
      </c>
      <c r="H281" s="83">
        <f>H282+H284</f>
        <v>0</v>
      </c>
      <c r="I281" s="83">
        <f t="shared" si="7"/>
        <v>0</v>
      </c>
      <c r="J281" s="144">
        <f>J282+J284</f>
        <v>0</v>
      </c>
      <c r="K281" s="113"/>
      <c r="N281" s="158"/>
    </row>
    <row r="282" spans="1:14" s="104" customFormat="1" ht="15.75" customHeight="1" hidden="1">
      <c r="A282" s="313" t="s">
        <v>839</v>
      </c>
      <c r="B282" s="313" t="s">
        <v>1068</v>
      </c>
      <c r="C282" s="314" t="s">
        <v>559</v>
      </c>
      <c r="D282" s="314"/>
      <c r="E282" s="359" t="s">
        <v>560</v>
      </c>
      <c r="F282" s="208"/>
      <c r="G282" s="83">
        <f>G283</f>
        <v>0</v>
      </c>
      <c r="H282" s="83">
        <f>H283</f>
        <v>0</v>
      </c>
      <c r="I282" s="83">
        <f t="shared" si="7"/>
        <v>0</v>
      </c>
      <c r="J282" s="144">
        <f>J283</f>
        <v>0</v>
      </c>
      <c r="K282" s="113"/>
      <c r="N282" s="158"/>
    </row>
    <row r="283" spans="1:14" s="104" customFormat="1" ht="25.5" customHeight="1" hidden="1">
      <c r="A283" s="268" t="s">
        <v>840</v>
      </c>
      <c r="B283" s="268" t="s">
        <v>471</v>
      </c>
      <c r="C283" s="268" t="s">
        <v>165</v>
      </c>
      <c r="D283" s="268" t="s">
        <v>436</v>
      </c>
      <c r="E283" s="353" t="s">
        <v>841</v>
      </c>
      <c r="F283" s="209"/>
      <c r="G283" s="75"/>
      <c r="H283" s="75"/>
      <c r="I283" s="75">
        <f t="shared" si="7"/>
        <v>0</v>
      </c>
      <c r="J283" s="241"/>
      <c r="K283" s="113"/>
      <c r="N283" s="158"/>
    </row>
    <row r="284" spans="1:14" s="104" customFormat="1" ht="15.75" customHeight="1" hidden="1">
      <c r="A284" s="313" t="s">
        <v>842</v>
      </c>
      <c r="B284" s="313" t="s">
        <v>1078</v>
      </c>
      <c r="C284" s="313" t="s">
        <v>584</v>
      </c>
      <c r="D284" s="313"/>
      <c r="E284" s="358" t="s">
        <v>585</v>
      </c>
      <c r="F284" s="210"/>
      <c r="G284" s="75">
        <f>G285</f>
        <v>0</v>
      </c>
      <c r="H284" s="75">
        <f>H285</f>
        <v>0</v>
      </c>
      <c r="I284" s="75">
        <f t="shared" si="7"/>
        <v>0</v>
      </c>
      <c r="J284" s="241">
        <f>J285</f>
        <v>0</v>
      </c>
      <c r="K284" s="113"/>
      <c r="N284" s="158"/>
    </row>
    <row r="285" spans="1:14" s="104" customFormat="1" ht="15.75" customHeight="1" hidden="1">
      <c r="A285" s="315" t="s">
        <v>843</v>
      </c>
      <c r="B285" s="315" t="s">
        <v>1079</v>
      </c>
      <c r="C285" s="315" t="s">
        <v>77</v>
      </c>
      <c r="D285" s="315"/>
      <c r="E285" s="361" t="s">
        <v>92</v>
      </c>
      <c r="F285" s="231"/>
      <c r="G285" s="75">
        <f>G286</f>
        <v>0</v>
      </c>
      <c r="H285" s="75">
        <f>H286</f>
        <v>0</v>
      </c>
      <c r="I285" s="75">
        <f t="shared" si="7"/>
        <v>0</v>
      </c>
      <c r="J285" s="241">
        <f>J286</f>
        <v>0</v>
      </c>
      <c r="K285" s="113"/>
      <c r="N285" s="158"/>
    </row>
    <row r="286" spans="1:15" s="104" customFormat="1" ht="38.25" customHeight="1" hidden="1">
      <c r="A286" s="268" t="s">
        <v>844</v>
      </c>
      <c r="B286" s="268" t="s">
        <v>1081</v>
      </c>
      <c r="C286" s="268" t="s">
        <v>77</v>
      </c>
      <c r="D286" s="268" t="s">
        <v>439</v>
      </c>
      <c r="E286" s="353" t="s">
        <v>588</v>
      </c>
      <c r="F286" s="209"/>
      <c r="G286" s="75"/>
      <c r="H286" s="75"/>
      <c r="I286" s="75">
        <f t="shared" si="7"/>
        <v>0</v>
      </c>
      <c r="J286" s="241"/>
      <c r="K286" s="106"/>
      <c r="N286" s="114"/>
      <c r="O286" s="115"/>
    </row>
    <row r="287" spans="1:14" s="104" customFormat="1" ht="31.5" customHeight="1">
      <c r="A287" s="98"/>
      <c r="B287" s="98" t="s">
        <v>150</v>
      </c>
      <c r="C287" s="98" t="s">
        <v>150</v>
      </c>
      <c r="D287" s="98"/>
      <c r="E287" s="99" t="s">
        <v>55</v>
      </c>
      <c r="F287" s="166"/>
      <c r="G287" s="83">
        <f>G288</f>
        <v>1390000</v>
      </c>
      <c r="H287" s="83">
        <f>H288</f>
        <v>3127560</v>
      </c>
      <c r="I287" s="83">
        <f t="shared" si="7"/>
        <v>4517560</v>
      </c>
      <c r="J287" s="144">
        <f>J288</f>
        <v>0</v>
      </c>
      <c r="K287" s="106"/>
      <c r="N287" s="158"/>
    </row>
    <row r="288" spans="1:14" s="104" customFormat="1" ht="30" customHeight="1">
      <c r="A288" s="25" t="s">
        <v>845</v>
      </c>
      <c r="B288" s="25"/>
      <c r="C288" s="25"/>
      <c r="D288" s="25"/>
      <c r="E288" s="217" t="s">
        <v>55</v>
      </c>
      <c r="F288" s="227"/>
      <c r="G288" s="83">
        <f>G289+G291+G292</f>
        <v>1390000</v>
      </c>
      <c r="H288" s="83">
        <f>H289+H291+H292</f>
        <v>3127560</v>
      </c>
      <c r="I288" s="83">
        <f t="shared" si="7"/>
        <v>4517560</v>
      </c>
      <c r="J288" s="144">
        <f>J289+J291+J292</f>
        <v>0</v>
      </c>
      <c r="K288" s="106"/>
      <c r="N288" s="158"/>
    </row>
    <row r="289" spans="1:14" s="104" customFormat="1" ht="15.75" customHeight="1" hidden="1">
      <c r="A289" s="313" t="s">
        <v>846</v>
      </c>
      <c r="B289" s="313" t="s">
        <v>1068</v>
      </c>
      <c r="C289" s="314" t="s">
        <v>559</v>
      </c>
      <c r="D289" s="314"/>
      <c r="E289" s="359" t="s">
        <v>560</v>
      </c>
      <c r="F289" s="227"/>
      <c r="G289" s="83">
        <f>G290</f>
        <v>0</v>
      </c>
      <c r="H289" s="83">
        <f>H290</f>
        <v>0</v>
      </c>
      <c r="I289" s="83">
        <f t="shared" si="7"/>
        <v>0</v>
      </c>
      <c r="J289" s="144">
        <f>J290</f>
        <v>0</v>
      </c>
      <c r="K289" s="106"/>
      <c r="N289" s="158"/>
    </row>
    <row r="290" spans="1:14" s="104" customFormat="1" ht="49.5" customHeight="1" hidden="1">
      <c r="A290" s="268" t="s">
        <v>847</v>
      </c>
      <c r="B290" s="268" t="s">
        <v>471</v>
      </c>
      <c r="C290" s="268" t="s">
        <v>165</v>
      </c>
      <c r="D290" s="268" t="s">
        <v>436</v>
      </c>
      <c r="E290" s="353" t="s">
        <v>848</v>
      </c>
      <c r="F290" s="171" t="s">
        <v>490</v>
      </c>
      <c r="G290" s="75"/>
      <c r="H290" s="75"/>
      <c r="I290" s="75">
        <f t="shared" si="7"/>
        <v>0</v>
      </c>
      <c r="J290" s="241"/>
      <c r="K290" s="113"/>
      <c r="N290" s="158"/>
    </row>
    <row r="291" spans="1:14" s="104" customFormat="1" ht="47.25" customHeight="1">
      <c r="A291" s="313" t="s">
        <v>849</v>
      </c>
      <c r="B291" s="313" t="s">
        <v>1167</v>
      </c>
      <c r="C291" s="313" t="s">
        <v>390</v>
      </c>
      <c r="D291" s="313" t="s">
        <v>467</v>
      </c>
      <c r="E291" s="286" t="s">
        <v>395</v>
      </c>
      <c r="F291" s="236" t="s">
        <v>490</v>
      </c>
      <c r="G291" s="83"/>
      <c r="H291" s="83">
        <v>2357560</v>
      </c>
      <c r="I291" s="83">
        <f t="shared" si="7"/>
        <v>2357560</v>
      </c>
      <c r="J291" s="241"/>
      <c r="K291" s="106"/>
      <c r="N291" s="158"/>
    </row>
    <row r="292" spans="1:14" s="104" customFormat="1" ht="15.75" customHeight="1">
      <c r="A292" s="313" t="s">
        <v>850</v>
      </c>
      <c r="B292" s="313" t="s">
        <v>1078</v>
      </c>
      <c r="C292" s="313" t="s">
        <v>584</v>
      </c>
      <c r="D292" s="313"/>
      <c r="E292" s="286" t="s">
        <v>585</v>
      </c>
      <c r="F292" s="227"/>
      <c r="G292" s="83">
        <f>G293</f>
        <v>1390000</v>
      </c>
      <c r="H292" s="83">
        <f>H293</f>
        <v>770000</v>
      </c>
      <c r="I292" s="83">
        <f t="shared" si="7"/>
        <v>2160000</v>
      </c>
      <c r="J292" s="241">
        <f>J293</f>
        <v>0</v>
      </c>
      <c r="K292" s="106"/>
      <c r="N292" s="158"/>
    </row>
    <row r="293" spans="1:14" s="104" customFormat="1" ht="15.75" customHeight="1" hidden="1">
      <c r="A293" s="316" t="s">
        <v>851</v>
      </c>
      <c r="B293" s="316" t="s">
        <v>1079</v>
      </c>
      <c r="C293" s="316" t="s">
        <v>77</v>
      </c>
      <c r="D293" s="316"/>
      <c r="E293" s="338" t="s">
        <v>92</v>
      </c>
      <c r="F293" s="227"/>
      <c r="G293" s="75">
        <f>G294+G295</f>
        <v>1390000</v>
      </c>
      <c r="H293" s="75">
        <f>H294+H295</f>
        <v>770000</v>
      </c>
      <c r="I293" s="75">
        <f t="shared" si="7"/>
        <v>2160000</v>
      </c>
      <c r="J293" s="241">
        <f>J294+J295</f>
        <v>0</v>
      </c>
      <c r="K293" s="106"/>
      <c r="N293" s="158"/>
    </row>
    <row r="294" spans="1:15" s="104" customFormat="1" ht="47.25" customHeight="1">
      <c r="A294" s="316" t="s">
        <v>851</v>
      </c>
      <c r="B294" s="316" t="s">
        <v>1079</v>
      </c>
      <c r="C294" s="268" t="s">
        <v>77</v>
      </c>
      <c r="D294" s="268" t="s">
        <v>439</v>
      </c>
      <c r="E294" s="338" t="s">
        <v>92</v>
      </c>
      <c r="F294" s="236" t="s">
        <v>490</v>
      </c>
      <c r="G294" s="373">
        <v>1390000</v>
      </c>
      <c r="H294" s="373">
        <v>770000</v>
      </c>
      <c r="I294" s="373">
        <f t="shared" si="7"/>
        <v>2160000</v>
      </c>
      <c r="J294" s="247"/>
      <c r="K294" s="113"/>
      <c r="N294" s="114"/>
      <c r="O294" s="115"/>
    </row>
    <row r="295" spans="1:14" s="104" customFormat="1" ht="63.75" customHeight="1" hidden="1">
      <c r="A295" s="25" t="s">
        <v>852</v>
      </c>
      <c r="B295" s="25" t="s">
        <v>1080</v>
      </c>
      <c r="C295" s="25" t="s">
        <v>77</v>
      </c>
      <c r="D295" s="25"/>
      <c r="E295" s="9" t="s">
        <v>587</v>
      </c>
      <c r="F295" s="166" t="s">
        <v>208</v>
      </c>
      <c r="G295" s="373"/>
      <c r="H295" s="373"/>
      <c r="I295" s="373">
        <f t="shared" si="7"/>
        <v>0</v>
      </c>
      <c r="J295" s="247"/>
      <c r="K295" s="106"/>
      <c r="N295" s="158"/>
    </row>
    <row r="296" spans="1:14" s="104" customFormat="1" ht="47.25" customHeight="1" hidden="1">
      <c r="A296" s="187"/>
      <c r="B296" s="289">
        <v>49</v>
      </c>
      <c r="C296" s="98" t="s">
        <v>523</v>
      </c>
      <c r="D296" s="203"/>
      <c r="E296" s="99" t="s">
        <v>524</v>
      </c>
      <c r="F296" s="186"/>
      <c r="G296" s="83">
        <f aca="true" t="shared" si="8" ref="G296:J298">G297</f>
        <v>0</v>
      </c>
      <c r="H296" s="83">
        <f t="shared" si="8"/>
        <v>0</v>
      </c>
      <c r="I296" s="83">
        <f t="shared" si="7"/>
        <v>0</v>
      </c>
      <c r="J296" s="144">
        <f t="shared" si="8"/>
        <v>0</v>
      </c>
      <c r="K296" s="106"/>
      <c r="N296" s="158"/>
    </row>
    <row r="297" spans="1:14" s="104" customFormat="1" ht="25.5" customHeight="1" hidden="1">
      <c r="A297" s="25" t="s">
        <v>853</v>
      </c>
      <c r="B297" s="25"/>
      <c r="C297" s="25"/>
      <c r="D297" s="25"/>
      <c r="E297" s="353" t="s">
        <v>854</v>
      </c>
      <c r="F297" s="228"/>
      <c r="G297" s="83">
        <f t="shared" si="8"/>
        <v>0</v>
      </c>
      <c r="H297" s="83">
        <f t="shared" si="8"/>
        <v>0</v>
      </c>
      <c r="I297" s="83">
        <f t="shared" si="7"/>
        <v>0</v>
      </c>
      <c r="J297" s="144">
        <f t="shared" si="8"/>
        <v>0</v>
      </c>
      <c r="K297" s="106"/>
      <c r="N297" s="158"/>
    </row>
    <row r="298" spans="1:14" s="104" customFormat="1" ht="15.75" customHeight="1" hidden="1">
      <c r="A298" s="313" t="s">
        <v>855</v>
      </c>
      <c r="B298" s="313" t="s">
        <v>1068</v>
      </c>
      <c r="C298" s="314" t="s">
        <v>559</v>
      </c>
      <c r="D298" s="314"/>
      <c r="E298" s="359" t="s">
        <v>560</v>
      </c>
      <c r="F298" s="228"/>
      <c r="G298" s="83">
        <f t="shared" si="8"/>
        <v>0</v>
      </c>
      <c r="H298" s="83">
        <f t="shared" si="8"/>
        <v>0</v>
      </c>
      <c r="I298" s="83">
        <f t="shared" si="7"/>
        <v>0</v>
      </c>
      <c r="J298" s="144">
        <f t="shared" si="8"/>
        <v>0</v>
      </c>
      <c r="K298" s="106"/>
      <c r="N298" s="158"/>
    </row>
    <row r="299" spans="1:14" s="104" customFormat="1" ht="47.25" customHeight="1" hidden="1">
      <c r="A299" s="268" t="s">
        <v>856</v>
      </c>
      <c r="B299" s="268" t="s">
        <v>471</v>
      </c>
      <c r="C299" s="268" t="s">
        <v>165</v>
      </c>
      <c r="D299" s="268" t="s">
        <v>436</v>
      </c>
      <c r="E299" s="353" t="s">
        <v>857</v>
      </c>
      <c r="F299" s="402" t="s">
        <v>1222</v>
      </c>
      <c r="G299" s="373"/>
      <c r="H299" s="373"/>
      <c r="I299" s="373">
        <f t="shared" si="7"/>
        <v>0</v>
      </c>
      <c r="J299" s="247"/>
      <c r="K299" s="106"/>
      <c r="N299" s="158"/>
    </row>
    <row r="300" spans="1:14" s="104" customFormat="1" ht="31.5" customHeight="1" hidden="1">
      <c r="A300" s="187"/>
      <c r="B300" s="289">
        <v>50</v>
      </c>
      <c r="C300" s="98">
        <v>50</v>
      </c>
      <c r="D300" s="203"/>
      <c r="E300" s="99" t="s">
        <v>186</v>
      </c>
      <c r="F300" s="97"/>
      <c r="G300" s="83">
        <f aca="true" t="shared" si="9" ref="G300:J302">G301</f>
        <v>0</v>
      </c>
      <c r="H300" s="83">
        <f t="shared" si="9"/>
        <v>0</v>
      </c>
      <c r="I300" s="83">
        <f t="shared" si="7"/>
        <v>0</v>
      </c>
      <c r="J300" s="144">
        <f t="shared" si="9"/>
        <v>0</v>
      </c>
      <c r="K300" s="106"/>
      <c r="N300" s="158"/>
    </row>
    <row r="301" spans="1:14" s="104" customFormat="1" ht="15.75" customHeight="1" hidden="1">
      <c r="A301" s="25" t="s">
        <v>858</v>
      </c>
      <c r="B301" s="25"/>
      <c r="C301" s="25"/>
      <c r="D301" s="25"/>
      <c r="E301" s="354" t="s">
        <v>186</v>
      </c>
      <c r="F301" s="232"/>
      <c r="G301" s="83">
        <f t="shared" si="9"/>
        <v>0</v>
      </c>
      <c r="H301" s="83">
        <f t="shared" si="9"/>
        <v>0</v>
      </c>
      <c r="I301" s="83">
        <f t="shared" si="7"/>
        <v>0</v>
      </c>
      <c r="J301" s="144">
        <f t="shared" si="9"/>
        <v>0</v>
      </c>
      <c r="K301" s="106"/>
      <c r="N301" s="158"/>
    </row>
    <row r="302" spans="1:14" s="104" customFormat="1" ht="15.75" customHeight="1" hidden="1">
      <c r="A302" s="313" t="s">
        <v>859</v>
      </c>
      <c r="B302" s="313" t="s">
        <v>1068</v>
      </c>
      <c r="C302" s="314" t="s">
        <v>559</v>
      </c>
      <c r="D302" s="314"/>
      <c r="E302" s="359" t="s">
        <v>560</v>
      </c>
      <c r="F302" s="232"/>
      <c r="G302" s="83">
        <f t="shared" si="9"/>
        <v>0</v>
      </c>
      <c r="H302" s="83">
        <f t="shared" si="9"/>
        <v>0</v>
      </c>
      <c r="I302" s="83">
        <f t="shared" si="7"/>
        <v>0</v>
      </c>
      <c r="J302" s="144">
        <f t="shared" si="9"/>
        <v>0</v>
      </c>
      <c r="K302" s="106"/>
      <c r="N302" s="158"/>
    </row>
    <row r="303" spans="1:14" s="104" customFormat="1" ht="47.25" customHeight="1" hidden="1">
      <c r="A303" s="268" t="s">
        <v>860</v>
      </c>
      <c r="B303" s="268" t="s">
        <v>471</v>
      </c>
      <c r="C303" s="268" t="s">
        <v>165</v>
      </c>
      <c r="D303" s="268" t="s">
        <v>436</v>
      </c>
      <c r="E303" s="353" t="s">
        <v>861</v>
      </c>
      <c r="F303" s="402" t="s">
        <v>1222</v>
      </c>
      <c r="G303" s="373"/>
      <c r="H303" s="373"/>
      <c r="I303" s="373">
        <f t="shared" si="7"/>
        <v>0</v>
      </c>
      <c r="J303" s="247"/>
      <c r="K303" s="106"/>
      <c r="N303" s="158"/>
    </row>
    <row r="304" spans="1:14" s="104" customFormat="1" ht="31.5" customHeight="1" hidden="1">
      <c r="A304" s="98"/>
      <c r="B304" s="98" t="s">
        <v>154</v>
      </c>
      <c r="C304" s="98" t="s">
        <v>154</v>
      </c>
      <c r="D304" s="98"/>
      <c r="E304" s="99" t="s">
        <v>59</v>
      </c>
      <c r="F304" s="99"/>
      <c r="G304" s="83">
        <f>G305</f>
        <v>0</v>
      </c>
      <c r="H304" s="83">
        <f>H305</f>
        <v>0</v>
      </c>
      <c r="I304" s="83">
        <f t="shared" si="7"/>
        <v>0</v>
      </c>
      <c r="J304" s="144">
        <f>J305</f>
        <v>0</v>
      </c>
      <c r="K304" s="113"/>
      <c r="N304" s="158"/>
    </row>
    <row r="305" spans="1:14" s="104" customFormat="1" ht="31.5" customHeight="1" hidden="1">
      <c r="A305" s="268" t="s">
        <v>862</v>
      </c>
      <c r="B305" s="268"/>
      <c r="C305" s="268"/>
      <c r="D305" s="268"/>
      <c r="E305" s="354" t="s">
        <v>59</v>
      </c>
      <c r="F305" s="233"/>
      <c r="G305" s="83">
        <f>G306+G308</f>
        <v>0</v>
      </c>
      <c r="H305" s="83">
        <f>H306+H308</f>
        <v>0</v>
      </c>
      <c r="I305" s="83">
        <f t="shared" si="7"/>
        <v>0</v>
      </c>
      <c r="J305" s="144">
        <f>J306+J308</f>
        <v>0</v>
      </c>
      <c r="K305" s="113"/>
      <c r="N305" s="158"/>
    </row>
    <row r="306" spans="1:14" s="104" customFormat="1" ht="31.5" customHeight="1" hidden="1">
      <c r="A306" s="313" t="s">
        <v>863</v>
      </c>
      <c r="B306" s="313" t="s">
        <v>1068</v>
      </c>
      <c r="C306" s="313" t="s">
        <v>559</v>
      </c>
      <c r="D306" s="313"/>
      <c r="E306" s="359" t="s">
        <v>560</v>
      </c>
      <c r="F306" s="233"/>
      <c r="G306" s="83">
        <f>G307</f>
        <v>0</v>
      </c>
      <c r="H306" s="83">
        <f>H307</f>
        <v>0</v>
      </c>
      <c r="I306" s="83">
        <f t="shared" si="7"/>
        <v>0</v>
      </c>
      <c r="J306" s="144">
        <f>J307</f>
        <v>0</v>
      </c>
      <c r="K306" s="113"/>
      <c r="N306" s="158"/>
    </row>
    <row r="307" spans="1:14" s="104" customFormat="1" ht="31.5" customHeight="1" hidden="1">
      <c r="A307" s="268" t="s">
        <v>864</v>
      </c>
      <c r="B307" s="268" t="s">
        <v>471</v>
      </c>
      <c r="C307" s="268" t="s">
        <v>165</v>
      </c>
      <c r="D307" s="268" t="s">
        <v>436</v>
      </c>
      <c r="E307" s="353" t="s">
        <v>865</v>
      </c>
      <c r="F307" s="402" t="s">
        <v>1222</v>
      </c>
      <c r="G307" s="75"/>
      <c r="H307" s="75"/>
      <c r="I307" s="75">
        <f t="shared" si="7"/>
        <v>0</v>
      </c>
      <c r="J307" s="241"/>
      <c r="K307" s="113"/>
      <c r="N307" s="158"/>
    </row>
    <row r="308" spans="1:14" s="104" customFormat="1" ht="31.5" customHeight="1" hidden="1">
      <c r="A308" s="313" t="s">
        <v>866</v>
      </c>
      <c r="B308" s="313" t="s">
        <v>1168</v>
      </c>
      <c r="C308" s="313"/>
      <c r="D308" s="313"/>
      <c r="E308" s="355" t="s">
        <v>867</v>
      </c>
      <c r="F308" s="228"/>
      <c r="G308" s="75">
        <f>G309</f>
        <v>0</v>
      </c>
      <c r="H308" s="75">
        <f>H309</f>
        <v>0</v>
      </c>
      <c r="I308" s="75">
        <f t="shared" si="7"/>
        <v>0</v>
      </c>
      <c r="J308" s="241">
        <f>J309</f>
        <v>0</v>
      </c>
      <c r="K308" s="113"/>
      <c r="N308" s="158"/>
    </row>
    <row r="309" spans="1:14" s="104" customFormat="1" ht="31.5" customHeight="1" hidden="1">
      <c r="A309" s="268" t="s">
        <v>868</v>
      </c>
      <c r="B309" s="268" t="s">
        <v>1169</v>
      </c>
      <c r="C309" s="268" t="s">
        <v>41</v>
      </c>
      <c r="D309" s="268" t="s">
        <v>869</v>
      </c>
      <c r="E309" s="281" t="s">
        <v>870</v>
      </c>
      <c r="F309" s="164" t="s">
        <v>205</v>
      </c>
      <c r="G309" s="75"/>
      <c r="H309" s="75"/>
      <c r="I309" s="75">
        <f t="shared" si="7"/>
        <v>0</v>
      </c>
      <c r="J309" s="241"/>
      <c r="K309" s="113"/>
      <c r="N309" s="158"/>
    </row>
    <row r="310" spans="1:14" s="104" customFormat="1" ht="31.5" customHeight="1">
      <c r="A310" s="98"/>
      <c r="B310" s="98" t="s">
        <v>151</v>
      </c>
      <c r="C310" s="98" t="s">
        <v>151</v>
      </c>
      <c r="D310" s="98"/>
      <c r="E310" s="99" t="s">
        <v>56</v>
      </c>
      <c r="F310" s="166"/>
      <c r="G310" s="83">
        <f>G311</f>
        <v>0</v>
      </c>
      <c r="H310" s="83">
        <f>H311</f>
        <v>26292589</v>
      </c>
      <c r="I310" s="83">
        <f t="shared" si="7"/>
        <v>26292589</v>
      </c>
      <c r="J310" s="144">
        <f>J311</f>
        <v>0</v>
      </c>
      <c r="K310" s="113"/>
      <c r="N310" s="158"/>
    </row>
    <row r="311" spans="1:14" s="104" customFormat="1" ht="31.5" customHeight="1">
      <c r="A311" s="25" t="s">
        <v>871</v>
      </c>
      <c r="B311" s="25"/>
      <c r="C311" s="25"/>
      <c r="D311" s="25"/>
      <c r="E311" s="217" t="s">
        <v>56</v>
      </c>
      <c r="F311" s="228"/>
      <c r="G311" s="83">
        <f>G312+G314+G316+G319</f>
        <v>0</v>
      </c>
      <c r="H311" s="83">
        <f>H312+H314+H316+H319</f>
        <v>26292589</v>
      </c>
      <c r="I311" s="83">
        <f t="shared" si="7"/>
        <v>26292589</v>
      </c>
      <c r="J311" s="144">
        <f>J312+J314+J316+J319</f>
        <v>0</v>
      </c>
      <c r="K311" s="113"/>
      <c r="N311" s="158"/>
    </row>
    <row r="312" spans="1:14" s="104" customFormat="1" ht="31.5" customHeight="1" hidden="1">
      <c r="A312" s="313" t="s">
        <v>872</v>
      </c>
      <c r="B312" s="313" t="s">
        <v>1068</v>
      </c>
      <c r="C312" s="314" t="s">
        <v>559</v>
      </c>
      <c r="D312" s="314"/>
      <c r="E312" s="359" t="s">
        <v>560</v>
      </c>
      <c r="F312" s="228"/>
      <c r="G312" s="83">
        <f>G313</f>
        <v>0</v>
      </c>
      <c r="H312" s="83">
        <f>H313</f>
        <v>0</v>
      </c>
      <c r="I312" s="83">
        <f t="shared" si="7"/>
        <v>0</v>
      </c>
      <c r="J312" s="144">
        <f>J313</f>
        <v>0</v>
      </c>
      <c r="K312" s="113"/>
      <c r="N312" s="158"/>
    </row>
    <row r="313" spans="1:14" s="104" customFormat="1" ht="31.5" customHeight="1" hidden="1">
      <c r="A313" s="268" t="s">
        <v>873</v>
      </c>
      <c r="B313" s="268" t="s">
        <v>471</v>
      </c>
      <c r="C313" s="268" t="s">
        <v>165</v>
      </c>
      <c r="D313" s="268" t="s">
        <v>436</v>
      </c>
      <c r="E313" s="353" t="s">
        <v>874</v>
      </c>
      <c r="F313" s="402" t="s">
        <v>1222</v>
      </c>
      <c r="G313" s="75"/>
      <c r="H313" s="75"/>
      <c r="I313" s="75">
        <f t="shared" si="7"/>
        <v>0</v>
      </c>
      <c r="J313" s="241"/>
      <c r="K313" s="113"/>
      <c r="N313" s="158"/>
    </row>
    <row r="314" spans="1:14" s="104" customFormat="1" ht="31.5" customHeight="1">
      <c r="A314" s="313" t="s">
        <v>875</v>
      </c>
      <c r="B314" s="313" t="s">
        <v>1073</v>
      </c>
      <c r="C314" s="313" t="s">
        <v>572</v>
      </c>
      <c r="D314" s="313"/>
      <c r="E314" s="355" t="s">
        <v>694</v>
      </c>
      <c r="F314" s="228"/>
      <c r="G314" s="75">
        <f>G315</f>
        <v>0</v>
      </c>
      <c r="H314" s="75">
        <f>H315</f>
        <v>10000000</v>
      </c>
      <c r="I314" s="75">
        <f t="shared" si="7"/>
        <v>10000000</v>
      </c>
      <c r="J314" s="241">
        <f>J315</f>
        <v>0</v>
      </c>
      <c r="K314" s="113"/>
      <c r="N314" s="158"/>
    </row>
    <row r="315" spans="1:14" s="104" customFormat="1" ht="50.25" customHeight="1">
      <c r="A315" s="268" t="s">
        <v>876</v>
      </c>
      <c r="B315" s="268" t="s">
        <v>1074</v>
      </c>
      <c r="C315" s="268">
        <v>150101</v>
      </c>
      <c r="D315" s="268" t="s">
        <v>438</v>
      </c>
      <c r="E315" s="281" t="s">
        <v>575</v>
      </c>
      <c r="F315" s="402" t="s">
        <v>1236</v>
      </c>
      <c r="G315" s="75"/>
      <c r="H315" s="75">
        <v>10000000</v>
      </c>
      <c r="I315" s="75">
        <f t="shared" si="7"/>
        <v>10000000</v>
      </c>
      <c r="J315" s="241"/>
      <c r="K315" s="113"/>
      <c r="N315" s="158"/>
    </row>
    <row r="316" spans="1:14" s="104" customFormat="1" ht="31.5" customHeight="1" hidden="1">
      <c r="A316" s="313" t="s">
        <v>877</v>
      </c>
      <c r="B316" s="313" t="s">
        <v>1078</v>
      </c>
      <c r="C316" s="313" t="s">
        <v>584</v>
      </c>
      <c r="D316" s="313"/>
      <c r="E316" s="358" t="s">
        <v>585</v>
      </c>
      <c r="F316" s="227"/>
      <c r="G316" s="75">
        <f>G317</f>
        <v>0</v>
      </c>
      <c r="H316" s="75">
        <f>H317</f>
        <v>0</v>
      </c>
      <c r="I316" s="75">
        <f t="shared" si="7"/>
        <v>0</v>
      </c>
      <c r="J316" s="241">
        <f>J317</f>
        <v>0</v>
      </c>
      <c r="K316" s="113"/>
      <c r="N316" s="158"/>
    </row>
    <row r="317" spans="1:14" s="104" customFormat="1" ht="31.5" customHeight="1" hidden="1">
      <c r="A317" s="317" t="s">
        <v>878</v>
      </c>
      <c r="B317" s="317" t="s">
        <v>1079</v>
      </c>
      <c r="C317" s="317" t="s">
        <v>77</v>
      </c>
      <c r="D317" s="317"/>
      <c r="E317" s="362" t="s">
        <v>92</v>
      </c>
      <c r="F317" s="227"/>
      <c r="G317" s="75">
        <f>G318</f>
        <v>0</v>
      </c>
      <c r="H317" s="75">
        <f>H318</f>
        <v>0</v>
      </c>
      <c r="I317" s="75">
        <f>G317+H317</f>
        <v>0</v>
      </c>
      <c r="J317" s="241">
        <f>J318</f>
        <v>0</v>
      </c>
      <c r="K317" s="113"/>
      <c r="N317" s="158"/>
    </row>
    <row r="318" spans="1:14" s="104" customFormat="1" ht="31.5" customHeight="1" hidden="1">
      <c r="A318" s="268" t="s">
        <v>879</v>
      </c>
      <c r="B318" s="268" t="s">
        <v>1080</v>
      </c>
      <c r="C318" s="268" t="s">
        <v>77</v>
      </c>
      <c r="D318" s="268"/>
      <c r="E318" s="9" t="s">
        <v>587</v>
      </c>
      <c r="F318" s="292" t="s">
        <v>1188</v>
      </c>
      <c r="G318" s="75"/>
      <c r="H318" s="75"/>
      <c r="I318" s="75">
        <f>G318+H318</f>
        <v>0</v>
      </c>
      <c r="J318" s="241"/>
      <c r="K318" s="113"/>
      <c r="N318" s="158"/>
    </row>
    <row r="319" spans="1:14" s="104" customFormat="1" ht="31.5" customHeight="1">
      <c r="A319" s="313" t="s">
        <v>880</v>
      </c>
      <c r="B319" s="313" t="s">
        <v>1084</v>
      </c>
      <c r="C319" s="313" t="s">
        <v>578</v>
      </c>
      <c r="D319" s="313"/>
      <c r="E319" s="286" t="s">
        <v>579</v>
      </c>
      <c r="F319" s="227"/>
      <c r="G319" s="83">
        <f>G320</f>
        <v>0</v>
      </c>
      <c r="H319" s="83">
        <f>H320</f>
        <v>16292589</v>
      </c>
      <c r="I319" s="83">
        <f>G319+H319</f>
        <v>16292589</v>
      </c>
      <c r="J319" s="241">
        <f>J320</f>
        <v>0</v>
      </c>
      <c r="K319" s="113"/>
      <c r="N319" s="158"/>
    </row>
    <row r="320" spans="1:14" s="104" customFormat="1" ht="51.75" customHeight="1">
      <c r="A320" s="268" t="s">
        <v>881</v>
      </c>
      <c r="B320" s="268" t="s">
        <v>1170</v>
      </c>
      <c r="C320" s="268" t="s">
        <v>29</v>
      </c>
      <c r="D320" s="268" t="s">
        <v>447</v>
      </c>
      <c r="E320" s="281" t="s">
        <v>106</v>
      </c>
      <c r="F320" s="404" t="s">
        <v>1227</v>
      </c>
      <c r="G320" s="310"/>
      <c r="H320" s="310">
        <v>16292589</v>
      </c>
      <c r="I320" s="310">
        <f aca="true" t="shared" si="10" ref="I320:I413">G320+H320</f>
        <v>16292589</v>
      </c>
      <c r="J320" s="246"/>
      <c r="K320" s="113"/>
      <c r="N320" s="158"/>
    </row>
    <row r="321" spans="1:14" s="104" customFormat="1" ht="47.25" customHeight="1">
      <c r="A321" s="102"/>
      <c r="B321" s="102" t="s">
        <v>149</v>
      </c>
      <c r="C321" s="102" t="s">
        <v>149</v>
      </c>
      <c r="D321" s="102"/>
      <c r="E321" s="103" t="s">
        <v>57</v>
      </c>
      <c r="F321" s="166"/>
      <c r="G321" s="83">
        <f>G322</f>
        <v>60000000</v>
      </c>
      <c r="H321" s="83">
        <f>H322</f>
        <v>382776117</v>
      </c>
      <c r="I321" s="83">
        <f t="shared" si="10"/>
        <v>442776117</v>
      </c>
      <c r="J321" s="144">
        <f>J322</f>
        <v>0</v>
      </c>
      <c r="K321" s="113"/>
      <c r="N321" s="158"/>
    </row>
    <row r="322" spans="1:14" s="104" customFormat="1" ht="30" customHeight="1">
      <c r="A322" s="268" t="s">
        <v>882</v>
      </c>
      <c r="B322" s="268"/>
      <c r="C322" s="268"/>
      <c r="D322" s="268"/>
      <c r="E322" s="217" t="s">
        <v>57</v>
      </c>
      <c r="F322" s="228"/>
      <c r="G322" s="83">
        <f>G323+G325+G330+G332+G336+G341</f>
        <v>60000000</v>
      </c>
      <c r="H322" s="83">
        <f>H323+H325+H330+H332+H336+H341</f>
        <v>382776117</v>
      </c>
      <c r="I322" s="83">
        <f t="shared" si="10"/>
        <v>442776117</v>
      </c>
      <c r="J322" s="144">
        <f>J323+J325+J330+J332+J336+J341</f>
        <v>0</v>
      </c>
      <c r="K322" s="113"/>
      <c r="N322" s="158"/>
    </row>
    <row r="323" spans="1:14" s="104" customFormat="1" ht="15.75" customHeight="1" hidden="1">
      <c r="A323" s="313" t="s">
        <v>883</v>
      </c>
      <c r="B323" s="313" t="s">
        <v>1068</v>
      </c>
      <c r="C323" s="313" t="s">
        <v>559</v>
      </c>
      <c r="D323" s="313"/>
      <c r="E323" s="358" t="s">
        <v>560</v>
      </c>
      <c r="F323" s="228"/>
      <c r="G323" s="83">
        <f>G324</f>
        <v>0</v>
      </c>
      <c r="H323" s="83">
        <f>H324</f>
        <v>0</v>
      </c>
      <c r="I323" s="83">
        <f t="shared" si="10"/>
        <v>0</v>
      </c>
      <c r="J323" s="144">
        <f>J324</f>
        <v>0</v>
      </c>
      <c r="K323" s="113"/>
      <c r="N323" s="158"/>
    </row>
    <row r="324" spans="1:14" s="104" customFormat="1" ht="54.75" customHeight="1" hidden="1">
      <c r="A324" s="268" t="s">
        <v>884</v>
      </c>
      <c r="B324" s="268" t="s">
        <v>471</v>
      </c>
      <c r="C324" s="268" t="s">
        <v>165</v>
      </c>
      <c r="D324" s="268" t="s">
        <v>436</v>
      </c>
      <c r="E324" s="353" t="s">
        <v>885</v>
      </c>
      <c r="F324" s="402" t="s">
        <v>1222</v>
      </c>
      <c r="G324" s="75"/>
      <c r="H324" s="75"/>
      <c r="I324" s="75">
        <f t="shared" si="10"/>
        <v>0</v>
      </c>
      <c r="J324" s="241"/>
      <c r="K324" s="106"/>
      <c r="N324" s="158"/>
    </row>
    <row r="325" spans="1:14" s="104" customFormat="1" ht="15.75" customHeight="1">
      <c r="A325" s="313" t="s">
        <v>886</v>
      </c>
      <c r="B325" s="313" t="s">
        <v>1073</v>
      </c>
      <c r="C325" s="313" t="s">
        <v>572</v>
      </c>
      <c r="D325" s="313"/>
      <c r="E325" s="286" t="s">
        <v>694</v>
      </c>
      <c r="F325" s="228"/>
      <c r="G325" s="83">
        <f>G326+G327+G328+G329</f>
        <v>0</v>
      </c>
      <c r="H325" s="83">
        <f>H326+H327+H328+H329</f>
        <v>288944407</v>
      </c>
      <c r="I325" s="83">
        <f t="shared" si="10"/>
        <v>288944407</v>
      </c>
      <c r="J325" s="241">
        <f>J326+J327+J328+J329</f>
        <v>0</v>
      </c>
      <c r="K325" s="106"/>
      <c r="N325" s="158"/>
    </row>
    <row r="326" spans="1:14" s="104" customFormat="1" ht="70.5" customHeight="1">
      <c r="A326" s="265" t="s">
        <v>887</v>
      </c>
      <c r="B326" s="265" t="s">
        <v>1074</v>
      </c>
      <c r="C326" s="265">
        <v>150101</v>
      </c>
      <c r="D326" s="265" t="s">
        <v>438</v>
      </c>
      <c r="E326" s="282" t="s">
        <v>575</v>
      </c>
      <c r="F326" s="227" t="s">
        <v>491</v>
      </c>
      <c r="G326" s="75"/>
      <c r="H326" s="75">
        <v>1571658</v>
      </c>
      <c r="I326" s="75">
        <f t="shared" si="10"/>
        <v>1571658</v>
      </c>
      <c r="J326" s="241"/>
      <c r="K326" s="106"/>
      <c r="N326" s="158"/>
    </row>
    <row r="327" spans="1:14" s="104" customFormat="1" ht="63.75" customHeight="1">
      <c r="A327" s="265" t="s">
        <v>887</v>
      </c>
      <c r="B327" s="265" t="s">
        <v>1074</v>
      </c>
      <c r="C327" s="265">
        <v>150101</v>
      </c>
      <c r="D327" s="265" t="s">
        <v>438</v>
      </c>
      <c r="E327" s="282" t="s">
        <v>575</v>
      </c>
      <c r="F327" s="227" t="s">
        <v>492</v>
      </c>
      <c r="G327" s="75"/>
      <c r="H327" s="75">
        <f>200000000-20000000</f>
        <v>180000000</v>
      </c>
      <c r="I327" s="75">
        <f t="shared" si="10"/>
        <v>180000000</v>
      </c>
      <c r="J327" s="241"/>
      <c r="K327" s="106"/>
      <c r="N327" s="158"/>
    </row>
    <row r="328" spans="1:14" s="104" customFormat="1" ht="56.25" customHeight="1">
      <c r="A328" s="265" t="s">
        <v>887</v>
      </c>
      <c r="B328" s="265" t="s">
        <v>1074</v>
      </c>
      <c r="C328" s="265">
        <v>150101</v>
      </c>
      <c r="D328" s="265" t="s">
        <v>438</v>
      </c>
      <c r="E328" s="282" t="s">
        <v>575</v>
      </c>
      <c r="F328" s="85" t="s">
        <v>494</v>
      </c>
      <c r="G328" s="75"/>
      <c r="H328" s="75">
        <v>5000000</v>
      </c>
      <c r="I328" s="75">
        <f t="shared" si="10"/>
        <v>5000000</v>
      </c>
      <c r="J328" s="241"/>
      <c r="K328" s="106"/>
      <c r="N328" s="158"/>
    </row>
    <row r="329" spans="1:14" s="104" customFormat="1" ht="54.75" customHeight="1">
      <c r="A329" s="265" t="s">
        <v>887</v>
      </c>
      <c r="B329" s="265" t="s">
        <v>1074</v>
      </c>
      <c r="C329" s="265">
        <v>150101</v>
      </c>
      <c r="D329" s="265" t="s">
        <v>438</v>
      </c>
      <c r="E329" s="282" t="s">
        <v>575</v>
      </c>
      <c r="F329" s="85" t="s">
        <v>1239</v>
      </c>
      <c r="G329" s="75"/>
      <c r="H329" s="75">
        <f>195972000-45972000-27627251-20000000</f>
        <v>102372749</v>
      </c>
      <c r="I329" s="75">
        <f t="shared" si="10"/>
        <v>102372749</v>
      </c>
      <c r="J329" s="241"/>
      <c r="K329" s="106"/>
      <c r="N329" s="158"/>
    </row>
    <row r="330" spans="1:14" s="104" customFormat="1" ht="33.75" customHeight="1">
      <c r="A330" s="313" t="s">
        <v>888</v>
      </c>
      <c r="B330" s="313" t="s">
        <v>1164</v>
      </c>
      <c r="C330" s="313" t="s">
        <v>830</v>
      </c>
      <c r="D330" s="313"/>
      <c r="E330" s="286" t="s">
        <v>831</v>
      </c>
      <c r="F330" s="228"/>
      <c r="G330" s="83">
        <f>G331</f>
        <v>58800000</v>
      </c>
      <c r="H330" s="83">
        <f>H331</f>
        <v>0</v>
      </c>
      <c r="I330" s="83">
        <f t="shared" si="10"/>
        <v>58800000</v>
      </c>
      <c r="J330" s="241">
        <f>J331</f>
        <v>0</v>
      </c>
      <c r="K330" s="106"/>
      <c r="N330" s="158"/>
    </row>
    <row r="331" spans="1:15" s="104" customFormat="1" ht="81.75" customHeight="1">
      <c r="A331" s="268" t="s">
        <v>889</v>
      </c>
      <c r="B331" s="268" t="s">
        <v>1171</v>
      </c>
      <c r="C331" s="268" t="s">
        <v>82</v>
      </c>
      <c r="D331" s="268" t="s">
        <v>468</v>
      </c>
      <c r="E331" s="281" t="s">
        <v>83</v>
      </c>
      <c r="F331" s="236" t="s">
        <v>491</v>
      </c>
      <c r="G331" s="75">
        <f>60000000-1200000</f>
        <v>58800000</v>
      </c>
      <c r="H331" s="75"/>
      <c r="I331" s="75">
        <f t="shared" si="10"/>
        <v>58800000</v>
      </c>
      <c r="J331" s="241"/>
      <c r="K331" s="106"/>
      <c r="N331" s="114"/>
      <c r="O331" s="115"/>
    </row>
    <row r="332" spans="1:15" s="104" customFormat="1" ht="31.5" hidden="1">
      <c r="A332" s="313" t="s">
        <v>890</v>
      </c>
      <c r="B332" s="313" t="s">
        <v>1172</v>
      </c>
      <c r="C332" s="313" t="s">
        <v>214</v>
      </c>
      <c r="D332" s="313"/>
      <c r="E332" s="286" t="s">
        <v>215</v>
      </c>
      <c r="F332" s="227"/>
      <c r="G332" s="387">
        <f>G333+G334+G335</f>
        <v>1200000</v>
      </c>
      <c r="H332" s="387">
        <f>H333+H334+H335</f>
        <v>20000000</v>
      </c>
      <c r="I332" s="387">
        <f t="shared" si="10"/>
        <v>21200000</v>
      </c>
      <c r="J332" s="241">
        <f>J333+J334+J335</f>
        <v>0</v>
      </c>
      <c r="K332" s="106"/>
      <c r="N332" s="114"/>
      <c r="O332" s="115"/>
    </row>
    <row r="333" spans="1:15" s="104" customFormat="1" ht="63" customHeight="1" hidden="1">
      <c r="A333" s="313" t="s">
        <v>890</v>
      </c>
      <c r="B333" s="313" t="s">
        <v>1172</v>
      </c>
      <c r="C333" s="268" t="s">
        <v>214</v>
      </c>
      <c r="D333" s="268" t="s">
        <v>469</v>
      </c>
      <c r="E333" s="286" t="s">
        <v>215</v>
      </c>
      <c r="F333" s="236" t="s">
        <v>491</v>
      </c>
      <c r="G333" s="75"/>
      <c r="H333" s="75"/>
      <c r="I333" s="75">
        <f t="shared" si="10"/>
        <v>0</v>
      </c>
      <c r="J333" s="241"/>
      <c r="K333" s="106"/>
      <c r="N333" s="114"/>
      <c r="O333" s="115"/>
    </row>
    <row r="334" spans="1:15" s="104" customFormat="1" ht="67.5" customHeight="1">
      <c r="A334" s="268" t="s">
        <v>890</v>
      </c>
      <c r="B334" s="268" t="s">
        <v>1172</v>
      </c>
      <c r="C334" s="268" t="s">
        <v>214</v>
      </c>
      <c r="D334" s="268" t="s">
        <v>469</v>
      </c>
      <c r="E334" s="408" t="s">
        <v>215</v>
      </c>
      <c r="F334" s="236" t="s">
        <v>492</v>
      </c>
      <c r="G334" s="75"/>
      <c r="H334" s="75">
        <f>20000000</f>
        <v>20000000</v>
      </c>
      <c r="I334" s="75">
        <f t="shared" si="10"/>
        <v>20000000</v>
      </c>
      <c r="J334" s="241"/>
      <c r="K334" s="106"/>
      <c r="N334" s="114"/>
      <c r="O334" s="115"/>
    </row>
    <row r="335" spans="1:15" s="104" customFormat="1" ht="63" customHeight="1">
      <c r="A335" s="268" t="s">
        <v>890</v>
      </c>
      <c r="B335" s="268" t="s">
        <v>1172</v>
      </c>
      <c r="C335" s="268" t="s">
        <v>214</v>
      </c>
      <c r="D335" s="268" t="s">
        <v>469</v>
      </c>
      <c r="E335" s="408" t="s">
        <v>215</v>
      </c>
      <c r="F335" s="227" t="s">
        <v>537</v>
      </c>
      <c r="G335" s="75">
        <v>1200000</v>
      </c>
      <c r="H335" s="75"/>
      <c r="I335" s="75">
        <f t="shared" si="10"/>
        <v>1200000</v>
      </c>
      <c r="J335" s="241"/>
      <c r="K335" s="106"/>
      <c r="N335" s="114"/>
      <c r="O335" s="115"/>
    </row>
    <row r="336" spans="1:15" s="104" customFormat="1" ht="15.75" customHeight="1">
      <c r="A336" s="313" t="s">
        <v>891</v>
      </c>
      <c r="B336" s="313" t="s">
        <v>1076</v>
      </c>
      <c r="C336" s="314" t="s">
        <v>569</v>
      </c>
      <c r="D336" s="314"/>
      <c r="E336" s="286" t="s">
        <v>570</v>
      </c>
      <c r="G336" s="83">
        <f>G337+G338+G339+G340</f>
        <v>0</v>
      </c>
      <c r="H336" s="83">
        <f>H337+H338+H339+H340</f>
        <v>73831710</v>
      </c>
      <c r="I336" s="83">
        <f t="shared" si="10"/>
        <v>73831710</v>
      </c>
      <c r="J336" s="241">
        <f>J337+J338+J339+J340</f>
        <v>0</v>
      </c>
      <c r="K336" s="106"/>
      <c r="N336" s="114"/>
      <c r="O336" s="115"/>
    </row>
    <row r="337" spans="1:14" s="104" customFormat="1" ht="79.5" customHeight="1">
      <c r="A337" s="268" t="s">
        <v>892</v>
      </c>
      <c r="B337" s="268" t="s">
        <v>1077</v>
      </c>
      <c r="C337" s="268" t="s">
        <v>98</v>
      </c>
      <c r="D337" s="268" t="s">
        <v>438</v>
      </c>
      <c r="E337" s="281" t="s">
        <v>811</v>
      </c>
      <c r="F337" s="410" t="s">
        <v>491</v>
      </c>
      <c r="G337" s="75"/>
      <c r="H337" s="75">
        <f>73323350+508360</f>
        <v>73831710</v>
      </c>
      <c r="I337" s="75">
        <f t="shared" si="10"/>
        <v>73831710</v>
      </c>
      <c r="J337" s="241"/>
      <c r="K337" s="113"/>
      <c r="N337" s="158"/>
    </row>
    <row r="338" spans="1:14" s="104" customFormat="1" ht="79.5" customHeight="1" hidden="1">
      <c r="A338" s="268" t="s">
        <v>892</v>
      </c>
      <c r="B338" s="268" t="s">
        <v>1077</v>
      </c>
      <c r="C338" s="268" t="s">
        <v>98</v>
      </c>
      <c r="D338" s="424"/>
      <c r="E338" s="281" t="s">
        <v>811</v>
      </c>
      <c r="F338" s="410" t="s">
        <v>474</v>
      </c>
      <c r="G338" s="75"/>
      <c r="H338" s="75"/>
      <c r="I338" s="75">
        <f t="shared" si="10"/>
        <v>0</v>
      </c>
      <c r="J338" s="241"/>
      <c r="K338" s="113"/>
      <c r="N338" s="158"/>
    </row>
    <row r="339" spans="1:14" s="104" customFormat="1" ht="53.25" customHeight="1" hidden="1">
      <c r="A339" s="399" t="s">
        <v>892</v>
      </c>
      <c r="B339" s="399" t="s">
        <v>1077</v>
      </c>
      <c r="C339" s="399" t="s">
        <v>98</v>
      </c>
      <c r="D339" s="419"/>
      <c r="E339" s="421" t="s">
        <v>811</v>
      </c>
      <c r="F339" s="422" t="s">
        <v>1231</v>
      </c>
      <c r="G339" s="423"/>
      <c r="H339" s="423"/>
      <c r="I339" s="423">
        <f t="shared" si="10"/>
        <v>0</v>
      </c>
      <c r="J339" s="248"/>
      <c r="K339" s="113"/>
      <c r="N339" s="158"/>
    </row>
    <row r="340" spans="1:14" s="104" customFormat="1" ht="63" customHeight="1" hidden="1">
      <c r="A340" s="268" t="s">
        <v>892</v>
      </c>
      <c r="B340" s="268" t="s">
        <v>1077</v>
      </c>
      <c r="C340" s="268" t="s">
        <v>98</v>
      </c>
      <c r="D340" s="420"/>
      <c r="E340" s="281" t="s">
        <v>811</v>
      </c>
      <c r="F340" s="410" t="s">
        <v>492</v>
      </c>
      <c r="G340" s="75"/>
      <c r="H340" s="75"/>
      <c r="I340" s="75">
        <f t="shared" si="10"/>
        <v>0</v>
      </c>
      <c r="J340" s="114"/>
      <c r="K340" s="113"/>
      <c r="N340" s="158"/>
    </row>
    <row r="341" spans="1:14" s="104" customFormat="1" ht="15.75" customHeight="1" hidden="1">
      <c r="A341" s="313" t="s">
        <v>877</v>
      </c>
      <c r="B341" s="313" t="s">
        <v>1078</v>
      </c>
      <c r="C341" s="313" t="s">
        <v>584</v>
      </c>
      <c r="D341" s="313"/>
      <c r="E341" s="358" t="s">
        <v>585</v>
      </c>
      <c r="F341" s="227"/>
      <c r="G341" s="75">
        <f>G342</f>
        <v>0</v>
      </c>
      <c r="H341" s="75">
        <f>H342</f>
        <v>0</v>
      </c>
      <c r="I341" s="75">
        <f t="shared" si="10"/>
        <v>0</v>
      </c>
      <c r="J341" s="114">
        <f>J342</f>
        <v>0</v>
      </c>
      <c r="K341" s="113"/>
      <c r="N341" s="158"/>
    </row>
    <row r="342" spans="1:14" s="104" customFormat="1" ht="15.75" customHeight="1" hidden="1">
      <c r="A342" s="318" t="s">
        <v>893</v>
      </c>
      <c r="B342" s="318" t="s">
        <v>1079</v>
      </c>
      <c r="C342" s="318" t="s">
        <v>77</v>
      </c>
      <c r="D342" s="318"/>
      <c r="E342" s="363" t="s">
        <v>92</v>
      </c>
      <c r="F342" s="227"/>
      <c r="G342" s="75">
        <f>G343+G344</f>
        <v>0</v>
      </c>
      <c r="H342" s="75">
        <f>H343+H344</f>
        <v>0</v>
      </c>
      <c r="I342" s="75">
        <f t="shared" si="10"/>
        <v>0</v>
      </c>
      <c r="J342" s="114">
        <f>J343+J344</f>
        <v>0</v>
      </c>
      <c r="K342" s="113"/>
      <c r="N342" s="158"/>
    </row>
    <row r="343" spans="1:14" s="104" customFormat="1" ht="51" customHeight="1" hidden="1">
      <c r="A343" s="25" t="s">
        <v>894</v>
      </c>
      <c r="B343" s="25" t="s">
        <v>1080</v>
      </c>
      <c r="C343" s="25" t="s">
        <v>77</v>
      </c>
      <c r="D343" s="25"/>
      <c r="E343" s="9" t="s">
        <v>587</v>
      </c>
      <c r="F343" s="178" t="s">
        <v>503</v>
      </c>
      <c r="G343" s="75"/>
      <c r="H343" s="75"/>
      <c r="I343" s="75">
        <f t="shared" si="10"/>
        <v>0</v>
      </c>
      <c r="J343" s="114"/>
      <c r="K343" s="113"/>
      <c r="N343" s="158"/>
    </row>
    <row r="344" spans="1:14" s="104" customFormat="1" ht="38.25" customHeight="1" hidden="1">
      <c r="A344" s="25" t="s">
        <v>895</v>
      </c>
      <c r="B344" s="25" t="s">
        <v>1082</v>
      </c>
      <c r="C344" s="25" t="s">
        <v>77</v>
      </c>
      <c r="D344" s="25"/>
      <c r="E344" s="281" t="s">
        <v>589</v>
      </c>
      <c r="G344" s="75">
        <f>1441000-1441000</f>
        <v>0</v>
      </c>
      <c r="H344" s="75">
        <f>1441000-1441000</f>
        <v>0</v>
      </c>
      <c r="I344" s="75">
        <f t="shared" si="10"/>
        <v>0</v>
      </c>
      <c r="J344" s="241">
        <f>1441000-1441000</f>
        <v>0</v>
      </c>
      <c r="K344" s="113"/>
      <c r="N344" s="158"/>
    </row>
    <row r="345" spans="1:14" s="104" customFormat="1" ht="52.5" customHeight="1">
      <c r="A345" s="98"/>
      <c r="B345" s="98" t="s">
        <v>144</v>
      </c>
      <c r="C345" s="98" t="s">
        <v>144</v>
      </c>
      <c r="D345" s="98"/>
      <c r="E345" s="99" t="s">
        <v>52</v>
      </c>
      <c r="F345" s="167"/>
      <c r="G345" s="83">
        <f>G346</f>
        <v>9650756</v>
      </c>
      <c r="H345" s="83">
        <f>H346</f>
        <v>214188</v>
      </c>
      <c r="I345" s="83">
        <f t="shared" si="10"/>
        <v>9864944</v>
      </c>
      <c r="J345" s="144">
        <f>J346</f>
        <v>214188</v>
      </c>
      <c r="K345" s="113"/>
      <c r="N345" s="158"/>
    </row>
    <row r="346" spans="1:14" s="104" customFormat="1" ht="45.75" customHeight="1">
      <c r="A346" s="25" t="s">
        <v>896</v>
      </c>
      <c r="B346" s="25"/>
      <c r="C346" s="25"/>
      <c r="D346" s="25"/>
      <c r="E346" s="217" t="s">
        <v>52</v>
      </c>
      <c r="F346" s="228"/>
      <c r="G346" s="83">
        <f>G347+G349</f>
        <v>9650756</v>
      </c>
      <c r="H346" s="83">
        <f>H347+H349</f>
        <v>214188</v>
      </c>
      <c r="I346" s="83">
        <f t="shared" si="10"/>
        <v>9864944</v>
      </c>
      <c r="J346" s="144">
        <f>J347+J349</f>
        <v>214188</v>
      </c>
      <c r="K346" s="113"/>
      <c r="N346" s="158"/>
    </row>
    <row r="347" spans="1:14" s="104" customFormat="1" ht="15.75" customHeight="1" hidden="1">
      <c r="A347" s="313" t="s">
        <v>897</v>
      </c>
      <c r="B347" s="313" t="s">
        <v>1068</v>
      </c>
      <c r="C347" s="314" t="s">
        <v>559</v>
      </c>
      <c r="D347" s="314"/>
      <c r="E347" s="359" t="s">
        <v>560</v>
      </c>
      <c r="F347" s="228"/>
      <c r="G347" s="83">
        <f>G348</f>
        <v>0</v>
      </c>
      <c r="H347" s="83">
        <f>H348</f>
        <v>0</v>
      </c>
      <c r="I347" s="83">
        <f t="shared" si="10"/>
        <v>0</v>
      </c>
      <c r="J347" s="144">
        <f>J348</f>
        <v>0</v>
      </c>
      <c r="K347" s="113"/>
      <c r="N347" s="158"/>
    </row>
    <row r="348" spans="1:14" s="104" customFormat="1" ht="47.25" customHeight="1" hidden="1">
      <c r="A348" s="268" t="s">
        <v>898</v>
      </c>
      <c r="B348" s="268" t="s">
        <v>471</v>
      </c>
      <c r="C348" s="268" t="s">
        <v>165</v>
      </c>
      <c r="D348" s="268" t="s">
        <v>436</v>
      </c>
      <c r="E348" s="353" t="s">
        <v>899</v>
      </c>
      <c r="F348" s="402" t="s">
        <v>1222</v>
      </c>
      <c r="G348" s="75"/>
      <c r="H348" s="75"/>
      <c r="I348" s="75">
        <f t="shared" si="10"/>
        <v>0</v>
      </c>
      <c r="J348" s="241"/>
      <c r="K348" s="113"/>
      <c r="N348" s="158"/>
    </row>
    <row r="349" spans="1:14" s="104" customFormat="1" ht="36" customHeight="1">
      <c r="A349" s="313" t="s">
        <v>900</v>
      </c>
      <c r="B349" s="313" t="s">
        <v>1173</v>
      </c>
      <c r="C349" s="313" t="s">
        <v>901</v>
      </c>
      <c r="D349" s="313"/>
      <c r="E349" s="286" t="s">
        <v>902</v>
      </c>
      <c r="F349" s="228"/>
      <c r="G349" s="83">
        <f>G350+G351</f>
        <v>9650756</v>
      </c>
      <c r="H349" s="83">
        <f>H350+H351</f>
        <v>214188</v>
      </c>
      <c r="I349" s="83">
        <f t="shared" si="10"/>
        <v>9864944</v>
      </c>
      <c r="J349" s="241">
        <f>J350+J351</f>
        <v>214188</v>
      </c>
      <c r="K349" s="113"/>
      <c r="N349" s="158"/>
    </row>
    <row r="350" spans="1:15" s="104" customFormat="1" ht="66.75" customHeight="1">
      <c r="A350" s="268" t="s">
        <v>903</v>
      </c>
      <c r="B350" s="268" t="s">
        <v>1174</v>
      </c>
      <c r="C350" s="268" t="s">
        <v>88</v>
      </c>
      <c r="D350" s="268" t="s">
        <v>470</v>
      </c>
      <c r="E350" s="281" t="s">
        <v>219</v>
      </c>
      <c r="F350" s="407" t="s">
        <v>1240</v>
      </c>
      <c r="G350" s="75">
        <v>4662123</v>
      </c>
      <c r="H350" s="75">
        <v>93043</v>
      </c>
      <c r="I350" s="75">
        <f t="shared" si="10"/>
        <v>4755166</v>
      </c>
      <c r="J350" s="241">
        <v>93043</v>
      </c>
      <c r="K350" s="113"/>
      <c r="N350" s="114"/>
      <c r="O350" s="115"/>
    </row>
    <row r="351" spans="1:15" s="104" customFormat="1" ht="63" customHeight="1">
      <c r="A351" s="268" t="s">
        <v>904</v>
      </c>
      <c r="B351" s="268" t="s">
        <v>1175</v>
      </c>
      <c r="C351" s="268">
        <v>210110</v>
      </c>
      <c r="D351" s="268" t="s">
        <v>470</v>
      </c>
      <c r="E351" s="281" t="s">
        <v>905</v>
      </c>
      <c r="F351" s="407" t="s">
        <v>1240</v>
      </c>
      <c r="G351" s="75">
        <v>4988633</v>
      </c>
      <c r="H351" s="75">
        <v>121145</v>
      </c>
      <c r="I351" s="75">
        <f t="shared" si="10"/>
        <v>5109778</v>
      </c>
      <c r="J351" s="241">
        <v>121145</v>
      </c>
      <c r="K351" s="113"/>
      <c r="N351" s="114"/>
      <c r="O351" s="115"/>
    </row>
    <row r="352" spans="1:14" s="104" customFormat="1" ht="31.5" customHeight="1">
      <c r="A352" s="98"/>
      <c r="B352" s="98" t="s">
        <v>153</v>
      </c>
      <c r="C352" s="98" t="s">
        <v>153</v>
      </c>
      <c r="D352" s="98"/>
      <c r="E352" s="99" t="s">
        <v>58</v>
      </c>
      <c r="F352" s="165"/>
      <c r="G352" s="83">
        <f>G353</f>
        <v>5087531</v>
      </c>
      <c r="H352" s="83">
        <f>H353</f>
        <v>0</v>
      </c>
      <c r="I352" s="83">
        <f t="shared" si="10"/>
        <v>5087531</v>
      </c>
      <c r="J352" s="144">
        <f>J353</f>
        <v>0</v>
      </c>
      <c r="K352" s="113"/>
      <c r="N352" s="158"/>
    </row>
    <row r="353" spans="1:14" s="104" customFormat="1" ht="34.5" customHeight="1">
      <c r="A353" s="25" t="s">
        <v>906</v>
      </c>
      <c r="B353" s="25"/>
      <c r="C353" s="25"/>
      <c r="D353" s="25"/>
      <c r="E353" s="217" t="s">
        <v>58</v>
      </c>
      <c r="F353" s="234"/>
      <c r="G353" s="83">
        <f>G354+G356+G359+G363+G367+G361</f>
        <v>5087531</v>
      </c>
      <c r="H353" s="83">
        <f>H354+H356+H359+H363+H367+H361</f>
        <v>0</v>
      </c>
      <c r="I353" s="83">
        <f>I354+I356+I359+I363+I367+I361</f>
        <v>5087531</v>
      </c>
      <c r="J353" s="144">
        <f>J354+J356+J359+J363+J367</f>
        <v>0</v>
      </c>
      <c r="K353" s="113"/>
      <c r="N353" s="158"/>
    </row>
    <row r="354" spans="1:14" s="104" customFormat="1" ht="15.75" customHeight="1" hidden="1">
      <c r="A354" s="313" t="s">
        <v>907</v>
      </c>
      <c r="B354" s="313" t="s">
        <v>1068</v>
      </c>
      <c r="C354" s="314" t="s">
        <v>559</v>
      </c>
      <c r="D354" s="314"/>
      <c r="E354" s="359" t="s">
        <v>560</v>
      </c>
      <c r="F354" s="234"/>
      <c r="G354" s="83">
        <f>G355</f>
        <v>0</v>
      </c>
      <c r="H354" s="83">
        <f>H355</f>
        <v>0</v>
      </c>
      <c r="I354" s="83">
        <f t="shared" si="10"/>
        <v>0</v>
      </c>
      <c r="J354" s="144">
        <f>J355</f>
        <v>0</v>
      </c>
      <c r="K354" s="113"/>
      <c r="N354" s="158"/>
    </row>
    <row r="355" spans="1:14" s="104" customFormat="1" ht="47.25" customHeight="1" hidden="1">
      <c r="A355" s="268" t="s">
        <v>908</v>
      </c>
      <c r="B355" s="268" t="s">
        <v>471</v>
      </c>
      <c r="C355" s="268" t="s">
        <v>165</v>
      </c>
      <c r="D355" s="268" t="s">
        <v>436</v>
      </c>
      <c r="E355" s="353" t="s">
        <v>909</v>
      </c>
      <c r="F355" s="402" t="s">
        <v>1222</v>
      </c>
      <c r="G355" s="75"/>
      <c r="H355" s="75"/>
      <c r="I355" s="75">
        <f t="shared" si="10"/>
        <v>0</v>
      </c>
      <c r="J355" s="241"/>
      <c r="K355" s="113"/>
      <c r="N355" s="158"/>
    </row>
    <row r="356" spans="1:14" s="104" customFormat="1" ht="15.75" customHeight="1" hidden="1">
      <c r="A356" s="313" t="s">
        <v>910</v>
      </c>
      <c r="B356" s="313" t="s">
        <v>1073</v>
      </c>
      <c r="C356" s="313" t="s">
        <v>572</v>
      </c>
      <c r="D356" s="313"/>
      <c r="E356" s="358" t="s">
        <v>694</v>
      </c>
      <c r="F356" s="228"/>
      <c r="G356" s="75">
        <f>G357+G358</f>
        <v>0</v>
      </c>
      <c r="H356" s="75">
        <f>H357+H358</f>
        <v>0</v>
      </c>
      <c r="I356" s="75">
        <f t="shared" si="10"/>
        <v>0</v>
      </c>
      <c r="J356" s="241">
        <f>J357+J358</f>
        <v>0</v>
      </c>
      <c r="K356" s="113"/>
      <c r="N356" s="158"/>
    </row>
    <row r="357" spans="1:14" s="104" customFormat="1" ht="66" customHeight="1" hidden="1">
      <c r="A357" s="268" t="s">
        <v>911</v>
      </c>
      <c r="B357" s="268" t="s">
        <v>1074</v>
      </c>
      <c r="C357" s="268" t="s">
        <v>84</v>
      </c>
      <c r="D357" s="268" t="s">
        <v>438</v>
      </c>
      <c r="E357" s="281" t="s">
        <v>575</v>
      </c>
      <c r="F357" s="292" t="s">
        <v>1185</v>
      </c>
      <c r="G357" s="310"/>
      <c r="H357" s="310"/>
      <c r="I357" s="310">
        <f t="shared" si="10"/>
        <v>0</v>
      </c>
      <c r="J357" s="246"/>
      <c r="K357" s="113"/>
      <c r="N357" s="158"/>
    </row>
    <row r="358" spans="1:14" s="104" customFormat="1" ht="68.25" customHeight="1" hidden="1">
      <c r="A358" s="268" t="s">
        <v>912</v>
      </c>
      <c r="B358" s="268" t="s">
        <v>1162</v>
      </c>
      <c r="C358" s="268" t="s">
        <v>99</v>
      </c>
      <c r="D358" s="268" t="s">
        <v>465</v>
      </c>
      <c r="E358" s="353" t="s">
        <v>808</v>
      </c>
      <c r="F358" s="292" t="s">
        <v>1185</v>
      </c>
      <c r="G358" s="310"/>
      <c r="H358" s="310"/>
      <c r="I358" s="310">
        <f t="shared" si="10"/>
        <v>0</v>
      </c>
      <c r="J358" s="246"/>
      <c r="K358" s="113"/>
      <c r="N358" s="158"/>
    </row>
    <row r="359" spans="1:14" s="104" customFormat="1" ht="15.75" customHeight="1" hidden="1">
      <c r="A359" s="313" t="s">
        <v>913</v>
      </c>
      <c r="B359" s="313" t="s">
        <v>1076</v>
      </c>
      <c r="C359" s="314" t="s">
        <v>569</v>
      </c>
      <c r="D359" s="314"/>
      <c r="E359" s="286" t="s">
        <v>570</v>
      </c>
      <c r="F359" s="228"/>
      <c r="G359" s="310">
        <f>G360</f>
        <v>0</v>
      </c>
      <c r="H359" s="310">
        <f>H360</f>
        <v>0</v>
      </c>
      <c r="I359" s="310">
        <f t="shared" si="10"/>
        <v>0</v>
      </c>
      <c r="J359" s="246">
        <f>J360</f>
        <v>0</v>
      </c>
      <c r="K359" s="113"/>
      <c r="N359" s="158"/>
    </row>
    <row r="360" spans="1:14" s="140" customFormat="1" ht="63" customHeight="1" hidden="1">
      <c r="A360" s="268" t="s">
        <v>914</v>
      </c>
      <c r="B360" s="268" t="s">
        <v>1077</v>
      </c>
      <c r="C360" s="268" t="s">
        <v>98</v>
      </c>
      <c r="D360" s="268" t="s">
        <v>438</v>
      </c>
      <c r="E360" s="281" t="s">
        <v>811</v>
      </c>
      <c r="F360" s="164" t="s">
        <v>473</v>
      </c>
      <c r="G360" s="310"/>
      <c r="H360" s="310"/>
      <c r="I360" s="310">
        <f t="shared" si="10"/>
        <v>0</v>
      </c>
      <c r="J360" s="246"/>
      <c r="K360" s="139"/>
      <c r="N360" s="141"/>
    </row>
    <row r="361" spans="1:14" s="140" customFormat="1" ht="15.75" customHeight="1" hidden="1">
      <c r="A361" s="313" t="s">
        <v>1200</v>
      </c>
      <c r="B361" s="313"/>
      <c r="C361" s="313" t="s">
        <v>206</v>
      </c>
      <c r="D361" s="313"/>
      <c r="E361" s="286" t="s">
        <v>207</v>
      </c>
      <c r="F361" s="395"/>
      <c r="G361" s="351">
        <f>G362</f>
        <v>4784670</v>
      </c>
      <c r="H361" s="351">
        <f>H362</f>
        <v>0</v>
      </c>
      <c r="I361" s="351">
        <f>I362</f>
        <v>4784670</v>
      </c>
      <c r="J361" s="246"/>
      <c r="K361" s="139"/>
      <c r="N361" s="141"/>
    </row>
    <row r="362" spans="1:14" s="140" customFormat="1" ht="31.5">
      <c r="A362" s="313" t="s">
        <v>1200</v>
      </c>
      <c r="B362" s="268" t="s">
        <v>1151</v>
      </c>
      <c r="C362" s="268" t="s">
        <v>206</v>
      </c>
      <c r="D362" s="268" t="s">
        <v>446</v>
      </c>
      <c r="E362" s="286" t="s">
        <v>207</v>
      </c>
      <c r="F362" s="402" t="s">
        <v>1222</v>
      </c>
      <c r="G362" s="310">
        <f>10000000-3000000-2215330</f>
        <v>4784670</v>
      </c>
      <c r="H362" s="310"/>
      <c r="I362" s="351">
        <f t="shared" si="10"/>
        <v>4784670</v>
      </c>
      <c r="J362" s="246"/>
      <c r="K362" s="139"/>
      <c r="N362" s="141"/>
    </row>
    <row r="363" spans="1:14" s="140" customFormat="1" ht="15.75" customHeight="1">
      <c r="A363" s="313" t="s">
        <v>915</v>
      </c>
      <c r="B363" s="313" t="s">
        <v>1078</v>
      </c>
      <c r="C363" s="313" t="s">
        <v>584</v>
      </c>
      <c r="D363" s="313"/>
      <c r="E363" s="286" t="s">
        <v>585</v>
      </c>
      <c r="F363" s="228"/>
      <c r="G363" s="351">
        <f>G364</f>
        <v>302861</v>
      </c>
      <c r="H363" s="351">
        <f>H364</f>
        <v>0</v>
      </c>
      <c r="I363" s="351">
        <f t="shared" si="10"/>
        <v>302861</v>
      </c>
      <c r="J363" s="246">
        <f>J364</f>
        <v>0</v>
      </c>
      <c r="K363" s="139"/>
      <c r="N363" s="141"/>
    </row>
    <row r="364" spans="1:14" s="140" customFormat="1" ht="15.75" customHeight="1" hidden="1">
      <c r="A364" s="316" t="s">
        <v>916</v>
      </c>
      <c r="B364" s="316" t="s">
        <v>1079</v>
      </c>
      <c r="C364" s="316" t="s">
        <v>77</v>
      </c>
      <c r="D364" s="316"/>
      <c r="E364" s="338" t="s">
        <v>92</v>
      </c>
      <c r="F364" s="228"/>
      <c r="G364" s="310">
        <f>G365+G366</f>
        <v>302861</v>
      </c>
      <c r="H364" s="310">
        <f>H365+H366</f>
        <v>0</v>
      </c>
      <c r="I364" s="310">
        <f t="shared" si="10"/>
        <v>302861</v>
      </c>
      <c r="J364" s="246">
        <f>J365+J366</f>
        <v>0</v>
      </c>
      <c r="K364" s="139"/>
      <c r="N364" s="141"/>
    </row>
    <row r="365" spans="1:14" s="140" customFormat="1" ht="67.5" customHeight="1">
      <c r="A365" s="316" t="s">
        <v>916</v>
      </c>
      <c r="B365" s="316" t="s">
        <v>1079</v>
      </c>
      <c r="C365" s="25" t="s">
        <v>77</v>
      </c>
      <c r="D365" s="349" t="s">
        <v>439</v>
      </c>
      <c r="E365" s="338" t="s">
        <v>92</v>
      </c>
      <c r="F365" s="402" t="s">
        <v>1236</v>
      </c>
      <c r="G365" s="310">
        <v>302861</v>
      </c>
      <c r="H365" s="310"/>
      <c r="I365" s="310">
        <f t="shared" si="10"/>
        <v>302861</v>
      </c>
      <c r="J365" s="246"/>
      <c r="K365" s="139"/>
      <c r="N365" s="141"/>
    </row>
    <row r="366" spans="1:14" s="140" customFormat="1" ht="78.75" customHeight="1" hidden="1">
      <c r="A366" s="25" t="s">
        <v>917</v>
      </c>
      <c r="B366" s="25" t="s">
        <v>1080</v>
      </c>
      <c r="C366" s="25" t="s">
        <v>77</v>
      </c>
      <c r="D366" s="370"/>
      <c r="E366" s="369"/>
      <c r="F366" s="228" t="s">
        <v>545</v>
      </c>
      <c r="G366" s="310"/>
      <c r="H366" s="310"/>
      <c r="I366" s="310">
        <f t="shared" si="10"/>
        <v>0</v>
      </c>
      <c r="J366" s="246"/>
      <c r="K366" s="139"/>
      <c r="N366" s="141"/>
    </row>
    <row r="367" spans="1:14" s="140" customFormat="1" ht="15.75" customHeight="1" hidden="1">
      <c r="A367" s="313" t="s">
        <v>918</v>
      </c>
      <c r="B367" s="313" t="s">
        <v>1084</v>
      </c>
      <c r="C367" s="313" t="s">
        <v>578</v>
      </c>
      <c r="D367" s="313"/>
      <c r="E367" s="355" t="s">
        <v>579</v>
      </c>
      <c r="F367" s="228"/>
      <c r="G367" s="310">
        <f>G368</f>
        <v>0</v>
      </c>
      <c r="H367" s="310">
        <f>H368</f>
        <v>0</v>
      </c>
      <c r="I367" s="310">
        <f t="shared" si="10"/>
        <v>0</v>
      </c>
      <c r="J367" s="246">
        <f>J368</f>
        <v>0</v>
      </c>
      <c r="K367" s="139"/>
      <c r="N367" s="141"/>
    </row>
    <row r="368" spans="1:14" s="140" customFormat="1" ht="63" hidden="1">
      <c r="A368" s="316" t="s">
        <v>919</v>
      </c>
      <c r="B368" s="316" t="s">
        <v>1085</v>
      </c>
      <c r="C368" s="337" t="s">
        <v>71</v>
      </c>
      <c r="D368" s="337"/>
      <c r="E368" s="338" t="s">
        <v>221</v>
      </c>
      <c r="F368" s="228"/>
      <c r="G368" s="310">
        <f>G369</f>
        <v>0</v>
      </c>
      <c r="H368" s="310">
        <f>H369</f>
        <v>0</v>
      </c>
      <c r="I368" s="310">
        <f t="shared" si="10"/>
        <v>0</v>
      </c>
      <c r="J368" s="246">
        <f>J369</f>
        <v>0</v>
      </c>
      <c r="K368" s="139"/>
      <c r="N368" s="141"/>
    </row>
    <row r="369" spans="1:14" s="140" customFormat="1" ht="66" customHeight="1" hidden="1">
      <c r="A369" s="25" t="s">
        <v>920</v>
      </c>
      <c r="B369" s="25" t="s">
        <v>1086</v>
      </c>
      <c r="C369" s="25" t="s">
        <v>71</v>
      </c>
      <c r="D369" s="25" t="s">
        <v>439</v>
      </c>
      <c r="E369" s="281" t="s">
        <v>582</v>
      </c>
      <c r="F369" s="404" t="s">
        <v>1226</v>
      </c>
      <c r="G369" s="310"/>
      <c r="H369" s="310"/>
      <c r="I369" s="310">
        <f t="shared" si="10"/>
        <v>0</v>
      </c>
      <c r="J369" s="246"/>
      <c r="K369" s="139"/>
      <c r="N369" s="141"/>
    </row>
    <row r="370" spans="1:14" s="104" customFormat="1" ht="46.5" customHeight="1">
      <c r="A370" s="102"/>
      <c r="B370" s="102" t="s">
        <v>152</v>
      </c>
      <c r="C370" s="102" t="s">
        <v>152</v>
      </c>
      <c r="D370" s="102"/>
      <c r="E370" s="103" t="s">
        <v>37</v>
      </c>
      <c r="F370" s="166"/>
      <c r="G370" s="83">
        <f>G371</f>
        <v>1030000</v>
      </c>
      <c r="H370" s="83">
        <f>H371</f>
        <v>0</v>
      </c>
      <c r="I370" s="83">
        <f t="shared" si="10"/>
        <v>1030000</v>
      </c>
      <c r="J370" s="144">
        <f>J371</f>
        <v>0</v>
      </c>
      <c r="K370" s="106"/>
      <c r="N370" s="158"/>
    </row>
    <row r="371" spans="1:14" s="104" customFormat="1" ht="36" customHeight="1">
      <c r="A371" s="25" t="s">
        <v>921</v>
      </c>
      <c r="B371" s="25"/>
      <c r="C371" s="25"/>
      <c r="D371" s="25"/>
      <c r="E371" s="217" t="s">
        <v>37</v>
      </c>
      <c r="F371" s="228"/>
      <c r="G371" s="83">
        <f>G372+G375</f>
        <v>1030000</v>
      </c>
      <c r="H371" s="83">
        <f>H372+H375</f>
        <v>0</v>
      </c>
      <c r="I371" s="83">
        <f t="shared" si="10"/>
        <v>1030000</v>
      </c>
      <c r="J371" s="144">
        <f>J372+J375</f>
        <v>0</v>
      </c>
      <c r="K371" s="106"/>
      <c r="N371" s="158"/>
    </row>
    <row r="372" spans="1:14" s="104" customFormat="1" ht="15.75" customHeight="1">
      <c r="A372" s="313" t="s">
        <v>922</v>
      </c>
      <c r="B372" s="313" t="s">
        <v>1068</v>
      </c>
      <c r="C372" s="314" t="s">
        <v>559</v>
      </c>
      <c r="D372" s="314"/>
      <c r="E372" s="286" t="s">
        <v>560</v>
      </c>
      <c r="F372" s="228"/>
      <c r="G372" s="83">
        <f>G373+G374</f>
        <v>1030000</v>
      </c>
      <c r="H372" s="83">
        <f>H373+H374</f>
        <v>0</v>
      </c>
      <c r="I372" s="83">
        <f t="shared" si="10"/>
        <v>1030000</v>
      </c>
      <c r="J372" s="144">
        <f>J373</f>
        <v>0</v>
      </c>
      <c r="K372" s="106"/>
      <c r="N372" s="158"/>
    </row>
    <row r="373" spans="1:14" s="104" customFormat="1" ht="46.5" customHeight="1">
      <c r="A373" s="265" t="s">
        <v>923</v>
      </c>
      <c r="B373" s="265" t="s">
        <v>471</v>
      </c>
      <c r="C373" s="434" t="s">
        <v>165</v>
      </c>
      <c r="D373" s="265" t="s">
        <v>436</v>
      </c>
      <c r="E373" s="282" t="s">
        <v>924</v>
      </c>
      <c r="F373" s="305" t="s">
        <v>502</v>
      </c>
      <c r="G373" s="373">
        <v>20000</v>
      </c>
      <c r="H373" s="373"/>
      <c r="I373" s="373">
        <f t="shared" si="10"/>
        <v>20000</v>
      </c>
      <c r="J373" s="247"/>
      <c r="K373" s="113"/>
      <c r="N373" s="158"/>
    </row>
    <row r="374" spans="1:14" s="104" customFormat="1" ht="46.5" customHeight="1">
      <c r="A374" s="265" t="s">
        <v>923</v>
      </c>
      <c r="B374" s="265" t="s">
        <v>471</v>
      </c>
      <c r="C374" s="435"/>
      <c r="D374" s="265" t="s">
        <v>436</v>
      </c>
      <c r="E374" s="282" t="s">
        <v>924</v>
      </c>
      <c r="F374" s="402" t="s">
        <v>1225</v>
      </c>
      <c r="G374" s="373">
        <v>1010000</v>
      </c>
      <c r="H374" s="373"/>
      <c r="I374" s="373">
        <f t="shared" si="10"/>
        <v>1010000</v>
      </c>
      <c r="J374" s="247"/>
      <c r="K374" s="113"/>
      <c r="N374" s="158"/>
    </row>
    <row r="375" spans="1:14" s="104" customFormat="1" ht="15.75" customHeight="1" hidden="1">
      <c r="A375" s="313" t="s">
        <v>925</v>
      </c>
      <c r="B375" s="313" t="s">
        <v>1078</v>
      </c>
      <c r="C375" s="313" t="s">
        <v>584</v>
      </c>
      <c r="D375" s="313"/>
      <c r="E375" s="286" t="s">
        <v>585</v>
      </c>
      <c r="F375" s="85"/>
      <c r="G375" s="83">
        <f>G376</f>
        <v>0</v>
      </c>
      <c r="H375" s="83">
        <f>H376</f>
        <v>0</v>
      </c>
      <c r="I375" s="83">
        <f t="shared" si="10"/>
        <v>0</v>
      </c>
      <c r="J375" s="241">
        <f>J376</f>
        <v>0</v>
      </c>
      <c r="K375" s="113"/>
      <c r="N375" s="158"/>
    </row>
    <row r="376" spans="1:14" s="104" customFormat="1" ht="15.75" customHeight="1" hidden="1">
      <c r="A376" s="316" t="s">
        <v>926</v>
      </c>
      <c r="B376" s="316" t="s">
        <v>1079</v>
      </c>
      <c r="C376" s="316" t="s">
        <v>77</v>
      </c>
      <c r="D376" s="316"/>
      <c r="E376" s="356" t="s">
        <v>92</v>
      </c>
      <c r="F376" s="223"/>
      <c r="G376" s="75">
        <f>G377</f>
        <v>0</v>
      </c>
      <c r="H376" s="75">
        <f>H377</f>
        <v>0</v>
      </c>
      <c r="I376" s="75">
        <f t="shared" si="10"/>
        <v>0</v>
      </c>
      <c r="J376" s="241">
        <f>J377</f>
        <v>0</v>
      </c>
      <c r="K376" s="113"/>
      <c r="N376" s="158"/>
    </row>
    <row r="377" spans="1:14" s="104" customFormat="1" ht="76.5" customHeight="1" hidden="1">
      <c r="A377" s="25" t="s">
        <v>927</v>
      </c>
      <c r="B377" s="25" t="s">
        <v>1083</v>
      </c>
      <c r="C377" s="25" t="s">
        <v>77</v>
      </c>
      <c r="D377" s="25" t="s">
        <v>439</v>
      </c>
      <c r="E377" s="281" t="s">
        <v>1182</v>
      </c>
      <c r="F377" s="305" t="s">
        <v>1191</v>
      </c>
      <c r="G377" s="373"/>
      <c r="H377" s="373"/>
      <c r="I377" s="373">
        <f t="shared" si="10"/>
        <v>0</v>
      </c>
      <c r="J377" s="247"/>
      <c r="K377" s="113"/>
      <c r="N377" s="158"/>
    </row>
    <row r="378" spans="1:14" s="104" customFormat="1" ht="47.25" customHeight="1" hidden="1">
      <c r="A378" s="102"/>
      <c r="B378" s="102" t="s">
        <v>193</v>
      </c>
      <c r="C378" s="102" t="s">
        <v>193</v>
      </c>
      <c r="D378" s="102"/>
      <c r="E378" s="103" t="s">
        <v>37</v>
      </c>
      <c r="F378" s="166"/>
      <c r="G378" s="83">
        <f>G379</f>
        <v>0</v>
      </c>
      <c r="H378" s="83">
        <f>H379</f>
        <v>0</v>
      </c>
      <c r="I378" s="83">
        <f t="shared" si="10"/>
        <v>0</v>
      </c>
      <c r="J378" s="144">
        <f>J379</f>
        <v>0</v>
      </c>
      <c r="K378" s="113"/>
      <c r="N378" s="158"/>
    </row>
    <row r="379" spans="1:14" s="104" customFormat="1" ht="25.5" customHeight="1" hidden="1">
      <c r="A379" s="25" t="s">
        <v>928</v>
      </c>
      <c r="B379" s="25"/>
      <c r="C379" s="25"/>
      <c r="D379" s="25"/>
      <c r="E379" s="354" t="s">
        <v>37</v>
      </c>
      <c r="F379" s="229"/>
      <c r="G379" s="83">
        <f>G380</f>
        <v>0</v>
      </c>
      <c r="H379" s="83">
        <f>H380</f>
        <v>0</v>
      </c>
      <c r="I379" s="83">
        <f t="shared" si="10"/>
        <v>0</v>
      </c>
      <c r="J379" s="144">
        <f>J380</f>
        <v>0</v>
      </c>
      <c r="K379" s="113"/>
      <c r="N379" s="158"/>
    </row>
    <row r="380" spans="1:14" s="104" customFormat="1" ht="15.75" customHeight="1" hidden="1">
      <c r="A380" s="313" t="s">
        <v>929</v>
      </c>
      <c r="B380" s="313" t="s">
        <v>1078</v>
      </c>
      <c r="C380" s="314" t="s">
        <v>584</v>
      </c>
      <c r="D380" s="314"/>
      <c r="E380" s="358" t="s">
        <v>585</v>
      </c>
      <c r="F380" s="229"/>
      <c r="G380" s="83">
        <f>G381+G382</f>
        <v>0</v>
      </c>
      <c r="H380" s="83">
        <f>H381+H382</f>
        <v>0</v>
      </c>
      <c r="I380" s="83">
        <f t="shared" si="10"/>
        <v>0</v>
      </c>
      <c r="J380" s="144">
        <f>J381+J382</f>
        <v>0</v>
      </c>
      <c r="K380" s="113"/>
      <c r="N380" s="158"/>
    </row>
    <row r="381" spans="1:14" s="104" customFormat="1" ht="99.75" customHeight="1" hidden="1">
      <c r="A381" s="25" t="s">
        <v>930</v>
      </c>
      <c r="B381" s="25" t="s">
        <v>1176</v>
      </c>
      <c r="C381" s="268" t="s">
        <v>101</v>
      </c>
      <c r="D381" s="268" t="s">
        <v>471</v>
      </c>
      <c r="E381" s="281" t="s">
        <v>931</v>
      </c>
      <c r="F381" s="85" t="s">
        <v>544</v>
      </c>
      <c r="G381" s="75"/>
      <c r="H381" s="75"/>
      <c r="I381" s="75">
        <f t="shared" si="10"/>
        <v>0</v>
      </c>
      <c r="J381" s="241"/>
      <c r="K381" s="106"/>
      <c r="N381" s="158"/>
    </row>
    <row r="382" spans="1:14" s="161" customFormat="1" ht="51.75" customHeight="1" hidden="1">
      <c r="A382" s="268" t="s">
        <v>932</v>
      </c>
      <c r="B382" s="268" t="s">
        <v>1177</v>
      </c>
      <c r="C382" s="268" t="s">
        <v>933</v>
      </c>
      <c r="D382" s="268" t="s">
        <v>471</v>
      </c>
      <c r="E382" s="281" t="s">
        <v>289</v>
      </c>
      <c r="F382" s="407" t="s">
        <v>1238</v>
      </c>
      <c r="G382" s="379"/>
      <c r="H382" s="379"/>
      <c r="I382" s="379">
        <f t="shared" si="10"/>
        <v>0</v>
      </c>
      <c r="J382" s="257"/>
      <c r="K382" s="160"/>
      <c r="N382" s="162"/>
    </row>
    <row r="383" spans="1:14" s="104" customFormat="1" ht="31.5" customHeight="1">
      <c r="A383" s="98"/>
      <c r="B383" s="98"/>
      <c r="C383" s="98" t="s">
        <v>134</v>
      </c>
      <c r="D383" s="98"/>
      <c r="E383" s="99" t="s">
        <v>504</v>
      </c>
      <c r="F383" s="166"/>
      <c r="G383" s="83">
        <f>G384</f>
        <v>10203868</v>
      </c>
      <c r="H383" s="83">
        <f>H384</f>
        <v>20000</v>
      </c>
      <c r="I383" s="83">
        <f t="shared" si="10"/>
        <v>10223868</v>
      </c>
      <c r="J383" s="144">
        <f>J384</f>
        <v>0</v>
      </c>
      <c r="K383" s="113"/>
      <c r="N383" s="158"/>
    </row>
    <row r="384" spans="1:14" s="104" customFormat="1" ht="30" customHeight="1">
      <c r="A384" s="25" t="s">
        <v>934</v>
      </c>
      <c r="B384" s="25"/>
      <c r="C384" s="25"/>
      <c r="D384" s="25"/>
      <c r="E384" s="217" t="s">
        <v>504</v>
      </c>
      <c r="F384" s="230"/>
      <c r="G384" s="83">
        <f>G385+G388+G393+G395+G402</f>
        <v>10203868</v>
      </c>
      <c r="H384" s="83">
        <f>H385+H388+H393+H395+H402</f>
        <v>20000</v>
      </c>
      <c r="I384" s="83">
        <f t="shared" si="10"/>
        <v>10223868</v>
      </c>
      <c r="J384" s="144">
        <f>J385+J388+J393+J395+J402</f>
        <v>0</v>
      </c>
      <c r="K384" s="113"/>
      <c r="N384" s="158"/>
    </row>
    <row r="385" spans="1:14" s="104" customFormat="1" ht="15.75" customHeight="1">
      <c r="A385" s="314" t="s">
        <v>935</v>
      </c>
      <c r="B385" s="314" t="s">
        <v>1068</v>
      </c>
      <c r="C385" s="314" t="s">
        <v>559</v>
      </c>
      <c r="D385" s="314"/>
      <c r="E385" s="285" t="s">
        <v>560</v>
      </c>
      <c r="F385" s="230"/>
      <c r="G385" s="83">
        <f>G386+G387</f>
        <v>2121747</v>
      </c>
      <c r="H385" s="83">
        <f>H386+H387</f>
        <v>0</v>
      </c>
      <c r="I385" s="83">
        <f t="shared" si="10"/>
        <v>2121747</v>
      </c>
      <c r="J385" s="144">
        <f>J386</f>
        <v>0</v>
      </c>
      <c r="K385" s="113"/>
      <c r="N385" s="158"/>
    </row>
    <row r="386" spans="1:14" s="104" customFormat="1" ht="65.25" customHeight="1" hidden="1">
      <c r="A386" s="25" t="s">
        <v>936</v>
      </c>
      <c r="B386" s="25" t="s">
        <v>471</v>
      </c>
      <c r="C386" s="25" t="s">
        <v>165</v>
      </c>
      <c r="D386" s="25" t="s">
        <v>436</v>
      </c>
      <c r="E386" s="353" t="s">
        <v>937</v>
      </c>
      <c r="F386" s="402" t="s">
        <v>1222</v>
      </c>
      <c r="G386" s="75"/>
      <c r="H386" s="75"/>
      <c r="I386" s="75">
        <f t="shared" si="10"/>
        <v>0</v>
      </c>
      <c r="J386" s="241"/>
      <c r="K386" s="113"/>
      <c r="N386" s="158"/>
    </row>
    <row r="387" spans="1:14" s="104" customFormat="1" ht="65.25" customHeight="1">
      <c r="A387" s="25" t="s">
        <v>936</v>
      </c>
      <c r="B387" s="342" t="s">
        <v>471</v>
      </c>
      <c r="C387" s="290" t="s">
        <v>165</v>
      </c>
      <c r="D387" s="342" t="s">
        <v>436</v>
      </c>
      <c r="E387" s="211" t="s">
        <v>1190</v>
      </c>
      <c r="F387" s="404" t="s">
        <v>1225</v>
      </c>
      <c r="G387" s="75">
        <v>2121747</v>
      </c>
      <c r="H387" s="75"/>
      <c r="I387" s="75">
        <f t="shared" si="10"/>
        <v>2121747</v>
      </c>
      <c r="J387" s="241"/>
      <c r="K387" s="113"/>
      <c r="N387" s="158"/>
    </row>
    <row r="388" spans="1:14" s="104" customFormat="1" ht="15.75" customHeight="1">
      <c r="A388" s="314" t="s">
        <v>938</v>
      </c>
      <c r="B388" s="314" t="s">
        <v>1154</v>
      </c>
      <c r="C388" s="313" t="s">
        <v>791</v>
      </c>
      <c r="D388" s="313"/>
      <c r="E388" s="286" t="s">
        <v>792</v>
      </c>
      <c r="F388" s="230"/>
      <c r="G388" s="83">
        <f>G389+G390+G391+G392</f>
        <v>7719630</v>
      </c>
      <c r="H388" s="83">
        <f>H389+H390+H391+H392</f>
        <v>20000</v>
      </c>
      <c r="I388" s="83">
        <f t="shared" si="10"/>
        <v>7739630</v>
      </c>
      <c r="J388" s="241">
        <f>J389+J390+J391+J392</f>
        <v>0</v>
      </c>
      <c r="K388" s="113"/>
      <c r="N388" s="158"/>
    </row>
    <row r="389" spans="1:14" s="104" customFormat="1" ht="47.25" customHeight="1">
      <c r="A389" s="346" t="s">
        <v>939</v>
      </c>
      <c r="B389" s="346" t="s">
        <v>1155</v>
      </c>
      <c r="C389" s="332" t="s">
        <v>216</v>
      </c>
      <c r="D389" s="455" t="s">
        <v>464</v>
      </c>
      <c r="E389" s="333" t="s">
        <v>794</v>
      </c>
      <c r="F389" s="402" t="s">
        <v>1236</v>
      </c>
      <c r="G389" s="75">
        <v>4105154</v>
      </c>
      <c r="H389" s="75"/>
      <c r="I389" s="75">
        <f t="shared" si="10"/>
        <v>4105154</v>
      </c>
      <c r="J389" s="241"/>
      <c r="K389" s="113"/>
      <c r="N389" s="158"/>
    </row>
    <row r="390" spans="1:14" s="104" customFormat="1" ht="47.25" hidden="1">
      <c r="A390" s="346" t="s">
        <v>939</v>
      </c>
      <c r="B390" s="346" t="s">
        <v>1155</v>
      </c>
      <c r="C390" s="332" t="s">
        <v>216</v>
      </c>
      <c r="D390" s="456"/>
      <c r="E390" s="333" t="s">
        <v>794</v>
      </c>
      <c r="F390" s="100" t="s">
        <v>1231</v>
      </c>
      <c r="G390" s="75"/>
      <c r="H390" s="75"/>
      <c r="I390" s="75">
        <f t="shared" si="10"/>
        <v>0</v>
      </c>
      <c r="J390" s="241"/>
      <c r="K390" s="113"/>
      <c r="N390" s="158"/>
    </row>
    <row r="391" spans="1:15" s="104" customFormat="1" ht="52.5" customHeight="1">
      <c r="A391" s="346" t="s">
        <v>940</v>
      </c>
      <c r="B391" s="346" t="s">
        <v>1163</v>
      </c>
      <c r="C391" s="332" t="s">
        <v>94</v>
      </c>
      <c r="D391" s="455" t="s">
        <v>465</v>
      </c>
      <c r="E391" s="333" t="s">
        <v>95</v>
      </c>
      <c r="F391" s="407" t="s">
        <v>1238</v>
      </c>
      <c r="G391" s="75">
        <v>3614476</v>
      </c>
      <c r="H391" s="75">
        <v>20000</v>
      </c>
      <c r="I391" s="75">
        <f t="shared" si="10"/>
        <v>3634476</v>
      </c>
      <c r="J391" s="241"/>
      <c r="K391" s="106"/>
      <c r="N391" s="114"/>
      <c r="O391" s="115"/>
    </row>
    <row r="392" spans="1:15" s="104" customFormat="1" ht="52.5" customHeight="1" hidden="1">
      <c r="A392" s="346" t="s">
        <v>940</v>
      </c>
      <c r="B392" s="346" t="s">
        <v>1163</v>
      </c>
      <c r="C392" s="332" t="s">
        <v>94</v>
      </c>
      <c r="D392" s="456"/>
      <c r="E392" s="333" t="s">
        <v>95</v>
      </c>
      <c r="F392" s="100" t="s">
        <v>1231</v>
      </c>
      <c r="G392" s="75"/>
      <c r="H392" s="75"/>
      <c r="I392" s="75">
        <f t="shared" si="10"/>
        <v>0</v>
      </c>
      <c r="J392" s="241"/>
      <c r="K392" s="106"/>
      <c r="N392" s="114"/>
      <c r="O392" s="115"/>
    </row>
    <row r="393" spans="1:15" s="104" customFormat="1" ht="15.75" customHeight="1" hidden="1">
      <c r="A393" s="313" t="s">
        <v>941</v>
      </c>
      <c r="B393" s="313" t="s">
        <v>1073</v>
      </c>
      <c r="C393" s="314" t="s">
        <v>572</v>
      </c>
      <c r="D393" s="314"/>
      <c r="E393" s="359" t="s">
        <v>694</v>
      </c>
      <c r="F393" s="220"/>
      <c r="G393" s="75">
        <f>G394</f>
        <v>0</v>
      </c>
      <c r="H393" s="75">
        <f>H394</f>
        <v>0</v>
      </c>
      <c r="I393" s="75">
        <f t="shared" si="10"/>
        <v>0</v>
      </c>
      <c r="J393" s="241">
        <f>J394</f>
        <v>0</v>
      </c>
      <c r="K393" s="106"/>
      <c r="N393" s="114"/>
      <c r="O393" s="115"/>
    </row>
    <row r="394" spans="1:15" s="104" customFormat="1" ht="52.5" customHeight="1" hidden="1">
      <c r="A394" s="268" t="s">
        <v>942</v>
      </c>
      <c r="B394" s="268" t="s">
        <v>1074</v>
      </c>
      <c r="C394" s="268" t="s">
        <v>84</v>
      </c>
      <c r="D394" s="268" t="s">
        <v>438</v>
      </c>
      <c r="E394" s="353" t="s">
        <v>575</v>
      </c>
      <c r="F394" s="407" t="s">
        <v>1238</v>
      </c>
      <c r="G394" s="75"/>
      <c r="H394" s="75"/>
      <c r="I394" s="75">
        <f t="shared" si="10"/>
        <v>0</v>
      </c>
      <c r="J394" s="241"/>
      <c r="K394" s="106"/>
      <c r="N394" s="114"/>
      <c r="O394" s="115"/>
    </row>
    <row r="395" spans="1:15" s="104" customFormat="1" ht="15.75" customHeight="1">
      <c r="A395" s="314" t="s">
        <v>943</v>
      </c>
      <c r="B395" s="314" t="s">
        <v>1078</v>
      </c>
      <c r="C395" s="314" t="s">
        <v>584</v>
      </c>
      <c r="D395" s="314"/>
      <c r="E395" s="286" t="s">
        <v>585</v>
      </c>
      <c r="F395" s="230"/>
      <c r="G395" s="83">
        <f>G396</f>
        <v>362491</v>
      </c>
      <c r="H395" s="83">
        <f>H396</f>
        <v>0</v>
      </c>
      <c r="I395" s="83">
        <f t="shared" si="10"/>
        <v>362491</v>
      </c>
      <c r="J395" s="241">
        <f>J396</f>
        <v>0</v>
      </c>
      <c r="K395" s="106"/>
      <c r="N395" s="114"/>
      <c r="O395" s="115"/>
    </row>
    <row r="396" spans="1:15" s="104" customFormat="1" ht="15.75" customHeight="1" hidden="1">
      <c r="A396" s="337" t="s">
        <v>944</v>
      </c>
      <c r="B396" s="337" t="s">
        <v>1079</v>
      </c>
      <c r="C396" s="337" t="s">
        <v>77</v>
      </c>
      <c r="D396" s="337"/>
      <c r="E396" s="356" t="s">
        <v>92</v>
      </c>
      <c r="F396" s="230"/>
      <c r="G396" s="75">
        <f>G397+G398+G399+G400+G401</f>
        <v>362491</v>
      </c>
      <c r="H396" s="75">
        <f>H397+H398+H399+H400+H401</f>
        <v>0</v>
      </c>
      <c r="I396" s="75">
        <f t="shared" si="10"/>
        <v>362491</v>
      </c>
      <c r="J396" s="241">
        <f>J397+J398+J399+J400+J401</f>
        <v>0</v>
      </c>
      <c r="K396" s="106"/>
      <c r="N396" s="114"/>
      <c r="O396" s="115"/>
    </row>
    <row r="397" spans="1:15" s="104" customFormat="1" ht="51.75" customHeight="1">
      <c r="A397" s="337" t="s">
        <v>944</v>
      </c>
      <c r="B397" s="337" t="s">
        <v>1079</v>
      </c>
      <c r="C397" s="25" t="s">
        <v>77</v>
      </c>
      <c r="D397" s="268" t="s">
        <v>439</v>
      </c>
      <c r="E397" s="356" t="s">
        <v>92</v>
      </c>
      <c r="F397" s="406" t="s">
        <v>1241</v>
      </c>
      <c r="G397" s="75">
        <v>256309</v>
      </c>
      <c r="H397" s="75"/>
      <c r="I397" s="75">
        <f t="shared" si="10"/>
        <v>256309</v>
      </c>
      <c r="J397" s="241"/>
      <c r="K397" s="106"/>
      <c r="N397" s="114"/>
      <c r="O397" s="115"/>
    </row>
    <row r="398" spans="1:15" s="104" customFormat="1" ht="47.25" customHeight="1" hidden="1">
      <c r="A398" s="337" t="s">
        <v>944</v>
      </c>
      <c r="B398" s="337" t="s">
        <v>1079</v>
      </c>
      <c r="C398" s="265" t="s">
        <v>77</v>
      </c>
      <c r="D398" s="268" t="s">
        <v>439</v>
      </c>
      <c r="E398" s="356" t="s">
        <v>92</v>
      </c>
      <c r="F398" s="292" t="s">
        <v>1185</v>
      </c>
      <c r="G398" s="75"/>
      <c r="H398" s="75"/>
      <c r="I398" s="75">
        <f t="shared" si="10"/>
        <v>0</v>
      </c>
      <c r="J398" s="241"/>
      <c r="K398" s="106"/>
      <c r="N398" s="114"/>
      <c r="O398" s="115"/>
    </row>
    <row r="399" spans="1:15" s="104" customFormat="1" ht="47.25" customHeight="1">
      <c r="A399" s="337" t="s">
        <v>944</v>
      </c>
      <c r="B399" s="337" t="s">
        <v>1079</v>
      </c>
      <c r="C399" s="265" t="s">
        <v>77</v>
      </c>
      <c r="D399" s="268" t="s">
        <v>439</v>
      </c>
      <c r="E399" s="356" t="s">
        <v>92</v>
      </c>
      <c r="F399" s="406" t="s">
        <v>1242</v>
      </c>
      <c r="G399" s="75">
        <v>44235</v>
      </c>
      <c r="H399" s="75"/>
      <c r="I399" s="75">
        <f t="shared" si="10"/>
        <v>44235</v>
      </c>
      <c r="J399" s="241"/>
      <c r="K399" s="106"/>
      <c r="N399" s="114"/>
      <c r="O399" s="115"/>
    </row>
    <row r="400" spans="1:15" s="104" customFormat="1" ht="63" customHeight="1">
      <c r="A400" s="337" t="s">
        <v>944</v>
      </c>
      <c r="B400" s="337" t="s">
        <v>1079</v>
      </c>
      <c r="C400" s="268" t="s">
        <v>77</v>
      </c>
      <c r="D400" s="268" t="s">
        <v>439</v>
      </c>
      <c r="E400" s="356" t="s">
        <v>92</v>
      </c>
      <c r="F400" s="403" t="s">
        <v>1223</v>
      </c>
      <c r="G400" s="75">
        <v>50000</v>
      </c>
      <c r="H400" s="75"/>
      <c r="I400" s="75">
        <f t="shared" si="10"/>
        <v>50000</v>
      </c>
      <c r="J400" s="241"/>
      <c r="K400" s="106"/>
      <c r="N400" s="114"/>
      <c r="O400" s="115"/>
    </row>
    <row r="401" spans="1:15" s="104" customFormat="1" ht="56.25" customHeight="1">
      <c r="A401" s="337" t="s">
        <v>944</v>
      </c>
      <c r="B401" s="337" t="s">
        <v>1079</v>
      </c>
      <c r="C401" s="268" t="s">
        <v>77</v>
      </c>
      <c r="D401" s="268" t="s">
        <v>439</v>
      </c>
      <c r="E401" s="356" t="s">
        <v>92</v>
      </c>
      <c r="F401" s="406" t="s">
        <v>1243</v>
      </c>
      <c r="G401" s="75">
        <v>11947</v>
      </c>
      <c r="H401" s="75"/>
      <c r="I401" s="75">
        <f t="shared" si="10"/>
        <v>11947</v>
      </c>
      <c r="J401" s="241"/>
      <c r="K401" s="106"/>
      <c r="N401" s="114"/>
      <c r="O401" s="115"/>
    </row>
    <row r="402" spans="1:15" s="104" customFormat="1" ht="15.75" customHeight="1" hidden="1">
      <c r="A402" s="313" t="s">
        <v>1024</v>
      </c>
      <c r="B402" s="313" t="s">
        <v>1084</v>
      </c>
      <c r="C402" s="313" t="s">
        <v>578</v>
      </c>
      <c r="D402" s="313"/>
      <c r="E402" s="357" t="s">
        <v>579</v>
      </c>
      <c r="F402" s="229"/>
      <c r="G402" s="75">
        <f>G403</f>
        <v>0</v>
      </c>
      <c r="H402" s="75">
        <f>H403</f>
        <v>0</v>
      </c>
      <c r="I402" s="75">
        <f t="shared" si="10"/>
        <v>0</v>
      </c>
      <c r="J402" s="241">
        <f>J403</f>
        <v>0</v>
      </c>
      <c r="K402" s="106"/>
      <c r="N402" s="114"/>
      <c r="O402" s="115"/>
    </row>
    <row r="403" spans="1:15" s="104" customFormat="1" ht="60" customHeight="1" hidden="1">
      <c r="A403" s="315" t="s">
        <v>1025</v>
      </c>
      <c r="B403" s="315" t="s">
        <v>1085</v>
      </c>
      <c r="C403" s="318" t="s">
        <v>71</v>
      </c>
      <c r="D403" s="318"/>
      <c r="E403" s="361" t="s">
        <v>221</v>
      </c>
      <c r="F403" s="229"/>
      <c r="G403" s="75">
        <f>G404</f>
        <v>0</v>
      </c>
      <c r="H403" s="75">
        <f>H404</f>
        <v>0</v>
      </c>
      <c r="I403" s="75">
        <f t="shared" si="10"/>
        <v>0</v>
      </c>
      <c r="J403" s="241">
        <f>J404</f>
        <v>0</v>
      </c>
      <c r="K403" s="106"/>
      <c r="N403" s="114"/>
      <c r="O403" s="115"/>
    </row>
    <row r="404" spans="1:14" s="104" customFormat="1" ht="47.25" customHeight="1" hidden="1">
      <c r="A404" s="25" t="s">
        <v>1026</v>
      </c>
      <c r="B404" s="25" t="s">
        <v>1086</v>
      </c>
      <c r="C404" s="25" t="s">
        <v>71</v>
      </c>
      <c r="D404" s="25"/>
      <c r="E404" s="281" t="s">
        <v>582</v>
      </c>
      <c r="F404" s="404" t="s">
        <v>1226</v>
      </c>
      <c r="G404" s="75"/>
      <c r="H404" s="75"/>
      <c r="I404" s="75">
        <f t="shared" si="10"/>
        <v>0</v>
      </c>
      <c r="J404" s="241"/>
      <c r="K404" s="106"/>
      <c r="N404" s="158"/>
    </row>
    <row r="405" spans="1:14" s="104" customFormat="1" ht="31.5" customHeight="1">
      <c r="A405" s="98"/>
      <c r="B405" s="98" t="s">
        <v>135</v>
      </c>
      <c r="C405" s="98" t="s">
        <v>135</v>
      </c>
      <c r="D405" s="98"/>
      <c r="E405" s="99" t="s">
        <v>43</v>
      </c>
      <c r="F405" s="166"/>
      <c r="G405" s="83">
        <f>G406</f>
        <v>5640633</v>
      </c>
      <c r="H405" s="83">
        <f>H406</f>
        <v>6094830</v>
      </c>
      <c r="I405" s="83">
        <f t="shared" si="10"/>
        <v>11735463</v>
      </c>
      <c r="J405" s="144">
        <f>J406</f>
        <v>94830</v>
      </c>
      <c r="K405" s="113"/>
      <c r="N405" s="158"/>
    </row>
    <row r="406" spans="1:14" s="104" customFormat="1" ht="31.5">
      <c r="A406" s="18" t="s">
        <v>946</v>
      </c>
      <c r="B406" s="18"/>
      <c r="C406" s="18"/>
      <c r="D406" s="18"/>
      <c r="E406" s="217" t="s">
        <v>43</v>
      </c>
      <c r="F406" s="230"/>
      <c r="G406" s="83">
        <f>G407+G410+G415+G417+G424</f>
        <v>5640633</v>
      </c>
      <c r="H406" s="83">
        <f>H407+H410+H415+H417+H424</f>
        <v>6094830</v>
      </c>
      <c r="I406" s="83">
        <f t="shared" si="10"/>
        <v>11735463</v>
      </c>
      <c r="J406" s="144">
        <f>J407+J410+J415+J417+J424</f>
        <v>94830</v>
      </c>
      <c r="K406" s="113"/>
      <c r="N406" s="158"/>
    </row>
    <row r="407" spans="1:14" s="104" customFormat="1" ht="15.75" customHeight="1">
      <c r="A407" s="313" t="s">
        <v>947</v>
      </c>
      <c r="B407" s="313" t="s">
        <v>1068</v>
      </c>
      <c r="C407" s="319" t="s">
        <v>791</v>
      </c>
      <c r="D407" s="319"/>
      <c r="E407" s="285" t="s">
        <v>560</v>
      </c>
      <c r="F407" s="230"/>
      <c r="G407" s="83">
        <f>G408+G409</f>
        <v>1196568</v>
      </c>
      <c r="H407" s="83">
        <f>H408+H409</f>
        <v>0</v>
      </c>
      <c r="I407" s="83">
        <f>I408+I409</f>
        <v>1196568</v>
      </c>
      <c r="J407" s="144">
        <f>J408</f>
        <v>0</v>
      </c>
      <c r="K407" s="113"/>
      <c r="N407" s="158"/>
    </row>
    <row r="408" spans="1:14" s="140" customFormat="1" ht="60" customHeight="1" hidden="1">
      <c r="A408" s="268" t="s">
        <v>948</v>
      </c>
      <c r="B408" s="268" t="s">
        <v>471</v>
      </c>
      <c r="C408" s="320" t="s">
        <v>165</v>
      </c>
      <c r="D408" s="268" t="s">
        <v>436</v>
      </c>
      <c r="E408" s="353" t="s">
        <v>937</v>
      </c>
      <c r="F408" s="402" t="s">
        <v>1222</v>
      </c>
      <c r="G408" s="75"/>
      <c r="H408" s="75"/>
      <c r="I408" s="75">
        <f t="shared" si="10"/>
        <v>0</v>
      </c>
      <c r="J408" s="241"/>
      <c r="K408" s="139"/>
      <c r="N408" s="141"/>
    </row>
    <row r="409" spans="1:14" s="140" customFormat="1" ht="60" customHeight="1">
      <c r="A409" s="268"/>
      <c r="B409" s="342" t="s">
        <v>471</v>
      </c>
      <c r="C409" s="290" t="s">
        <v>165</v>
      </c>
      <c r="D409" s="342" t="s">
        <v>436</v>
      </c>
      <c r="E409" s="353" t="s">
        <v>937</v>
      </c>
      <c r="F409" s="404" t="s">
        <v>1225</v>
      </c>
      <c r="G409" s="75">
        <v>1196568</v>
      </c>
      <c r="H409" s="75"/>
      <c r="I409" s="75">
        <f t="shared" si="10"/>
        <v>1196568</v>
      </c>
      <c r="J409" s="241"/>
      <c r="K409" s="139"/>
      <c r="N409" s="141"/>
    </row>
    <row r="410" spans="1:14" s="140" customFormat="1" ht="15.75" customHeight="1">
      <c r="A410" s="314" t="s">
        <v>949</v>
      </c>
      <c r="B410" s="314" t="s">
        <v>1154</v>
      </c>
      <c r="C410" s="313" t="s">
        <v>791</v>
      </c>
      <c r="D410" s="313"/>
      <c r="E410" s="286" t="s">
        <v>792</v>
      </c>
      <c r="F410" s="230"/>
      <c r="G410" s="83">
        <f>G411+G413+G414+G412</f>
        <v>4280508</v>
      </c>
      <c r="H410" s="83">
        <f>H411+H413+H414+H412</f>
        <v>94830</v>
      </c>
      <c r="I410" s="83">
        <f>G410+H410</f>
        <v>4375338</v>
      </c>
      <c r="J410" s="241">
        <f>J411+J413+J414</f>
        <v>94830</v>
      </c>
      <c r="K410" s="139"/>
      <c r="N410" s="141"/>
    </row>
    <row r="411" spans="1:14" s="140" customFormat="1" ht="45.75" customHeight="1">
      <c r="A411" s="316" t="s">
        <v>950</v>
      </c>
      <c r="B411" s="316" t="s">
        <v>1155</v>
      </c>
      <c r="C411" s="316" t="s">
        <v>216</v>
      </c>
      <c r="D411" s="316" t="s">
        <v>464</v>
      </c>
      <c r="E411" s="338" t="s">
        <v>794</v>
      </c>
      <c r="F411" s="402" t="s">
        <v>1236</v>
      </c>
      <c r="G411" s="75">
        <v>2749802</v>
      </c>
      <c r="H411" s="75"/>
      <c r="I411" s="75">
        <f t="shared" si="10"/>
        <v>2749802</v>
      </c>
      <c r="J411" s="241"/>
      <c r="K411" s="139"/>
      <c r="N411" s="141"/>
    </row>
    <row r="412" spans="1:14" s="140" customFormat="1" ht="45.75" customHeight="1">
      <c r="A412" s="316" t="s">
        <v>950</v>
      </c>
      <c r="B412" s="316" t="s">
        <v>1155</v>
      </c>
      <c r="C412" s="316" t="s">
        <v>216</v>
      </c>
      <c r="D412" s="316" t="s">
        <v>464</v>
      </c>
      <c r="E412" s="338" t="s">
        <v>794</v>
      </c>
      <c r="F412" s="100" t="s">
        <v>1231</v>
      </c>
      <c r="G412" s="378">
        <v>200000</v>
      </c>
      <c r="H412" s="378"/>
      <c r="I412" s="75">
        <f t="shared" si="10"/>
        <v>200000</v>
      </c>
      <c r="J412" s="241"/>
      <c r="K412" s="139"/>
      <c r="N412" s="141"/>
    </row>
    <row r="413" spans="1:15" s="104" customFormat="1" ht="51" customHeight="1">
      <c r="A413" s="283" t="s">
        <v>951</v>
      </c>
      <c r="B413" s="283" t="s">
        <v>1163</v>
      </c>
      <c r="C413" s="283" t="s">
        <v>94</v>
      </c>
      <c r="D413" s="445" t="s">
        <v>465</v>
      </c>
      <c r="E413" s="284" t="s">
        <v>95</v>
      </c>
      <c r="F413" s="407" t="s">
        <v>1238</v>
      </c>
      <c r="G413" s="378">
        <v>1330706</v>
      </c>
      <c r="H413" s="378">
        <v>94830</v>
      </c>
      <c r="I413" s="378">
        <f t="shared" si="10"/>
        <v>1425536</v>
      </c>
      <c r="J413" s="241">
        <v>94830</v>
      </c>
      <c r="K413" s="113"/>
      <c r="N413" s="114"/>
      <c r="O413" s="115"/>
    </row>
    <row r="414" spans="1:15" s="104" customFormat="1" ht="51" customHeight="1" hidden="1">
      <c r="A414" s="283" t="s">
        <v>951</v>
      </c>
      <c r="B414" s="283" t="s">
        <v>1163</v>
      </c>
      <c r="C414" s="283" t="s">
        <v>1028</v>
      </c>
      <c r="D414" s="446"/>
      <c r="E414" s="284" t="s">
        <v>95</v>
      </c>
      <c r="F414" s="100" t="s">
        <v>1231</v>
      </c>
      <c r="G414" s="378"/>
      <c r="H414" s="378"/>
      <c r="I414" s="378">
        <f aca="true" t="shared" si="11" ref="I414:I481">G414+H414</f>
        <v>0</v>
      </c>
      <c r="J414" s="241"/>
      <c r="K414" s="113"/>
      <c r="N414" s="114"/>
      <c r="O414" s="115"/>
    </row>
    <row r="415" spans="1:15" s="104" customFormat="1" ht="15.75" customHeight="1">
      <c r="A415" s="313" t="s">
        <v>952</v>
      </c>
      <c r="B415" s="313" t="s">
        <v>1073</v>
      </c>
      <c r="C415" s="314" t="s">
        <v>572</v>
      </c>
      <c r="D415" s="314"/>
      <c r="E415" s="285" t="s">
        <v>694</v>
      </c>
      <c r="F415" s="220"/>
      <c r="G415" s="391">
        <f>G416</f>
        <v>0</v>
      </c>
      <c r="H415" s="391">
        <f>H416</f>
        <v>6000000</v>
      </c>
      <c r="I415" s="391">
        <f t="shared" si="11"/>
        <v>6000000</v>
      </c>
      <c r="J415" s="241">
        <f>J416</f>
        <v>0</v>
      </c>
      <c r="K415" s="113"/>
      <c r="N415" s="114"/>
      <c r="O415" s="115"/>
    </row>
    <row r="416" spans="1:15" s="104" customFormat="1" ht="47.25" customHeight="1">
      <c r="A416" s="268" t="s">
        <v>953</v>
      </c>
      <c r="B416" s="268" t="s">
        <v>1074</v>
      </c>
      <c r="C416" s="25" t="s">
        <v>84</v>
      </c>
      <c r="D416" s="25" t="s">
        <v>438</v>
      </c>
      <c r="E416" s="353" t="s">
        <v>575</v>
      </c>
      <c r="F416" s="418" t="s">
        <v>1238</v>
      </c>
      <c r="G416" s="75"/>
      <c r="H416" s="75">
        <v>6000000</v>
      </c>
      <c r="I416" s="75">
        <f t="shared" si="11"/>
        <v>6000000</v>
      </c>
      <c r="J416" s="241"/>
      <c r="K416" s="113"/>
      <c r="N416" s="114"/>
      <c r="O416" s="115"/>
    </row>
    <row r="417" spans="1:14" s="104" customFormat="1" ht="15.75" customHeight="1">
      <c r="A417" s="314" t="s">
        <v>967</v>
      </c>
      <c r="B417" s="314" t="s">
        <v>1078</v>
      </c>
      <c r="C417" s="314" t="s">
        <v>584</v>
      </c>
      <c r="D417" s="314"/>
      <c r="E417" s="286" t="s">
        <v>585</v>
      </c>
      <c r="F417" s="230"/>
      <c r="G417" s="83">
        <f>G418</f>
        <v>163557</v>
      </c>
      <c r="H417" s="83">
        <f>H418</f>
        <v>0</v>
      </c>
      <c r="I417" s="83">
        <f t="shared" si="11"/>
        <v>163557</v>
      </c>
      <c r="J417" s="241">
        <f>J418</f>
        <v>0</v>
      </c>
      <c r="K417" s="113"/>
      <c r="N417" s="158"/>
    </row>
    <row r="418" spans="1:14" s="104" customFormat="1" ht="15.75" customHeight="1" hidden="1">
      <c r="A418" s="337" t="s">
        <v>968</v>
      </c>
      <c r="B418" s="337" t="s">
        <v>1079</v>
      </c>
      <c r="C418" s="337" t="s">
        <v>77</v>
      </c>
      <c r="D418" s="337"/>
      <c r="E418" s="394" t="s">
        <v>92</v>
      </c>
      <c r="F418" s="230"/>
      <c r="G418" s="75">
        <f>G419+G420+G421+G422+G423</f>
        <v>163557</v>
      </c>
      <c r="H418" s="75">
        <f>H419+H420+H421+H422+H423</f>
        <v>0</v>
      </c>
      <c r="I418" s="75">
        <f t="shared" si="11"/>
        <v>163557</v>
      </c>
      <c r="J418" s="241">
        <f>J419+J420+J421+J422+J423</f>
        <v>0</v>
      </c>
      <c r="K418" s="113"/>
      <c r="N418" s="158"/>
    </row>
    <row r="419" spans="1:14" s="104" customFormat="1" ht="49.5" customHeight="1">
      <c r="A419" s="337" t="s">
        <v>968</v>
      </c>
      <c r="B419" s="337" t="s">
        <v>1079</v>
      </c>
      <c r="C419" s="25" t="s">
        <v>77</v>
      </c>
      <c r="D419" s="268" t="s">
        <v>439</v>
      </c>
      <c r="E419" s="394" t="s">
        <v>92</v>
      </c>
      <c r="F419" s="406" t="s">
        <v>1241</v>
      </c>
      <c r="G419" s="75">
        <v>38400</v>
      </c>
      <c r="H419" s="75"/>
      <c r="I419" s="75">
        <f t="shared" si="11"/>
        <v>38400</v>
      </c>
      <c r="J419" s="241"/>
      <c r="K419" s="113"/>
      <c r="N419" s="158"/>
    </row>
    <row r="420" spans="1:14" s="104" customFormat="1" ht="47.25" customHeight="1" hidden="1">
      <c r="A420" s="337" t="s">
        <v>968</v>
      </c>
      <c r="B420" s="337" t="s">
        <v>1079</v>
      </c>
      <c r="C420" s="265" t="s">
        <v>77</v>
      </c>
      <c r="D420" s="268" t="s">
        <v>439</v>
      </c>
      <c r="E420" s="394" t="s">
        <v>92</v>
      </c>
      <c r="F420" s="292" t="s">
        <v>1185</v>
      </c>
      <c r="G420" s="75"/>
      <c r="H420" s="75"/>
      <c r="I420" s="75">
        <f t="shared" si="11"/>
        <v>0</v>
      </c>
      <c r="J420" s="241"/>
      <c r="K420" s="113"/>
      <c r="N420" s="158"/>
    </row>
    <row r="421" spans="1:14" s="104" customFormat="1" ht="47.25" customHeight="1">
      <c r="A421" s="337" t="s">
        <v>968</v>
      </c>
      <c r="B421" s="337" t="s">
        <v>1079</v>
      </c>
      <c r="C421" s="265" t="s">
        <v>77</v>
      </c>
      <c r="D421" s="268" t="s">
        <v>439</v>
      </c>
      <c r="E421" s="394" t="s">
        <v>92</v>
      </c>
      <c r="F421" s="406" t="s">
        <v>1242</v>
      </c>
      <c r="G421" s="75">
        <v>56738</v>
      </c>
      <c r="H421" s="75"/>
      <c r="I421" s="75">
        <f t="shared" si="11"/>
        <v>56738</v>
      </c>
      <c r="J421" s="241"/>
      <c r="K421" s="113"/>
      <c r="N421" s="158"/>
    </row>
    <row r="422" spans="1:14" s="104" customFormat="1" ht="63" customHeight="1">
      <c r="A422" s="337" t="s">
        <v>968</v>
      </c>
      <c r="B422" s="337" t="s">
        <v>1079</v>
      </c>
      <c r="C422" s="268" t="s">
        <v>77</v>
      </c>
      <c r="D422" s="268" t="s">
        <v>439</v>
      </c>
      <c r="E422" s="394" t="s">
        <v>92</v>
      </c>
      <c r="F422" s="404" t="s">
        <v>1223</v>
      </c>
      <c r="G422" s="75">
        <v>49999</v>
      </c>
      <c r="H422" s="75"/>
      <c r="I422" s="75">
        <f t="shared" si="11"/>
        <v>49999</v>
      </c>
      <c r="J422" s="241"/>
      <c r="K422" s="113"/>
      <c r="N422" s="158"/>
    </row>
    <row r="423" spans="1:14" s="104" customFormat="1" ht="54" customHeight="1">
      <c r="A423" s="337" t="s">
        <v>968</v>
      </c>
      <c r="B423" s="337" t="s">
        <v>1079</v>
      </c>
      <c r="C423" s="268" t="s">
        <v>77</v>
      </c>
      <c r="D423" s="268" t="s">
        <v>439</v>
      </c>
      <c r="E423" s="394" t="s">
        <v>92</v>
      </c>
      <c r="F423" s="406" t="s">
        <v>1243</v>
      </c>
      <c r="G423" s="75">
        <v>18420</v>
      </c>
      <c r="H423" s="75"/>
      <c r="I423" s="75">
        <f t="shared" si="11"/>
        <v>18420</v>
      </c>
      <c r="J423" s="241"/>
      <c r="K423" s="113"/>
      <c r="N423" s="158"/>
    </row>
    <row r="424" spans="1:14" s="104" customFormat="1" ht="15.75" customHeight="1" hidden="1">
      <c r="A424" s="313" t="s">
        <v>954</v>
      </c>
      <c r="B424" s="313" t="s">
        <v>1084</v>
      </c>
      <c r="C424" s="313" t="s">
        <v>578</v>
      </c>
      <c r="D424" s="313"/>
      <c r="E424" s="286" t="s">
        <v>579</v>
      </c>
      <c r="F424" s="235"/>
      <c r="G424" s="75">
        <f>G425</f>
        <v>0</v>
      </c>
      <c r="H424" s="75">
        <f>H425</f>
        <v>0</v>
      </c>
      <c r="I424" s="75">
        <f t="shared" si="11"/>
        <v>0</v>
      </c>
      <c r="J424" s="241">
        <f>J425</f>
        <v>0</v>
      </c>
      <c r="K424" s="113"/>
      <c r="N424" s="158"/>
    </row>
    <row r="425" spans="1:14" s="104" customFormat="1" ht="69.75" customHeight="1" hidden="1">
      <c r="A425" s="316" t="s">
        <v>955</v>
      </c>
      <c r="B425" s="316" t="s">
        <v>1085</v>
      </c>
      <c r="C425" s="337" t="s">
        <v>71</v>
      </c>
      <c r="D425" s="337"/>
      <c r="E425" s="338" t="s">
        <v>221</v>
      </c>
      <c r="F425" s="235"/>
      <c r="G425" s="75">
        <f>G426</f>
        <v>0</v>
      </c>
      <c r="H425" s="75">
        <f>H426</f>
        <v>0</v>
      </c>
      <c r="I425" s="75">
        <f t="shared" si="11"/>
        <v>0</v>
      </c>
      <c r="J425" s="241">
        <f>J426</f>
        <v>0</v>
      </c>
      <c r="K425" s="113"/>
      <c r="N425" s="158"/>
    </row>
    <row r="426" spans="1:14" s="104" customFormat="1" ht="47.25" customHeight="1" hidden="1">
      <c r="A426" s="25" t="s">
        <v>956</v>
      </c>
      <c r="B426" s="25" t="s">
        <v>1086</v>
      </c>
      <c r="C426" s="25" t="s">
        <v>71</v>
      </c>
      <c r="D426" s="25" t="s">
        <v>439</v>
      </c>
      <c r="E426" s="281" t="s">
        <v>582</v>
      </c>
      <c r="F426" s="404" t="s">
        <v>1226</v>
      </c>
      <c r="G426" s="75"/>
      <c r="H426" s="75"/>
      <c r="I426" s="75">
        <f t="shared" si="11"/>
        <v>0</v>
      </c>
      <c r="J426" s="241"/>
      <c r="K426" s="113"/>
      <c r="N426" s="158"/>
    </row>
    <row r="427" spans="1:14" s="104" customFormat="1" ht="31.5" customHeight="1">
      <c r="A427" s="98"/>
      <c r="B427" s="98" t="s">
        <v>136</v>
      </c>
      <c r="C427" s="98" t="s">
        <v>136</v>
      </c>
      <c r="D427" s="98"/>
      <c r="E427" s="99" t="s">
        <v>505</v>
      </c>
      <c r="F427" s="166"/>
      <c r="G427" s="83">
        <f>G428</f>
        <v>5374693</v>
      </c>
      <c r="H427" s="83">
        <f>H428</f>
        <v>14271407</v>
      </c>
      <c r="I427" s="83">
        <f t="shared" si="11"/>
        <v>19646100</v>
      </c>
      <c r="J427" s="144">
        <f>J428</f>
        <v>220952</v>
      </c>
      <c r="K427" s="113"/>
      <c r="N427" s="158"/>
    </row>
    <row r="428" spans="1:14" s="104" customFormat="1" ht="39" customHeight="1">
      <c r="A428" s="25" t="s">
        <v>957</v>
      </c>
      <c r="B428" s="25"/>
      <c r="C428" s="25"/>
      <c r="D428" s="25"/>
      <c r="E428" s="217" t="s">
        <v>958</v>
      </c>
      <c r="F428" s="235"/>
      <c r="G428" s="83">
        <f>G429+G432+G435+G438+G445</f>
        <v>5374693</v>
      </c>
      <c r="H428" s="83">
        <f>H429+H432+H435+H438+H445</f>
        <v>14271407</v>
      </c>
      <c r="I428" s="83">
        <f t="shared" si="11"/>
        <v>19646100</v>
      </c>
      <c r="J428" s="144">
        <f>J429+J432+J435+J438+J445</f>
        <v>220952</v>
      </c>
      <c r="K428" s="113"/>
      <c r="N428" s="158"/>
    </row>
    <row r="429" spans="1:14" s="104" customFormat="1" ht="15.75" customHeight="1">
      <c r="A429" s="314" t="s">
        <v>959</v>
      </c>
      <c r="B429" s="314" t="s">
        <v>1068</v>
      </c>
      <c r="C429" s="314" t="s">
        <v>559</v>
      </c>
      <c r="D429" s="314"/>
      <c r="E429" s="285" t="s">
        <v>560</v>
      </c>
      <c r="F429" s="235"/>
      <c r="G429" s="83">
        <f>G430+G431</f>
        <v>1437489</v>
      </c>
      <c r="H429" s="83">
        <f>H430+H431</f>
        <v>0</v>
      </c>
      <c r="I429" s="83">
        <f>I430+I431</f>
        <v>1437489</v>
      </c>
      <c r="J429" s="144">
        <f>J430</f>
        <v>0</v>
      </c>
      <c r="K429" s="113"/>
      <c r="N429" s="158"/>
    </row>
    <row r="430" spans="1:14" s="104" customFormat="1" ht="61.5" customHeight="1" hidden="1">
      <c r="A430" s="25" t="s">
        <v>960</v>
      </c>
      <c r="B430" s="25" t="s">
        <v>471</v>
      </c>
      <c r="C430" s="321" t="s">
        <v>165</v>
      </c>
      <c r="D430" s="25" t="s">
        <v>436</v>
      </c>
      <c r="E430" s="353" t="s">
        <v>937</v>
      </c>
      <c r="F430" s="402" t="s">
        <v>1222</v>
      </c>
      <c r="G430" s="75"/>
      <c r="H430" s="75"/>
      <c r="I430" s="75">
        <f t="shared" si="11"/>
        <v>0</v>
      </c>
      <c r="J430" s="241"/>
      <c r="K430" s="113"/>
      <c r="N430" s="158"/>
    </row>
    <row r="431" spans="1:14" s="104" customFormat="1" ht="63">
      <c r="A431" s="25" t="s">
        <v>960</v>
      </c>
      <c r="B431" s="342" t="s">
        <v>471</v>
      </c>
      <c r="C431" s="290" t="s">
        <v>165</v>
      </c>
      <c r="D431" s="342" t="s">
        <v>436</v>
      </c>
      <c r="E431" s="353" t="s">
        <v>937</v>
      </c>
      <c r="F431" s="404" t="s">
        <v>1225</v>
      </c>
      <c r="G431" s="75">
        <v>1437489</v>
      </c>
      <c r="H431" s="75"/>
      <c r="I431" s="75">
        <f t="shared" si="11"/>
        <v>1437489</v>
      </c>
      <c r="J431" s="241"/>
      <c r="K431" s="113"/>
      <c r="N431" s="158"/>
    </row>
    <row r="432" spans="1:14" s="104" customFormat="1" ht="15.75">
      <c r="A432" s="314" t="s">
        <v>961</v>
      </c>
      <c r="B432" s="314" t="s">
        <v>1154</v>
      </c>
      <c r="C432" s="314" t="s">
        <v>791</v>
      </c>
      <c r="D432" s="314"/>
      <c r="E432" s="286" t="s">
        <v>792</v>
      </c>
      <c r="F432" s="235"/>
      <c r="G432" s="83">
        <f>G433+G434</f>
        <v>3575716</v>
      </c>
      <c r="H432" s="83">
        <f>H433+H434</f>
        <v>220952</v>
      </c>
      <c r="I432" s="83">
        <f t="shared" si="11"/>
        <v>3796668</v>
      </c>
      <c r="J432" s="241">
        <f>J433+J434</f>
        <v>220952</v>
      </c>
      <c r="K432" s="113"/>
      <c r="N432" s="158"/>
    </row>
    <row r="433" spans="1:14" s="335" customFormat="1" ht="49.5" customHeight="1">
      <c r="A433" s="316" t="s">
        <v>962</v>
      </c>
      <c r="B433" s="316" t="s">
        <v>1155</v>
      </c>
      <c r="C433" s="316" t="s">
        <v>216</v>
      </c>
      <c r="D433" s="316" t="s">
        <v>464</v>
      </c>
      <c r="E433" s="338" t="s">
        <v>794</v>
      </c>
      <c r="F433" s="402" t="s">
        <v>1236</v>
      </c>
      <c r="G433" s="372">
        <v>2016970</v>
      </c>
      <c r="H433" s="372"/>
      <c r="I433" s="372">
        <f t="shared" si="11"/>
        <v>2016970</v>
      </c>
      <c r="J433" s="256"/>
      <c r="K433" s="334"/>
      <c r="N433" s="336"/>
    </row>
    <row r="434" spans="1:15" s="104" customFormat="1" ht="52.5" customHeight="1">
      <c r="A434" s="25" t="s">
        <v>963</v>
      </c>
      <c r="B434" s="25" t="s">
        <v>1163</v>
      </c>
      <c r="C434" s="25" t="s">
        <v>94</v>
      </c>
      <c r="D434" s="25" t="s">
        <v>465</v>
      </c>
      <c r="E434" s="354" t="s">
        <v>95</v>
      </c>
      <c r="F434" s="407" t="s">
        <v>1238</v>
      </c>
      <c r="G434" s="75">
        <v>1558746</v>
      </c>
      <c r="H434" s="75">
        <v>220952</v>
      </c>
      <c r="I434" s="75">
        <f t="shared" si="11"/>
        <v>1779698</v>
      </c>
      <c r="J434" s="241">
        <v>220952</v>
      </c>
      <c r="K434" s="113"/>
      <c r="N434" s="114"/>
      <c r="O434" s="115"/>
    </row>
    <row r="435" spans="1:15" s="104" customFormat="1" ht="15.75" customHeight="1">
      <c r="A435" s="313" t="s">
        <v>964</v>
      </c>
      <c r="B435" s="313" t="s">
        <v>1073</v>
      </c>
      <c r="C435" s="314" t="s">
        <v>572</v>
      </c>
      <c r="D435" s="314"/>
      <c r="E435" s="359" t="s">
        <v>694</v>
      </c>
      <c r="F435" s="235"/>
      <c r="G435" s="83">
        <f>G436+G437</f>
        <v>0</v>
      </c>
      <c r="H435" s="83">
        <f>H436+H437</f>
        <v>10300455</v>
      </c>
      <c r="I435" s="83">
        <f t="shared" si="11"/>
        <v>10300455</v>
      </c>
      <c r="J435" s="241">
        <f>J436+J437</f>
        <v>0</v>
      </c>
      <c r="K435" s="113"/>
      <c r="N435" s="114"/>
      <c r="O435" s="115"/>
    </row>
    <row r="436" spans="1:14" s="104" customFormat="1" ht="47.25" customHeight="1">
      <c r="A436" s="265" t="s">
        <v>965</v>
      </c>
      <c r="B436" s="265" t="s">
        <v>1074</v>
      </c>
      <c r="C436" s="265" t="s">
        <v>84</v>
      </c>
      <c r="D436" s="434" t="s">
        <v>438</v>
      </c>
      <c r="E436" s="282" t="s">
        <v>575</v>
      </c>
      <c r="F436" s="407" t="s">
        <v>1238</v>
      </c>
      <c r="G436" s="75"/>
      <c r="H436" s="75">
        <f>7830239+2170416+299800</f>
        <v>10300455</v>
      </c>
      <c r="I436" s="75">
        <f t="shared" si="11"/>
        <v>10300455</v>
      </c>
      <c r="J436" s="241"/>
      <c r="K436" s="113"/>
      <c r="N436" s="158"/>
    </row>
    <row r="437" spans="1:14" s="104" customFormat="1" ht="47.25" customHeight="1" hidden="1">
      <c r="A437" s="265" t="s">
        <v>965</v>
      </c>
      <c r="B437" s="265" t="s">
        <v>1074</v>
      </c>
      <c r="C437" s="265" t="s">
        <v>84</v>
      </c>
      <c r="D437" s="435"/>
      <c r="E437" s="282" t="s">
        <v>575</v>
      </c>
      <c r="F437" s="197" t="s">
        <v>530</v>
      </c>
      <c r="G437" s="75"/>
      <c r="H437" s="75"/>
      <c r="I437" s="75">
        <f t="shared" si="11"/>
        <v>0</v>
      </c>
      <c r="J437" s="241"/>
      <c r="K437" s="113"/>
      <c r="N437" s="158"/>
    </row>
    <row r="438" spans="1:14" s="104" customFormat="1" ht="15.75" customHeight="1">
      <c r="A438" s="314" t="s">
        <v>980</v>
      </c>
      <c r="B438" s="314" t="s">
        <v>1078</v>
      </c>
      <c r="C438" s="314" t="s">
        <v>584</v>
      </c>
      <c r="D438" s="314"/>
      <c r="E438" s="286" t="s">
        <v>585</v>
      </c>
      <c r="F438" s="235"/>
      <c r="G438" s="83">
        <f>G439</f>
        <v>361488</v>
      </c>
      <c r="H438" s="83">
        <f>H439</f>
        <v>0</v>
      </c>
      <c r="I438" s="83">
        <f t="shared" si="11"/>
        <v>361488</v>
      </c>
      <c r="J438" s="241">
        <f>J439</f>
        <v>0</v>
      </c>
      <c r="K438" s="113"/>
      <c r="N438" s="158"/>
    </row>
    <row r="439" spans="1:14" s="104" customFormat="1" ht="15.75" customHeight="1" hidden="1">
      <c r="A439" s="337" t="s">
        <v>966</v>
      </c>
      <c r="B439" s="337" t="s">
        <v>1079</v>
      </c>
      <c r="C439" s="337" t="s">
        <v>77</v>
      </c>
      <c r="D439" s="337"/>
      <c r="E439" s="356" t="s">
        <v>92</v>
      </c>
      <c r="F439" s="235"/>
      <c r="G439" s="75">
        <f>G440+G441+G442+G443+G444</f>
        <v>361488</v>
      </c>
      <c r="H439" s="75">
        <f>H440+H441+H442+H443+H444</f>
        <v>0</v>
      </c>
      <c r="I439" s="75">
        <f t="shared" si="11"/>
        <v>361488</v>
      </c>
      <c r="J439" s="241">
        <f>J440+J441+J442+J443+J444</f>
        <v>0</v>
      </c>
      <c r="K439" s="113"/>
      <c r="N439" s="158"/>
    </row>
    <row r="440" spans="1:14" s="104" customFormat="1" ht="48.75" customHeight="1">
      <c r="A440" s="337" t="s">
        <v>966</v>
      </c>
      <c r="B440" s="337" t="s">
        <v>1079</v>
      </c>
      <c r="C440" s="25" t="s">
        <v>77</v>
      </c>
      <c r="D440" s="268" t="s">
        <v>439</v>
      </c>
      <c r="E440" s="356" t="s">
        <v>92</v>
      </c>
      <c r="F440" s="406" t="s">
        <v>1245</v>
      </c>
      <c r="G440" s="75">
        <v>211200</v>
      </c>
      <c r="H440" s="75"/>
      <c r="I440" s="75">
        <f t="shared" si="11"/>
        <v>211200</v>
      </c>
      <c r="J440" s="241"/>
      <c r="K440" s="113"/>
      <c r="N440" s="158"/>
    </row>
    <row r="441" spans="1:14" s="104" customFormat="1" ht="47.25" customHeight="1" hidden="1">
      <c r="A441" s="337" t="s">
        <v>966</v>
      </c>
      <c r="B441" s="337" t="s">
        <v>1079</v>
      </c>
      <c r="C441" s="25" t="s">
        <v>77</v>
      </c>
      <c r="D441" s="268" t="s">
        <v>439</v>
      </c>
      <c r="E441" s="356" t="s">
        <v>92</v>
      </c>
      <c r="F441" s="292" t="s">
        <v>1185</v>
      </c>
      <c r="G441" s="75"/>
      <c r="H441" s="75"/>
      <c r="I441" s="75">
        <f t="shared" si="11"/>
        <v>0</v>
      </c>
      <c r="J441" s="241"/>
      <c r="K441" s="113"/>
      <c r="N441" s="158"/>
    </row>
    <row r="442" spans="1:14" s="104" customFormat="1" ht="47.25" customHeight="1">
      <c r="A442" s="337" t="s">
        <v>966</v>
      </c>
      <c r="B442" s="337" t="s">
        <v>1079</v>
      </c>
      <c r="C442" s="25" t="s">
        <v>77</v>
      </c>
      <c r="D442" s="268" t="s">
        <v>439</v>
      </c>
      <c r="E442" s="356" t="s">
        <v>92</v>
      </c>
      <c r="F442" s="406" t="s">
        <v>1242</v>
      </c>
      <c r="G442" s="75">
        <v>50673</v>
      </c>
      <c r="H442" s="75"/>
      <c r="I442" s="75">
        <f t="shared" si="11"/>
        <v>50673</v>
      </c>
      <c r="J442" s="241"/>
      <c r="K442" s="113"/>
      <c r="N442" s="158"/>
    </row>
    <row r="443" spans="1:14" s="104" customFormat="1" ht="63" customHeight="1">
      <c r="A443" s="337" t="s">
        <v>966</v>
      </c>
      <c r="B443" s="337" t="s">
        <v>1079</v>
      </c>
      <c r="C443" s="268" t="s">
        <v>77</v>
      </c>
      <c r="D443" s="268" t="s">
        <v>439</v>
      </c>
      <c r="E443" s="356" t="s">
        <v>92</v>
      </c>
      <c r="F443" s="403" t="s">
        <v>1223</v>
      </c>
      <c r="G443" s="75">
        <v>75855</v>
      </c>
      <c r="H443" s="75"/>
      <c r="I443" s="75">
        <f t="shared" si="11"/>
        <v>75855</v>
      </c>
      <c r="J443" s="241"/>
      <c r="K443" s="113"/>
      <c r="N443" s="158"/>
    </row>
    <row r="444" spans="1:18" s="104" customFormat="1" ht="56.25" customHeight="1">
      <c r="A444" s="337" t="s">
        <v>966</v>
      </c>
      <c r="B444" s="337" t="s">
        <v>1079</v>
      </c>
      <c r="C444" s="268" t="s">
        <v>77</v>
      </c>
      <c r="D444" s="268" t="s">
        <v>439</v>
      </c>
      <c r="E444" s="356" t="s">
        <v>92</v>
      </c>
      <c r="F444" s="406" t="s">
        <v>1243</v>
      </c>
      <c r="G444" s="75">
        <v>23760</v>
      </c>
      <c r="H444" s="75"/>
      <c r="I444" s="75">
        <f t="shared" si="11"/>
        <v>23760</v>
      </c>
      <c r="J444" s="241"/>
      <c r="K444" s="272"/>
      <c r="L444" s="158"/>
      <c r="M444" s="158"/>
      <c r="N444" s="158"/>
      <c r="O444" s="158"/>
      <c r="P444" s="158"/>
      <c r="Q444" s="158"/>
      <c r="R444" s="158"/>
    </row>
    <row r="445" spans="1:18" s="238" customFormat="1" ht="15.75" customHeight="1">
      <c r="A445" s="313" t="s">
        <v>969</v>
      </c>
      <c r="B445" s="313" t="s">
        <v>1084</v>
      </c>
      <c r="C445" s="313" t="s">
        <v>578</v>
      </c>
      <c r="D445" s="313"/>
      <c r="E445" s="285" t="s">
        <v>579</v>
      </c>
      <c r="F445" s="237">
        <f>G445+J445</f>
        <v>0</v>
      </c>
      <c r="G445" s="83">
        <f>G447+G446</f>
        <v>0</v>
      </c>
      <c r="H445" s="83">
        <f>H447+H446</f>
        <v>3750000</v>
      </c>
      <c r="I445" s="83">
        <f t="shared" si="11"/>
        <v>3750000</v>
      </c>
      <c r="J445" s="258">
        <f>J447+J446</f>
        <v>0</v>
      </c>
      <c r="K445" s="273"/>
      <c r="L445" s="258"/>
      <c r="M445" s="258"/>
      <c r="N445" s="258"/>
      <c r="O445" s="258"/>
      <c r="P445" s="258"/>
      <c r="Q445" s="273"/>
      <c r="R445" s="274"/>
    </row>
    <row r="446" spans="1:18" s="238" customFormat="1" ht="57" customHeight="1">
      <c r="A446" s="268" t="s">
        <v>881</v>
      </c>
      <c r="B446" s="268" t="s">
        <v>1101</v>
      </c>
      <c r="C446" s="268" t="s">
        <v>29</v>
      </c>
      <c r="D446" s="268" t="s">
        <v>447</v>
      </c>
      <c r="E446" s="281" t="s">
        <v>106</v>
      </c>
      <c r="F446" s="404" t="s">
        <v>1227</v>
      </c>
      <c r="G446" s="380"/>
      <c r="H446" s="75">
        <v>3750000</v>
      </c>
      <c r="I446" s="75">
        <f t="shared" si="11"/>
        <v>3750000</v>
      </c>
      <c r="J446" s="258"/>
      <c r="K446" s="273"/>
      <c r="L446" s="258"/>
      <c r="M446" s="258"/>
      <c r="N446" s="258"/>
      <c r="O446" s="258"/>
      <c r="P446" s="258"/>
      <c r="Q446" s="273"/>
      <c r="R446" s="274"/>
    </row>
    <row r="447" spans="1:18" s="239" customFormat="1" ht="46.5" customHeight="1" hidden="1">
      <c r="A447" s="318" t="s">
        <v>970</v>
      </c>
      <c r="B447" s="318" t="s">
        <v>1086</v>
      </c>
      <c r="C447" s="318" t="s">
        <v>71</v>
      </c>
      <c r="D447" s="318"/>
      <c r="E447" s="364" t="s">
        <v>221</v>
      </c>
      <c r="F447" s="237">
        <f>G447+J447</f>
        <v>0</v>
      </c>
      <c r="G447" s="381">
        <f>G448</f>
        <v>0</v>
      </c>
      <c r="H447" s="381">
        <f>H448</f>
        <v>0</v>
      </c>
      <c r="I447" s="381">
        <f t="shared" si="11"/>
        <v>0</v>
      </c>
      <c r="J447" s="259">
        <f>J448</f>
        <v>0</v>
      </c>
      <c r="K447" s="273"/>
      <c r="L447" s="259"/>
      <c r="M447" s="259"/>
      <c r="N447" s="259"/>
      <c r="O447" s="259"/>
      <c r="P447" s="259"/>
      <c r="Q447" s="273"/>
      <c r="R447" s="275"/>
    </row>
    <row r="448" spans="1:18" s="239" customFormat="1" ht="49.5" customHeight="1" hidden="1">
      <c r="A448" s="25" t="s">
        <v>970</v>
      </c>
      <c r="B448" s="25" t="s">
        <v>1086</v>
      </c>
      <c r="C448" s="25" t="s">
        <v>71</v>
      </c>
      <c r="D448" s="25"/>
      <c r="E448" s="281" t="s">
        <v>582</v>
      </c>
      <c r="F448" s="404" t="s">
        <v>1226</v>
      </c>
      <c r="G448" s="382"/>
      <c r="H448" s="382"/>
      <c r="I448" s="382">
        <f t="shared" si="11"/>
        <v>0</v>
      </c>
      <c r="J448" s="260"/>
      <c r="K448" s="273"/>
      <c r="L448" s="260"/>
      <c r="M448" s="260"/>
      <c r="N448" s="260"/>
      <c r="O448" s="260"/>
      <c r="P448" s="260"/>
      <c r="Q448" s="273"/>
      <c r="R448" s="275"/>
    </row>
    <row r="449" spans="1:18" s="104" customFormat="1" ht="31.5" customHeight="1">
      <c r="A449" s="98"/>
      <c r="B449" s="98" t="s">
        <v>137</v>
      </c>
      <c r="C449" s="98" t="s">
        <v>137</v>
      </c>
      <c r="D449" s="98"/>
      <c r="E449" s="99" t="s">
        <v>506</v>
      </c>
      <c r="F449" s="166"/>
      <c r="G449" s="83">
        <f>G450</f>
        <v>7565708</v>
      </c>
      <c r="H449" s="83">
        <f>H450</f>
        <v>9916119</v>
      </c>
      <c r="I449" s="83">
        <f t="shared" si="11"/>
        <v>17481827</v>
      </c>
      <c r="J449" s="144">
        <f>J450</f>
        <v>96449</v>
      </c>
      <c r="K449" s="272"/>
      <c r="L449" s="158"/>
      <c r="M449" s="158"/>
      <c r="N449" s="158"/>
      <c r="O449" s="158"/>
      <c r="P449" s="158"/>
      <c r="Q449" s="158"/>
      <c r="R449" s="158"/>
    </row>
    <row r="450" spans="1:18" s="104" customFormat="1" ht="31.5">
      <c r="A450" s="25" t="s">
        <v>971</v>
      </c>
      <c r="B450" s="25"/>
      <c r="C450" s="25"/>
      <c r="D450" s="25"/>
      <c r="E450" s="217" t="s">
        <v>972</v>
      </c>
      <c r="F450" s="235"/>
      <c r="G450" s="83">
        <f>G451+G454+G458+G460+G467</f>
        <v>7565708</v>
      </c>
      <c r="H450" s="83">
        <f>H451+H454+H458+H460+H467</f>
        <v>9916119</v>
      </c>
      <c r="I450" s="83">
        <f t="shared" si="11"/>
        <v>17481827</v>
      </c>
      <c r="J450" s="144">
        <f>J451+J454+J458+J460+J467</f>
        <v>96449</v>
      </c>
      <c r="K450" s="272"/>
      <c r="L450" s="158"/>
      <c r="M450" s="158"/>
      <c r="N450" s="158"/>
      <c r="O450" s="158"/>
      <c r="P450" s="158"/>
      <c r="Q450" s="158"/>
      <c r="R450" s="158"/>
    </row>
    <row r="451" spans="1:14" s="104" customFormat="1" ht="15.75" customHeight="1">
      <c r="A451" s="313" t="s">
        <v>973</v>
      </c>
      <c r="B451" s="313" t="s">
        <v>1068</v>
      </c>
      <c r="C451" s="314" t="s">
        <v>559</v>
      </c>
      <c r="D451" s="314"/>
      <c r="E451" s="359" t="s">
        <v>560</v>
      </c>
      <c r="F451" s="235"/>
      <c r="G451" s="83">
        <f>G452+G453</f>
        <v>1433042</v>
      </c>
      <c r="H451" s="83">
        <f>H452</f>
        <v>0</v>
      </c>
      <c r="I451" s="83">
        <f t="shared" si="11"/>
        <v>1433042</v>
      </c>
      <c r="J451" s="144">
        <f>J452</f>
        <v>0</v>
      </c>
      <c r="K451" s="113"/>
      <c r="N451" s="158"/>
    </row>
    <row r="452" spans="1:14" s="104" customFormat="1" ht="69" customHeight="1" hidden="1">
      <c r="A452" s="268" t="s">
        <v>974</v>
      </c>
      <c r="B452" s="268" t="s">
        <v>471</v>
      </c>
      <c r="C452" s="268" t="s">
        <v>165</v>
      </c>
      <c r="D452" s="268" t="s">
        <v>436</v>
      </c>
      <c r="E452" s="353" t="s">
        <v>937</v>
      </c>
      <c r="F452" s="402" t="s">
        <v>1222</v>
      </c>
      <c r="G452" s="75"/>
      <c r="H452" s="75"/>
      <c r="I452" s="75">
        <f t="shared" si="11"/>
        <v>0</v>
      </c>
      <c r="J452" s="241"/>
      <c r="K452" s="113"/>
      <c r="N452" s="158"/>
    </row>
    <row r="453" spans="1:14" s="104" customFormat="1" ht="62.25" customHeight="1">
      <c r="A453" s="268" t="s">
        <v>974</v>
      </c>
      <c r="B453" s="342" t="s">
        <v>471</v>
      </c>
      <c r="C453" s="290" t="s">
        <v>165</v>
      </c>
      <c r="D453" s="342" t="s">
        <v>436</v>
      </c>
      <c r="E453" s="353" t="s">
        <v>937</v>
      </c>
      <c r="F453" s="404" t="s">
        <v>1225</v>
      </c>
      <c r="G453" s="75">
        <v>1433042</v>
      </c>
      <c r="H453" s="75"/>
      <c r="I453" s="75">
        <f t="shared" si="11"/>
        <v>1433042</v>
      </c>
      <c r="J453" s="241"/>
      <c r="K453" s="113"/>
      <c r="N453" s="158"/>
    </row>
    <row r="454" spans="1:14" s="104" customFormat="1" ht="15.75" customHeight="1">
      <c r="A454" s="314" t="s">
        <v>975</v>
      </c>
      <c r="B454" s="314" t="s">
        <v>1154</v>
      </c>
      <c r="C454" s="313" t="s">
        <v>791</v>
      </c>
      <c r="D454" s="313"/>
      <c r="E454" s="286" t="s">
        <v>792</v>
      </c>
      <c r="F454" s="235"/>
      <c r="G454" s="83">
        <f>G455+G456+G457</f>
        <v>5837596</v>
      </c>
      <c r="H454" s="83">
        <f>H455+H456+H457</f>
        <v>96449</v>
      </c>
      <c r="I454" s="83">
        <f t="shared" si="11"/>
        <v>5934045</v>
      </c>
      <c r="J454" s="241">
        <f>J455+J456+J457</f>
        <v>96449</v>
      </c>
      <c r="K454" s="113"/>
      <c r="N454" s="158"/>
    </row>
    <row r="455" spans="1:14" s="104" customFormat="1" ht="47.25" customHeight="1">
      <c r="A455" s="316" t="s">
        <v>976</v>
      </c>
      <c r="B455" s="316" t="s">
        <v>1155</v>
      </c>
      <c r="C455" s="316" t="s">
        <v>216</v>
      </c>
      <c r="D455" s="316" t="s">
        <v>464</v>
      </c>
      <c r="E455" s="338" t="s">
        <v>794</v>
      </c>
      <c r="F455" s="402" t="s">
        <v>1236</v>
      </c>
      <c r="G455" s="75">
        <v>4741133</v>
      </c>
      <c r="H455" s="75"/>
      <c r="I455" s="75">
        <f t="shared" si="11"/>
        <v>4741133</v>
      </c>
      <c r="J455" s="241"/>
      <c r="K455" s="113"/>
      <c r="N455" s="158"/>
    </row>
    <row r="456" spans="1:15" s="104" customFormat="1" ht="47.25" customHeight="1">
      <c r="A456" s="283" t="s">
        <v>977</v>
      </c>
      <c r="B456" s="283" t="s">
        <v>1163</v>
      </c>
      <c r="C456" s="283" t="s">
        <v>94</v>
      </c>
      <c r="D456" s="445" t="s">
        <v>465</v>
      </c>
      <c r="E456" s="284" t="s">
        <v>95</v>
      </c>
      <c r="F456" s="407" t="s">
        <v>1238</v>
      </c>
      <c r="G456" s="75">
        <v>1096463</v>
      </c>
      <c r="H456" s="75">
        <v>96449</v>
      </c>
      <c r="I456" s="75">
        <f t="shared" si="11"/>
        <v>1192912</v>
      </c>
      <c r="J456" s="241">
        <v>96449</v>
      </c>
      <c r="K456" s="113"/>
      <c r="N456" s="114"/>
      <c r="O456" s="115"/>
    </row>
    <row r="457" spans="1:15" s="104" customFormat="1" ht="42.75" customHeight="1" hidden="1">
      <c r="A457" s="283" t="s">
        <v>977</v>
      </c>
      <c r="B457" s="283" t="s">
        <v>1163</v>
      </c>
      <c r="C457" s="283" t="s">
        <v>94</v>
      </c>
      <c r="D457" s="446"/>
      <c r="E457" s="284" t="s">
        <v>95</v>
      </c>
      <c r="F457" s="100" t="s">
        <v>1231</v>
      </c>
      <c r="G457" s="86"/>
      <c r="H457" s="86"/>
      <c r="I457" s="86">
        <f t="shared" si="11"/>
        <v>0</v>
      </c>
      <c r="J457" s="261"/>
      <c r="K457" s="113"/>
      <c r="N457" s="114"/>
      <c r="O457" s="115"/>
    </row>
    <row r="458" spans="1:15" s="104" customFormat="1" ht="15.75" customHeight="1">
      <c r="A458" s="313" t="s">
        <v>978</v>
      </c>
      <c r="B458" s="313" t="s">
        <v>1073</v>
      </c>
      <c r="C458" s="314" t="s">
        <v>572</v>
      </c>
      <c r="D458" s="314"/>
      <c r="E458" s="285" t="s">
        <v>792</v>
      </c>
      <c r="F458" s="105"/>
      <c r="G458" s="387">
        <f>G459</f>
        <v>0</v>
      </c>
      <c r="H458" s="387">
        <f>H459</f>
        <v>9819670</v>
      </c>
      <c r="I458" s="387">
        <f t="shared" si="11"/>
        <v>9819670</v>
      </c>
      <c r="J458" s="261">
        <f>J459</f>
        <v>0</v>
      </c>
      <c r="K458" s="113"/>
      <c r="N458" s="114"/>
      <c r="O458" s="115"/>
    </row>
    <row r="459" spans="1:14" s="104" customFormat="1" ht="47.25" customHeight="1">
      <c r="A459" s="268" t="s">
        <v>979</v>
      </c>
      <c r="B459" s="268" t="s">
        <v>1074</v>
      </c>
      <c r="C459" s="268" t="s">
        <v>84</v>
      </c>
      <c r="D459" s="268" t="s">
        <v>438</v>
      </c>
      <c r="E459" s="353" t="s">
        <v>575</v>
      </c>
      <c r="F459" s="407" t="s">
        <v>1238</v>
      </c>
      <c r="G459" s="75"/>
      <c r="H459" s="75">
        <f>1810040+8009630</f>
        <v>9819670</v>
      </c>
      <c r="I459" s="75">
        <f t="shared" si="11"/>
        <v>9819670</v>
      </c>
      <c r="J459" s="241"/>
      <c r="K459" s="113"/>
      <c r="N459" s="158"/>
    </row>
    <row r="460" spans="1:14" s="104" customFormat="1" ht="15.75" customHeight="1">
      <c r="A460" s="314" t="s">
        <v>981</v>
      </c>
      <c r="B460" s="314" t="s">
        <v>1078</v>
      </c>
      <c r="C460" s="314" t="s">
        <v>584</v>
      </c>
      <c r="D460" s="314"/>
      <c r="E460" s="286" t="s">
        <v>585</v>
      </c>
      <c r="F460" s="235"/>
      <c r="G460" s="83">
        <f>G461</f>
        <v>295070</v>
      </c>
      <c r="H460" s="83">
        <f>H461</f>
        <v>0</v>
      </c>
      <c r="I460" s="83">
        <f t="shared" si="11"/>
        <v>295070</v>
      </c>
      <c r="J460" s="241">
        <f>J461</f>
        <v>0</v>
      </c>
      <c r="K460" s="113"/>
      <c r="N460" s="158"/>
    </row>
    <row r="461" spans="1:14" s="104" customFormat="1" ht="15.75" customHeight="1" hidden="1">
      <c r="A461" s="337" t="s">
        <v>982</v>
      </c>
      <c r="B461" s="337" t="s">
        <v>1079</v>
      </c>
      <c r="C461" s="337" t="s">
        <v>77</v>
      </c>
      <c r="D461" s="337"/>
      <c r="E461" s="356" t="s">
        <v>92</v>
      </c>
      <c r="F461" s="235"/>
      <c r="G461" s="75">
        <f>G462+G463+G464+G465+G466</f>
        <v>295070</v>
      </c>
      <c r="H461" s="75">
        <f>H462+H463+H464+H465+H466</f>
        <v>0</v>
      </c>
      <c r="I461" s="75">
        <f t="shared" si="11"/>
        <v>295070</v>
      </c>
      <c r="J461" s="241">
        <f>J462+J463+J464+J465+J466</f>
        <v>0</v>
      </c>
      <c r="K461" s="113"/>
      <c r="N461" s="158"/>
    </row>
    <row r="462" spans="1:14" s="104" customFormat="1" ht="48" customHeight="1">
      <c r="A462" s="337" t="s">
        <v>982</v>
      </c>
      <c r="B462" s="337" t="s">
        <v>1079</v>
      </c>
      <c r="C462" s="25" t="s">
        <v>77</v>
      </c>
      <c r="D462" s="268" t="s">
        <v>439</v>
      </c>
      <c r="E462" s="356" t="s">
        <v>92</v>
      </c>
      <c r="F462" s="406" t="s">
        <v>1246</v>
      </c>
      <c r="G462" s="75">
        <v>198640</v>
      </c>
      <c r="H462" s="75"/>
      <c r="I462" s="75">
        <f t="shared" si="11"/>
        <v>198640</v>
      </c>
      <c r="J462" s="241"/>
      <c r="K462" s="113"/>
      <c r="N462" s="158"/>
    </row>
    <row r="463" spans="1:14" s="104" customFormat="1" ht="47.25" customHeight="1" hidden="1">
      <c r="A463" s="337" t="s">
        <v>982</v>
      </c>
      <c r="B463" s="337" t="s">
        <v>1079</v>
      </c>
      <c r="C463" s="25" t="s">
        <v>77</v>
      </c>
      <c r="D463" s="268" t="s">
        <v>439</v>
      </c>
      <c r="E463" s="356" t="s">
        <v>92</v>
      </c>
      <c r="F463" s="292" t="s">
        <v>1185</v>
      </c>
      <c r="G463" s="75"/>
      <c r="H463" s="75"/>
      <c r="I463" s="75">
        <f t="shared" si="11"/>
        <v>0</v>
      </c>
      <c r="J463" s="241"/>
      <c r="K463" s="113"/>
      <c r="N463" s="158"/>
    </row>
    <row r="464" spans="1:14" s="104" customFormat="1" ht="47.25" customHeight="1">
      <c r="A464" s="337" t="s">
        <v>982</v>
      </c>
      <c r="B464" s="337" t="s">
        <v>1079</v>
      </c>
      <c r="C464" s="25" t="s">
        <v>77</v>
      </c>
      <c r="D464" s="268" t="s">
        <v>439</v>
      </c>
      <c r="E464" s="356" t="s">
        <v>92</v>
      </c>
      <c r="F464" s="406" t="s">
        <v>1242</v>
      </c>
      <c r="G464" s="75">
        <v>22692</v>
      </c>
      <c r="H464" s="75"/>
      <c r="I464" s="75">
        <f t="shared" si="11"/>
        <v>22692</v>
      </c>
      <c r="J464" s="241"/>
      <c r="K464" s="113"/>
      <c r="N464" s="158"/>
    </row>
    <row r="465" spans="1:14" s="104" customFormat="1" ht="63" customHeight="1">
      <c r="A465" s="337" t="s">
        <v>982</v>
      </c>
      <c r="B465" s="337" t="s">
        <v>1079</v>
      </c>
      <c r="C465" s="268" t="s">
        <v>77</v>
      </c>
      <c r="D465" s="268" t="s">
        <v>439</v>
      </c>
      <c r="E465" s="356" t="s">
        <v>92</v>
      </c>
      <c r="F465" s="403" t="s">
        <v>1223</v>
      </c>
      <c r="G465" s="75">
        <v>49978</v>
      </c>
      <c r="H465" s="75"/>
      <c r="I465" s="75">
        <f t="shared" si="11"/>
        <v>49978</v>
      </c>
      <c r="J465" s="241"/>
      <c r="K465" s="113"/>
      <c r="N465" s="158"/>
    </row>
    <row r="466" spans="1:14" s="104" customFormat="1" ht="48" customHeight="1">
      <c r="A466" s="337" t="s">
        <v>982</v>
      </c>
      <c r="B466" s="337" t="s">
        <v>1079</v>
      </c>
      <c r="C466" s="268" t="s">
        <v>77</v>
      </c>
      <c r="D466" s="268" t="s">
        <v>439</v>
      </c>
      <c r="E466" s="356" t="s">
        <v>92</v>
      </c>
      <c r="F466" s="406" t="s">
        <v>1243</v>
      </c>
      <c r="G466" s="75">
        <v>23760</v>
      </c>
      <c r="H466" s="75"/>
      <c r="I466" s="75">
        <f t="shared" si="11"/>
        <v>23760</v>
      </c>
      <c r="J466" s="241"/>
      <c r="K466" s="113"/>
      <c r="N466" s="158"/>
    </row>
    <row r="467" spans="1:14" s="104" customFormat="1" ht="15.75" customHeight="1" hidden="1">
      <c r="A467" s="313" t="s">
        <v>983</v>
      </c>
      <c r="B467" s="313" t="s">
        <v>1084</v>
      </c>
      <c r="C467" s="313" t="s">
        <v>578</v>
      </c>
      <c r="D467" s="313"/>
      <c r="E467" s="357" t="s">
        <v>579</v>
      </c>
      <c r="F467" s="237">
        <f>G467+J467</f>
        <v>0</v>
      </c>
      <c r="G467" s="75">
        <f>G468</f>
        <v>0</v>
      </c>
      <c r="H467" s="75">
        <f>H468</f>
        <v>0</v>
      </c>
      <c r="I467" s="75">
        <f t="shared" si="11"/>
        <v>0</v>
      </c>
      <c r="J467" s="241">
        <f>J468</f>
        <v>0</v>
      </c>
      <c r="K467" s="113"/>
      <c r="N467" s="158"/>
    </row>
    <row r="468" spans="1:14" s="104" customFormat="1" ht="38.25" customHeight="1" hidden="1">
      <c r="A468" s="318" t="s">
        <v>984</v>
      </c>
      <c r="B468" s="318" t="s">
        <v>1086</v>
      </c>
      <c r="C468" s="318" t="s">
        <v>71</v>
      </c>
      <c r="D468" s="318"/>
      <c r="E468" s="364" t="s">
        <v>221</v>
      </c>
      <c r="F468" s="237">
        <f>G468+J468</f>
        <v>0</v>
      </c>
      <c r="G468" s="75">
        <f>G469</f>
        <v>0</v>
      </c>
      <c r="H468" s="75">
        <f>H469</f>
        <v>0</v>
      </c>
      <c r="I468" s="75">
        <f t="shared" si="11"/>
        <v>0</v>
      </c>
      <c r="J468" s="241">
        <f>J469</f>
        <v>0</v>
      </c>
      <c r="K468" s="113"/>
      <c r="N468" s="158"/>
    </row>
    <row r="469" spans="1:14" s="104" customFormat="1" ht="47.25" customHeight="1" hidden="1">
      <c r="A469" s="25" t="s">
        <v>984</v>
      </c>
      <c r="B469" s="25" t="s">
        <v>1086</v>
      </c>
      <c r="C469" s="25" t="s">
        <v>71</v>
      </c>
      <c r="D469" s="25"/>
      <c r="E469" s="281" t="s">
        <v>582</v>
      </c>
      <c r="F469" s="404" t="s">
        <v>1226</v>
      </c>
      <c r="G469" s="75"/>
      <c r="H469" s="75"/>
      <c r="I469" s="75">
        <f t="shared" si="11"/>
        <v>0</v>
      </c>
      <c r="J469" s="241"/>
      <c r="K469" s="113"/>
      <c r="N469" s="158"/>
    </row>
    <row r="470" spans="1:14" s="106" customFormat="1" ht="31.5" customHeight="1">
      <c r="A470" s="98"/>
      <c r="B470" s="98" t="s">
        <v>138</v>
      </c>
      <c r="C470" s="98" t="s">
        <v>138</v>
      </c>
      <c r="D470" s="98"/>
      <c r="E470" s="99" t="s">
        <v>46</v>
      </c>
      <c r="F470" s="99"/>
      <c r="G470" s="83">
        <f>G471</f>
        <v>8037559</v>
      </c>
      <c r="H470" s="83">
        <f>H471</f>
        <v>15029607</v>
      </c>
      <c r="I470" s="83">
        <f t="shared" si="11"/>
        <v>23067166</v>
      </c>
      <c r="J470" s="144">
        <f>J471</f>
        <v>0</v>
      </c>
      <c r="K470" s="113"/>
      <c r="N470" s="123"/>
    </row>
    <row r="471" spans="1:14" s="106" customFormat="1" ht="37.5" customHeight="1">
      <c r="A471" s="25" t="s">
        <v>985</v>
      </c>
      <c r="B471" s="25"/>
      <c r="C471" s="25"/>
      <c r="D471" s="25"/>
      <c r="E471" s="217" t="s">
        <v>986</v>
      </c>
      <c r="F471" s="233"/>
      <c r="G471" s="83">
        <f>G472+G475+G479+G482+G489</f>
        <v>8037559</v>
      </c>
      <c r="H471" s="83">
        <f>H472+H475+H479+H482+H489</f>
        <v>15029607</v>
      </c>
      <c r="I471" s="83">
        <f t="shared" si="11"/>
        <v>23067166</v>
      </c>
      <c r="J471" s="144">
        <f>J472+J475+J479+J482+J489</f>
        <v>0</v>
      </c>
      <c r="K471" s="113"/>
      <c r="N471" s="123"/>
    </row>
    <row r="472" spans="1:14" s="106" customFormat="1" ht="15.75" customHeight="1">
      <c r="A472" s="313" t="s">
        <v>987</v>
      </c>
      <c r="B472" s="313" t="s">
        <v>1068</v>
      </c>
      <c r="C472" s="314" t="s">
        <v>559</v>
      </c>
      <c r="D472" s="314"/>
      <c r="E472" s="285" t="s">
        <v>560</v>
      </c>
      <c r="F472" s="233"/>
      <c r="G472" s="83">
        <f>G473+G474</f>
        <v>478794</v>
      </c>
      <c r="H472" s="83">
        <f>H473+H474</f>
        <v>1007979</v>
      </c>
      <c r="I472" s="83">
        <f t="shared" si="11"/>
        <v>1486773</v>
      </c>
      <c r="J472" s="144">
        <f>J473</f>
        <v>0</v>
      </c>
      <c r="K472" s="113"/>
      <c r="N472" s="123"/>
    </row>
    <row r="473" spans="1:14" s="138" customFormat="1" ht="61.5" customHeight="1">
      <c r="A473" s="268" t="s">
        <v>988</v>
      </c>
      <c r="B473" s="268" t="s">
        <v>471</v>
      </c>
      <c r="C473" s="268" t="s">
        <v>165</v>
      </c>
      <c r="D473" s="268" t="s">
        <v>436</v>
      </c>
      <c r="E473" s="353" t="s">
        <v>937</v>
      </c>
      <c r="F473" s="402" t="s">
        <v>1222</v>
      </c>
      <c r="G473" s="75"/>
      <c r="H473" s="75">
        <v>1007979</v>
      </c>
      <c r="I473" s="75">
        <f t="shared" si="11"/>
        <v>1007979</v>
      </c>
      <c r="J473" s="241"/>
      <c r="K473" s="139"/>
      <c r="L473" s="140"/>
      <c r="N473" s="142"/>
    </row>
    <row r="474" spans="1:14" s="138" customFormat="1" ht="61.5" customHeight="1">
      <c r="A474" s="268" t="s">
        <v>988</v>
      </c>
      <c r="B474" s="342" t="s">
        <v>471</v>
      </c>
      <c r="C474" s="290" t="s">
        <v>165</v>
      </c>
      <c r="D474" s="342" t="s">
        <v>436</v>
      </c>
      <c r="E474" s="353" t="s">
        <v>937</v>
      </c>
      <c r="F474" s="404" t="s">
        <v>1225</v>
      </c>
      <c r="G474" s="75">
        <v>478794</v>
      </c>
      <c r="H474" s="75"/>
      <c r="I474" s="75">
        <f t="shared" si="11"/>
        <v>478794</v>
      </c>
      <c r="J474" s="241"/>
      <c r="K474" s="139"/>
      <c r="L474" s="140"/>
      <c r="N474" s="142"/>
    </row>
    <row r="475" spans="1:14" s="138" customFormat="1" ht="15.75" customHeight="1">
      <c r="A475" s="314" t="s">
        <v>989</v>
      </c>
      <c r="B475" s="314" t="s">
        <v>1154</v>
      </c>
      <c r="C475" s="313" t="s">
        <v>791</v>
      </c>
      <c r="D475" s="313"/>
      <c r="E475" s="285" t="s">
        <v>792</v>
      </c>
      <c r="F475" s="235"/>
      <c r="G475" s="83">
        <f>G476+G477+G478</f>
        <v>6995329</v>
      </c>
      <c r="H475" s="83">
        <f>H476+H477+H478</f>
        <v>0</v>
      </c>
      <c r="I475" s="83">
        <f t="shared" si="11"/>
        <v>6995329</v>
      </c>
      <c r="J475" s="241">
        <f>J476+J477+J478</f>
        <v>0</v>
      </c>
      <c r="K475" s="139"/>
      <c r="L475" s="140"/>
      <c r="N475" s="142"/>
    </row>
    <row r="476" spans="1:14" s="106" customFormat="1" ht="54.75" customHeight="1">
      <c r="A476" s="316" t="s">
        <v>990</v>
      </c>
      <c r="B476" s="316" t="s">
        <v>1155</v>
      </c>
      <c r="C476" s="316" t="s">
        <v>216</v>
      </c>
      <c r="D476" s="316" t="s">
        <v>464</v>
      </c>
      <c r="E476" s="338" t="s">
        <v>794</v>
      </c>
      <c r="F476" s="402" t="s">
        <v>1236</v>
      </c>
      <c r="G476" s="75">
        <v>2370519</v>
      </c>
      <c r="H476" s="75"/>
      <c r="I476" s="75">
        <f t="shared" si="11"/>
        <v>2370519</v>
      </c>
      <c r="J476" s="241"/>
      <c r="K476" s="113"/>
      <c r="L476" s="104"/>
      <c r="N476" s="123"/>
    </row>
    <row r="477" spans="1:15" s="104" customFormat="1" ht="54" customHeight="1">
      <c r="A477" s="283" t="s">
        <v>991</v>
      </c>
      <c r="B477" s="283" t="s">
        <v>1163</v>
      </c>
      <c r="C477" s="283" t="s">
        <v>94</v>
      </c>
      <c r="D477" s="445" t="s">
        <v>465</v>
      </c>
      <c r="E477" s="284" t="s">
        <v>95</v>
      </c>
      <c r="F477" s="407" t="s">
        <v>1238</v>
      </c>
      <c r="G477" s="75">
        <v>4624810</v>
      </c>
      <c r="H477" s="75"/>
      <c r="I477" s="75">
        <f t="shared" si="11"/>
        <v>4624810</v>
      </c>
      <c r="J477" s="241"/>
      <c r="K477" s="106"/>
      <c r="N477" s="114"/>
      <c r="O477" s="115"/>
    </row>
    <row r="478" spans="1:15" s="104" customFormat="1" ht="54" customHeight="1" hidden="1">
      <c r="A478" s="283" t="s">
        <v>991</v>
      </c>
      <c r="B478" s="283" t="s">
        <v>1163</v>
      </c>
      <c r="C478" s="283" t="s">
        <v>94</v>
      </c>
      <c r="D478" s="446"/>
      <c r="E478" s="284" t="s">
        <v>95</v>
      </c>
      <c r="F478" s="100" t="s">
        <v>1231</v>
      </c>
      <c r="G478" s="75"/>
      <c r="H478" s="75"/>
      <c r="I478" s="75">
        <f t="shared" si="11"/>
        <v>0</v>
      </c>
      <c r="J478" s="241"/>
      <c r="K478" s="106"/>
      <c r="N478" s="114"/>
      <c r="O478" s="115"/>
    </row>
    <row r="479" spans="1:15" s="104" customFormat="1" ht="15.75" customHeight="1">
      <c r="A479" s="313" t="s">
        <v>992</v>
      </c>
      <c r="B479" s="313" t="s">
        <v>1073</v>
      </c>
      <c r="C479" s="313" t="s">
        <v>572</v>
      </c>
      <c r="D479" s="313"/>
      <c r="E479" s="355" t="s">
        <v>694</v>
      </c>
      <c r="F479" s="220"/>
      <c r="G479" s="75">
        <f>G480+G481</f>
        <v>0</v>
      </c>
      <c r="H479" s="75">
        <f>H480+H481</f>
        <v>14004778</v>
      </c>
      <c r="I479" s="75">
        <f t="shared" si="11"/>
        <v>14004778</v>
      </c>
      <c r="J479" s="241">
        <f>J480+J481</f>
        <v>0</v>
      </c>
      <c r="K479" s="106"/>
      <c r="N479" s="114"/>
      <c r="O479" s="115"/>
    </row>
    <row r="480" spans="1:15" s="104" customFormat="1" ht="52.5" customHeight="1">
      <c r="A480" s="265" t="s">
        <v>993</v>
      </c>
      <c r="B480" s="265" t="s">
        <v>1074</v>
      </c>
      <c r="C480" s="265" t="s">
        <v>84</v>
      </c>
      <c r="D480" s="434" t="s">
        <v>438</v>
      </c>
      <c r="E480" s="282" t="s">
        <v>575</v>
      </c>
      <c r="F480" s="407" t="s">
        <v>1238</v>
      </c>
      <c r="G480" s="75"/>
      <c r="H480" s="75">
        <v>14004778</v>
      </c>
      <c r="I480" s="75">
        <f t="shared" si="11"/>
        <v>14004778</v>
      </c>
      <c r="J480" s="241"/>
      <c r="K480" s="106"/>
      <c r="N480" s="114"/>
      <c r="O480" s="115"/>
    </row>
    <row r="481" spans="1:15" s="104" customFormat="1" ht="52.5" customHeight="1" hidden="1">
      <c r="A481" s="265" t="s">
        <v>993</v>
      </c>
      <c r="B481" s="265" t="s">
        <v>1074</v>
      </c>
      <c r="C481" s="265" t="s">
        <v>84</v>
      </c>
      <c r="D481" s="435"/>
      <c r="E481" s="282" t="s">
        <v>575</v>
      </c>
      <c r="F481" s="100" t="s">
        <v>1231</v>
      </c>
      <c r="G481" s="75"/>
      <c r="H481" s="75"/>
      <c r="I481" s="75">
        <f t="shared" si="11"/>
        <v>0</v>
      </c>
      <c r="J481" s="241"/>
      <c r="K481" s="106"/>
      <c r="N481" s="114"/>
      <c r="O481" s="115"/>
    </row>
    <row r="482" spans="1:15" s="104" customFormat="1" ht="15.75" customHeight="1">
      <c r="A482" s="314" t="s">
        <v>994</v>
      </c>
      <c r="B482" s="314" t="s">
        <v>1078</v>
      </c>
      <c r="C482" s="314" t="s">
        <v>584</v>
      </c>
      <c r="D482" s="314"/>
      <c r="E482" s="286" t="s">
        <v>585</v>
      </c>
      <c r="F482" s="100"/>
      <c r="G482" s="83">
        <f>G483</f>
        <v>563436</v>
      </c>
      <c r="H482" s="83">
        <f>H483</f>
        <v>0</v>
      </c>
      <c r="I482" s="83">
        <f aca="true" t="shared" si="12" ref="I482:I533">G482+H482</f>
        <v>563436</v>
      </c>
      <c r="J482" s="241">
        <f>J483</f>
        <v>0</v>
      </c>
      <c r="K482" s="106"/>
      <c r="N482" s="114"/>
      <c r="O482" s="115"/>
    </row>
    <row r="483" spans="1:15" s="104" customFormat="1" ht="15.75" customHeight="1" hidden="1">
      <c r="A483" s="337" t="s">
        <v>995</v>
      </c>
      <c r="B483" s="337" t="s">
        <v>1079</v>
      </c>
      <c r="C483" s="337" t="s">
        <v>77</v>
      </c>
      <c r="D483" s="337"/>
      <c r="E483" s="356" t="s">
        <v>92</v>
      </c>
      <c r="F483" s="100"/>
      <c r="G483" s="75">
        <f>G484+G485+G486+G487+G488</f>
        <v>563436</v>
      </c>
      <c r="H483" s="75">
        <f>H484+H485+H486+H487+H488</f>
        <v>0</v>
      </c>
      <c r="I483" s="75">
        <f t="shared" si="12"/>
        <v>563436</v>
      </c>
      <c r="J483" s="241">
        <f>J484+J485+J486+J487+J488</f>
        <v>0</v>
      </c>
      <c r="K483" s="106"/>
      <c r="N483" s="114"/>
      <c r="O483" s="115"/>
    </row>
    <row r="484" spans="1:15" s="104" customFormat="1" ht="51" customHeight="1">
      <c r="A484" s="337" t="s">
        <v>995</v>
      </c>
      <c r="B484" s="337" t="s">
        <v>1079</v>
      </c>
      <c r="C484" s="25" t="s">
        <v>77</v>
      </c>
      <c r="D484" s="268" t="s">
        <v>439</v>
      </c>
      <c r="E484" s="356" t="s">
        <v>92</v>
      </c>
      <c r="F484" s="406" t="s">
        <v>1245</v>
      </c>
      <c r="G484" s="75">
        <v>442133</v>
      </c>
      <c r="H484" s="75"/>
      <c r="I484" s="75">
        <f t="shared" si="12"/>
        <v>442133</v>
      </c>
      <c r="J484" s="241"/>
      <c r="K484" s="106"/>
      <c r="N484" s="114"/>
      <c r="O484" s="115"/>
    </row>
    <row r="485" spans="1:15" s="104" customFormat="1" ht="14.25" customHeight="1" hidden="1">
      <c r="A485" s="337" t="s">
        <v>995</v>
      </c>
      <c r="B485" s="337" t="s">
        <v>1079</v>
      </c>
      <c r="C485" s="265" t="s">
        <v>77</v>
      </c>
      <c r="D485" s="434" t="s">
        <v>439</v>
      </c>
      <c r="E485" s="356" t="s">
        <v>92</v>
      </c>
      <c r="F485" s="292" t="s">
        <v>1185</v>
      </c>
      <c r="G485" s="75"/>
      <c r="H485" s="75"/>
      <c r="I485" s="75">
        <f t="shared" si="12"/>
        <v>0</v>
      </c>
      <c r="J485" s="241"/>
      <c r="K485" s="106"/>
      <c r="N485" s="114"/>
      <c r="O485" s="115"/>
    </row>
    <row r="486" spans="1:15" s="104" customFormat="1" ht="47.25" customHeight="1">
      <c r="A486" s="337" t="s">
        <v>995</v>
      </c>
      <c r="B486" s="337" t="s">
        <v>1079</v>
      </c>
      <c r="C486" s="265" t="s">
        <v>77</v>
      </c>
      <c r="D486" s="435"/>
      <c r="E486" s="356" t="s">
        <v>92</v>
      </c>
      <c r="F486" s="406" t="s">
        <v>1242</v>
      </c>
      <c r="G486" s="75">
        <v>43067</v>
      </c>
      <c r="H486" s="75"/>
      <c r="I486" s="75">
        <f t="shared" si="12"/>
        <v>43067</v>
      </c>
      <c r="J486" s="241"/>
      <c r="K486" s="106"/>
      <c r="N486" s="114"/>
      <c r="O486" s="115"/>
    </row>
    <row r="487" spans="1:15" s="104" customFormat="1" ht="63" customHeight="1">
      <c r="A487" s="337" t="s">
        <v>995</v>
      </c>
      <c r="B487" s="337" t="s">
        <v>1079</v>
      </c>
      <c r="C487" s="268" t="s">
        <v>77</v>
      </c>
      <c r="D487" s="268" t="s">
        <v>439</v>
      </c>
      <c r="E487" s="356" t="s">
        <v>92</v>
      </c>
      <c r="F487" s="403" t="s">
        <v>1223</v>
      </c>
      <c r="G487" s="75">
        <v>50000</v>
      </c>
      <c r="H487" s="75"/>
      <c r="I487" s="75">
        <f t="shared" si="12"/>
        <v>50000</v>
      </c>
      <c r="J487" s="241"/>
      <c r="K487" s="106"/>
      <c r="N487" s="114"/>
      <c r="O487" s="115"/>
    </row>
    <row r="488" spans="1:15" s="104" customFormat="1" ht="57" customHeight="1">
      <c r="A488" s="337" t="s">
        <v>995</v>
      </c>
      <c r="B488" s="337" t="s">
        <v>1079</v>
      </c>
      <c r="C488" s="268" t="s">
        <v>77</v>
      </c>
      <c r="D488" s="268" t="s">
        <v>439</v>
      </c>
      <c r="E488" s="356" t="s">
        <v>92</v>
      </c>
      <c r="F488" s="406" t="s">
        <v>1243</v>
      </c>
      <c r="G488" s="75">
        <v>28236</v>
      </c>
      <c r="H488" s="75"/>
      <c r="I488" s="75">
        <f t="shared" si="12"/>
        <v>28236</v>
      </c>
      <c r="J488" s="241"/>
      <c r="K488" s="106"/>
      <c r="N488" s="114"/>
      <c r="O488" s="115"/>
    </row>
    <row r="489" spans="1:15" s="104" customFormat="1" ht="15.75" customHeight="1">
      <c r="A489" s="313" t="s">
        <v>996</v>
      </c>
      <c r="B489" s="313" t="s">
        <v>1084</v>
      </c>
      <c r="C489" s="313" t="s">
        <v>578</v>
      </c>
      <c r="D489" s="313"/>
      <c r="E489" s="285" t="s">
        <v>579</v>
      </c>
      <c r="F489" s="100"/>
      <c r="G489" s="83">
        <f>G490</f>
        <v>0</v>
      </c>
      <c r="H489" s="83">
        <f>H490</f>
        <v>16850</v>
      </c>
      <c r="I489" s="83">
        <f t="shared" si="12"/>
        <v>16850</v>
      </c>
      <c r="J489" s="241">
        <f>J490</f>
        <v>0</v>
      </c>
      <c r="K489" s="106"/>
      <c r="N489" s="114"/>
      <c r="O489" s="115"/>
    </row>
    <row r="490" spans="1:15" s="104" customFormat="1" ht="63.75" customHeight="1">
      <c r="A490" s="337" t="s">
        <v>1220</v>
      </c>
      <c r="B490" s="337" t="s">
        <v>1085</v>
      </c>
      <c r="C490" s="339" t="s">
        <v>71</v>
      </c>
      <c r="D490" s="337" t="s">
        <v>439</v>
      </c>
      <c r="E490" s="340" t="s">
        <v>221</v>
      </c>
      <c r="F490" s="404" t="s">
        <v>1226</v>
      </c>
      <c r="G490" s="75">
        <f>G491</f>
        <v>0</v>
      </c>
      <c r="H490" s="75">
        <f>H491</f>
        <v>16850</v>
      </c>
      <c r="I490" s="75">
        <f t="shared" si="12"/>
        <v>16850</v>
      </c>
      <c r="J490" s="241">
        <f>J491</f>
        <v>0</v>
      </c>
      <c r="K490" s="106"/>
      <c r="N490" s="114"/>
      <c r="O490" s="115"/>
    </row>
    <row r="491" spans="1:15" s="104" customFormat="1" ht="31.5" hidden="1">
      <c r="A491" s="25" t="s">
        <v>1031</v>
      </c>
      <c r="B491" s="25" t="s">
        <v>1086</v>
      </c>
      <c r="C491" s="25" t="s">
        <v>71</v>
      </c>
      <c r="D491" s="25"/>
      <c r="E491" s="281" t="s">
        <v>582</v>
      </c>
      <c r="F491" s="404" t="s">
        <v>1226</v>
      </c>
      <c r="G491" s="75"/>
      <c r="H491" s="75">
        <v>16850</v>
      </c>
      <c r="I491" s="75">
        <f t="shared" si="12"/>
        <v>16850</v>
      </c>
      <c r="J491" s="241"/>
      <c r="K491" s="106"/>
      <c r="N491" s="114"/>
      <c r="O491" s="115"/>
    </row>
    <row r="492" spans="1:14" s="106" customFormat="1" ht="31.5" customHeight="1">
      <c r="A492" s="98"/>
      <c r="B492" s="98" t="s">
        <v>139</v>
      </c>
      <c r="C492" s="98" t="s">
        <v>139</v>
      </c>
      <c r="D492" s="98"/>
      <c r="E492" s="99" t="s">
        <v>47</v>
      </c>
      <c r="F492" s="99"/>
      <c r="G492" s="83">
        <f>G493</f>
        <v>4951646</v>
      </c>
      <c r="H492" s="83">
        <f>H493</f>
        <v>5743880</v>
      </c>
      <c r="I492" s="83">
        <f t="shared" si="12"/>
        <v>10695526</v>
      </c>
      <c r="J492" s="144">
        <f>J493</f>
        <v>0</v>
      </c>
      <c r="K492" s="113"/>
      <c r="N492" s="123"/>
    </row>
    <row r="493" spans="1:14" s="106" customFormat="1" ht="33" customHeight="1">
      <c r="A493" s="25" t="s">
        <v>997</v>
      </c>
      <c r="B493" s="25"/>
      <c r="C493" s="25"/>
      <c r="D493" s="25"/>
      <c r="E493" s="217" t="s">
        <v>998</v>
      </c>
      <c r="F493" s="233"/>
      <c r="G493" s="83">
        <f>G494+G497+G501+G503+G510</f>
        <v>4951646</v>
      </c>
      <c r="H493" s="83">
        <f>H494+H497+H501+H503+H510</f>
        <v>5743880</v>
      </c>
      <c r="I493" s="83">
        <f t="shared" si="12"/>
        <v>10695526</v>
      </c>
      <c r="J493" s="144">
        <f>J494+J497+J501+J503+J510</f>
        <v>0</v>
      </c>
      <c r="K493" s="113"/>
      <c r="N493" s="123"/>
    </row>
    <row r="494" spans="1:14" s="106" customFormat="1" ht="15.75" customHeight="1">
      <c r="A494" s="313" t="s">
        <v>999</v>
      </c>
      <c r="B494" s="313" t="s">
        <v>1068</v>
      </c>
      <c r="C494" s="314" t="s">
        <v>559</v>
      </c>
      <c r="D494" s="314"/>
      <c r="E494" s="285" t="s">
        <v>560</v>
      </c>
      <c r="F494" s="233"/>
      <c r="G494" s="83">
        <f>G495+G496</f>
        <v>1186861</v>
      </c>
      <c r="H494" s="83">
        <f>H495</f>
        <v>650000</v>
      </c>
      <c r="I494" s="83">
        <f t="shared" si="12"/>
        <v>1836861</v>
      </c>
      <c r="J494" s="144">
        <f>J495</f>
        <v>0</v>
      </c>
      <c r="K494" s="113"/>
      <c r="N494" s="123"/>
    </row>
    <row r="495" spans="1:14" s="138" customFormat="1" ht="66" customHeight="1">
      <c r="A495" s="268" t="s">
        <v>1000</v>
      </c>
      <c r="B495" s="268" t="s">
        <v>471</v>
      </c>
      <c r="C495" s="268" t="s">
        <v>165</v>
      </c>
      <c r="D495" s="268" t="s">
        <v>436</v>
      </c>
      <c r="E495" s="353" t="s">
        <v>937</v>
      </c>
      <c r="F495" s="402" t="s">
        <v>1222</v>
      </c>
      <c r="G495" s="75"/>
      <c r="H495" s="75">
        <v>650000</v>
      </c>
      <c r="I495" s="75">
        <f t="shared" si="12"/>
        <v>650000</v>
      </c>
      <c r="J495" s="241"/>
      <c r="K495" s="139"/>
      <c r="M495" s="139"/>
      <c r="N495" s="142"/>
    </row>
    <row r="496" spans="1:14" s="138" customFormat="1" ht="66" customHeight="1">
      <c r="A496" s="268" t="s">
        <v>1000</v>
      </c>
      <c r="B496" s="342" t="s">
        <v>471</v>
      </c>
      <c r="C496" s="290" t="s">
        <v>165</v>
      </c>
      <c r="D496" s="342" t="s">
        <v>436</v>
      </c>
      <c r="E496" s="353" t="s">
        <v>937</v>
      </c>
      <c r="F496" s="404" t="s">
        <v>1225</v>
      </c>
      <c r="G496" s="75">
        <v>1186861</v>
      </c>
      <c r="H496" s="75"/>
      <c r="I496" s="75">
        <f t="shared" si="12"/>
        <v>1186861</v>
      </c>
      <c r="J496" s="241"/>
      <c r="K496" s="139"/>
      <c r="M496" s="139"/>
      <c r="N496" s="142"/>
    </row>
    <row r="497" spans="1:14" s="106" customFormat="1" ht="15.75" customHeight="1">
      <c r="A497" s="314" t="s">
        <v>1003</v>
      </c>
      <c r="B497" s="314" t="s">
        <v>1154</v>
      </c>
      <c r="C497" s="313" t="s">
        <v>791</v>
      </c>
      <c r="D497" s="313"/>
      <c r="E497" s="286" t="s">
        <v>792</v>
      </c>
      <c r="F497" s="235"/>
      <c r="G497" s="83">
        <f>G498+G499+G500</f>
        <v>3505975</v>
      </c>
      <c r="H497" s="83">
        <f>H498+H499+H500</f>
        <v>0</v>
      </c>
      <c r="I497" s="83">
        <f t="shared" si="12"/>
        <v>3505975</v>
      </c>
      <c r="J497" s="241">
        <f>J498+J499+J500</f>
        <v>0</v>
      </c>
      <c r="K497" s="113"/>
      <c r="N497" s="123"/>
    </row>
    <row r="498" spans="1:14" s="106" customFormat="1" ht="49.5" customHeight="1">
      <c r="A498" s="316" t="s">
        <v>1004</v>
      </c>
      <c r="B498" s="316" t="s">
        <v>1155</v>
      </c>
      <c r="C498" s="316" t="s">
        <v>216</v>
      </c>
      <c r="D498" s="316" t="s">
        <v>464</v>
      </c>
      <c r="E498" s="338" t="s">
        <v>794</v>
      </c>
      <c r="F498" s="402" t="s">
        <v>1236</v>
      </c>
      <c r="G498" s="75">
        <v>1666639</v>
      </c>
      <c r="H498" s="75"/>
      <c r="I498" s="75">
        <f t="shared" si="12"/>
        <v>1666639</v>
      </c>
      <c r="J498" s="241"/>
      <c r="K498" s="113"/>
      <c r="N498" s="123"/>
    </row>
    <row r="499" spans="1:15" s="104" customFormat="1" ht="48.75" customHeight="1">
      <c r="A499" s="283" t="s">
        <v>1005</v>
      </c>
      <c r="B499" s="283" t="s">
        <v>1163</v>
      </c>
      <c r="C499" s="283" t="s">
        <v>94</v>
      </c>
      <c r="D499" s="445" t="s">
        <v>465</v>
      </c>
      <c r="E499" s="354" t="s">
        <v>95</v>
      </c>
      <c r="F499" s="407" t="s">
        <v>1238</v>
      </c>
      <c r="G499" s="75">
        <v>1839336</v>
      </c>
      <c r="H499" s="75"/>
      <c r="I499" s="75">
        <f t="shared" si="12"/>
        <v>1839336</v>
      </c>
      <c r="J499" s="241"/>
      <c r="K499" s="106"/>
      <c r="N499" s="114"/>
      <c r="O499" s="115"/>
    </row>
    <row r="500" spans="1:15" s="104" customFormat="1" ht="48.75" customHeight="1" hidden="1">
      <c r="A500" s="283" t="s">
        <v>1005</v>
      </c>
      <c r="B500" s="283" t="s">
        <v>1163</v>
      </c>
      <c r="C500" s="283" t="s">
        <v>94</v>
      </c>
      <c r="D500" s="446"/>
      <c r="E500" s="354" t="s">
        <v>95</v>
      </c>
      <c r="F500" s="100" t="s">
        <v>1231</v>
      </c>
      <c r="G500" s="75"/>
      <c r="H500" s="75"/>
      <c r="I500" s="75">
        <f t="shared" si="12"/>
        <v>0</v>
      </c>
      <c r="J500" s="241"/>
      <c r="K500" s="106"/>
      <c r="N500" s="114"/>
      <c r="O500" s="115"/>
    </row>
    <row r="501" spans="1:15" s="104" customFormat="1" ht="15.75" customHeight="1">
      <c r="A501" s="314" t="s">
        <v>1001</v>
      </c>
      <c r="B501" s="314" t="s">
        <v>1073</v>
      </c>
      <c r="C501" s="314" t="s">
        <v>572</v>
      </c>
      <c r="D501" s="314"/>
      <c r="E501" s="359" t="s">
        <v>694</v>
      </c>
      <c r="F501" s="220"/>
      <c r="G501" s="75">
        <f>G502</f>
        <v>0</v>
      </c>
      <c r="H501" s="75">
        <f>H502</f>
        <v>5043880</v>
      </c>
      <c r="I501" s="75">
        <f t="shared" si="12"/>
        <v>5043880</v>
      </c>
      <c r="J501" s="241">
        <f>J502</f>
        <v>0</v>
      </c>
      <c r="K501" s="106"/>
      <c r="N501" s="114"/>
      <c r="O501" s="115"/>
    </row>
    <row r="502" spans="1:15" s="104" customFormat="1" ht="47.25" customHeight="1">
      <c r="A502" s="25" t="s">
        <v>1002</v>
      </c>
      <c r="B502" s="25" t="s">
        <v>1074</v>
      </c>
      <c r="C502" s="25" t="s">
        <v>84</v>
      </c>
      <c r="D502" s="25" t="s">
        <v>438</v>
      </c>
      <c r="E502" s="281" t="s">
        <v>575</v>
      </c>
      <c r="F502" s="407" t="s">
        <v>1238</v>
      </c>
      <c r="G502" s="75"/>
      <c r="H502" s="75">
        <f>3855082+936695+17337+147000+87766</f>
        <v>5043880</v>
      </c>
      <c r="I502" s="75">
        <f t="shared" si="12"/>
        <v>5043880</v>
      </c>
      <c r="J502" s="241"/>
      <c r="K502" s="106"/>
      <c r="N502" s="114"/>
      <c r="O502" s="115"/>
    </row>
    <row r="503" spans="1:15" s="104" customFormat="1" ht="15.75" customHeight="1">
      <c r="A503" s="314" t="s">
        <v>1014</v>
      </c>
      <c r="B503" s="314" t="s">
        <v>1078</v>
      </c>
      <c r="C503" s="314" t="s">
        <v>584</v>
      </c>
      <c r="D503" s="314"/>
      <c r="E503" s="286" t="s">
        <v>585</v>
      </c>
      <c r="F503" s="235"/>
      <c r="G503" s="83">
        <f>G504</f>
        <v>258810</v>
      </c>
      <c r="H503" s="83">
        <f>H504</f>
        <v>0</v>
      </c>
      <c r="I503" s="83">
        <f t="shared" si="12"/>
        <v>258810</v>
      </c>
      <c r="J503" s="241">
        <f>J504</f>
        <v>0</v>
      </c>
      <c r="K503" s="106"/>
      <c r="N503" s="114"/>
      <c r="O503" s="115"/>
    </row>
    <row r="504" spans="1:15" s="104" customFormat="1" ht="15.75" customHeight="1" hidden="1">
      <c r="A504" s="337" t="s">
        <v>1015</v>
      </c>
      <c r="B504" s="337" t="s">
        <v>1079</v>
      </c>
      <c r="C504" s="337" t="s">
        <v>77</v>
      </c>
      <c r="D504" s="337"/>
      <c r="E504" s="356" t="s">
        <v>92</v>
      </c>
      <c r="F504" s="235"/>
      <c r="G504" s="75">
        <f>G505+G506+G507+G508+G509</f>
        <v>258810</v>
      </c>
      <c r="H504" s="75">
        <f>H505+H506+H507+H508+H509</f>
        <v>0</v>
      </c>
      <c r="I504" s="75">
        <f t="shared" si="12"/>
        <v>258810</v>
      </c>
      <c r="J504" s="241">
        <f>J505+J506+J507+J508+J509</f>
        <v>0</v>
      </c>
      <c r="K504" s="106"/>
      <c r="N504" s="114"/>
      <c r="O504" s="115"/>
    </row>
    <row r="505" spans="1:15" s="104" customFormat="1" ht="49.5" customHeight="1">
      <c r="A505" s="337" t="s">
        <v>1015</v>
      </c>
      <c r="B505" s="337" t="s">
        <v>1079</v>
      </c>
      <c r="C505" s="25" t="s">
        <v>77</v>
      </c>
      <c r="D505" s="268" t="s">
        <v>439</v>
      </c>
      <c r="E505" s="356" t="s">
        <v>92</v>
      </c>
      <c r="F505" s="406" t="s">
        <v>1245</v>
      </c>
      <c r="G505" s="75">
        <v>128000</v>
      </c>
      <c r="H505" s="75"/>
      <c r="I505" s="75">
        <f t="shared" si="12"/>
        <v>128000</v>
      </c>
      <c r="J505" s="241"/>
      <c r="K505" s="106"/>
      <c r="N505" s="114"/>
      <c r="O505" s="115"/>
    </row>
    <row r="506" spans="1:15" s="104" customFormat="1" ht="47.25" customHeight="1" hidden="1">
      <c r="A506" s="337" t="s">
        <v>1015</v>
      </c>
      <c r="B506" s="337" t="s">
        <v>1079</v>
      </c>
      <c r="C506" s="265" t="s">
        <v>77</v>
      </c>
      <c r="D506" s="434" t="s">
        <v>439</v>
      </c>
      <c r="E506" s="356" t="s">
        <v>92</v>
      </c>
      <c r="F506" s="264" t="s">
        <v>510</v>
      </c>
      <c r="G506" s="75"/>
      <c r="H506" s="75"/>
      <c r="I506" s="75">
        <f t="shared" si="12"/>
        <v>0</v>
      </c>
      <c r="J506" s="241"/>
      <c r="K506" s="106"/>
      <c r="N506" s="114"/>
      <c r="O506" s="115"/>
    </row>
    <row r="507" spans="1:15" s="104" customFormat="1" ht="47.25" customHeight="1">
      <c r="A507" s="337" t="s">
        <v>1015</v>
      </c>
      <c r="B507" s="337" t="s">
        <v>1079</v>
      </c>
      <c r="C507" s="265" t="s">
        <v>77</v>
      </c>
      <c r="D507" s="435"/>
      <c r="E507" s="356" t="s">
        <v>92</v>
      </c>
      <c r="F507" s="406" t="s">
        <v>1242</v>
      </c>
      <c r="G507" s="75">
        <v>34052</v>
      </c>
      <c r="H507" s="75"/>
      <c r="I507" s="75">
        <f t="shared" si="12"/>
        <v>34052</v>
      </c>
      <c r="J507" s="241"/>
      <c r="K507" s="106"/>
      <c r="N507" s="114"/>
      <c r="O507" s="115"/>
    </row>
    <row r="508" spans="1:15" s="104" customFormat="1" ht="63" customHeight="1">
      <c r="A508" s="337" t="s">
        <v>1015</v>
      </c>
      <c r="B508" s="337" t="s">
        <v>1079</v>
      </c>
      <c r="C508" s="268" t="s">
        <v>77</v>
      </c>
      <c r="D508" s="268" t="s">
        <v>439</v>
      </c>
      <c r="E508" s="356" t="s">
        <v>92</v>
      </c>
      <c r="F508" s="403" t="s">
        <v>1223</v>
      </c>
      <c r="G508" s="75">
        <v>54168</v>
      </c>
      <c r="H508" s="75"/>
      <c r="I508" s="75">
        <f t="shared" si="12"/>
        <v>54168</v>
      </c>
      <c r="J508" s="241"/>
      <c r="K508" s="106"/>
      <c r="N508" s="114"/>
      <c r="O508" s="115"/>
    </row>
    <row r="509" spans="1:15" s="104" customFormat="1" ht="51.75" customHeight="1">
      <c r="A509" s="337" t="s">
        <v>1015</v>
      </c>
      <c r="B509" s="337" t="s">
        <v>1079</v>
      </c>
      <c r="C509" s="268" t="s">
        <v>77</v>
      </c>
      <c r="D509" s="268" t="s">
        <v>439</v>
      </c>
      <c r="E509" s="356" t="s">
        <v>92</v>
      </c>
      <c r="F509" s="406" t="s">
        <v>1243</v>
      </c>
      <c r="G509" s="75">
        <v>42590</v>
      </c>
      <c r="H509" s="75"/>
      <c r="I509" s="75">
        <f t="shared" si="12"/>
        <v>42590</v>
      </c>
      <c r="J509" s="241"/>
      <c r="K509" s="106"/>
      <c r="N509" s="114"/>
      <c r="O509" s="115"/>
    </row>
    <row r="510" spans="1:15" s="104" customFormat="1" ht="15.75" customHeight="1">
      <c r="A510" s="313" t="s">
        <v>1016</v>
      </c>
      <c r="B510" s="313" t="s">
        <v>1084</v>
      </c>
      <c r="C510" s="313" t="s">
        <v>578</v>
      </c>
      <c r="D510" s="313"/>
      <c r="E510" s="285" t="s">
        <v>579</v>
      </c>
      <c r="F510" s="237">
        <f>G510+J510</f>
        <v>0</v>
      </c>
      <c r="G510" s="83">
        <f>G511</f>
        <v>0</v>
      </c>
      <c r="H510" s="83">
        <f>H511</f>
        <v>50000</v>
      </c>
      <c r="I510" s="83">
        <f t="shared" si="12"/>
        <v>50000</v>
      </c>
      <c r="J510" s="241">
        <f>J511</f>
        <v>0</v>
      </c>
      <c r="K510" s="106"/>
      <c r="N510" s="114"/>
      <c r="O510" s="115"/>
    </row>
    <row r="511" spans="1:15" s="104" customFormat="1" ht="69" customHeight="1">
      <c r="A511" s="337" t="s">
        <v>1221</v>
      </c>
      <c r="B511" s="337" t="s">
        <v>1085</v>
      </c>
      <c r="C511" s="337" t="s">
        <v>71</v>
      </c>
      <c r="D511" s="337" t="s">
        <v>439</v>
      </c>
      <c r="E511" s="341" t="s">
        <v>221</v>
      </c>
      <c r="F511" s="404" t="s">
        <v>1226</v>
      </c>
      <c r="G511" s="75">
        <f>G512</f>
        <v>0</v>
      </c>
      <c r="H511" s="75">
        <f>H512</f>
        <v>50000</v>
      </c>
      <c r="I511" s="75">
        <f t="shared" si="12"/>
        <v>50000</v>
      </c>
      <c r="J511" s="241">
        <f>J512</f>
        <v>0</v>
      </c>
      <c r="K511" s="106"/>
      <c r="N511" s="114"/>
      <c r="O511" s="115"/>
    </row>
    <row r="512" spans="1:15" s="104" customFormat="1" ht="39" customHeight="1" hidden="1">
      <c r="A512" s="25" t="s">
        <v>1017</v>
      </c>
      <c r="B512" s="25" t="s">
        <v>1086</v>
      </c>
      <c r="C512" s="25" t="s">
        <v>71</v>
      </c>
      <c r="D512" s="25"/>
      <c r="E512" s="281" t="s">
        <v>582</v>
      </c>
      <c r="F512" s="404" t="s">
        <v>1226</v>
      </c>
      <c r="G512" s="75"/>
      <c r="H512" s="75">
        <v>50000</v>
      </c>
      <c r="I512" s="75">
        <f t="shared" si="12"/>
        <v>50000</v>
      </c>
      <c r="J512" s="241"/>
      <c r="K512" s="106"/>
      <c r="N512" s="114"/>
      <c r="O512" s="115"/>
    </row>
    <row r="513" spans="1:14" s="104" customFormat="1" ht="46.5" customHeight="1">
      <c r="A513" s="98"/>
      <c r="B513" s="98" t="s">
        <v>140</v>
      </c>
      <c r="C513" s="98" t="s">
        <v>140</v>
      </c>
      <c r="D513" s="98"/>
      <c r="E513" s="99" t="s">
        <v>48</v>
      </c>
      <c r="F513" s="167"/>
      <c r="G513" s="83">
        <f>G514</f>
        <v>12279219</v>
      </c>
      <c r="H513" s="83">
        <f>H514</f>
        <v>7172013</v>
      </c>
      <c r="I513" s="83">
        <f t="shared" si="12"/>
        <v>19451232</v>
      </c>
      <c r="J513" s="144">
        <f>J514</f>
        <v>0</v>
      </c>
      <c r="K513" s="113"/>
      <c r="N513" s="158"/>
    </row>
    <row r="514" spans="1:14" s="104" customFormat="1" ht="33" customHeight="1">
      <c r="A514" s="25" t="s">
        <v>1006</v>
      </c>
      <c r="B514" s="25"/>
      <c r="C514" s="25"/>
      <c r="D514" s="25"/>
      <c r="E514" s="217" t="s">
        <v>1007</v>
      </c>
      <c r="F514" s="235"/>
      <c r="G514" s="83">
        <f>G515+G518+G522+G524+G531</f>
        <v>12279219</v>
      </c>
      <c r="H514" s="83">
        <f>H515+H518+H522+H524+H531</f>
        <v>7172013</v>
      </c>
      <c r="I514" s="83">
        <f t="shared" si="12"/>
        <v>19451232</v>
      </c>
      <c r="J514" s="144">
        <f>J515+J518+J522+J524+J531</f>
        <v>0</v>
      </c>
      <c r="K514" s="113"/>
      <c r="N514" s="158"/>
    </row>
    <row r="515" spans="1:14" s="104" customFormat="1" ht="15.75" customHeight="1">
      <c r="A515" s="313" t="s">
        <v>1008</v>
      </c>
      <c r="B515" s="313" t="s">
        <v>1068</v>
      </c>
      <c r="C515" s="314" t="s">
        <v>559</v>
      </c>
      <c r="D515" s="314"/>
      <c r="E515" s="285" t="s">
        <v>560</v>
      </c>
      <c r="F515" s="235"/>
      <c r="G515" s="83">
        <f>G516+G517</f>
        <v>3084484</v>
      </c>
      <c r="H515" s="83">
        <f>H516+H517</f>
        <v>946048</v>
      </c>
      <c r="I515" s="83">
        <f t="shared" si="12"/>
        <v>4030532</v>
      </c>
      <c r="J515" s="144">
        <f>J516</f>
        <v>0</v>
      </c>
      <c r="K515" s="113"/>
      <c r="N515" s="158"/>
    </row>
    <row r="516" spans="1:14" s="140" customFormat="1" ht="63" customHeight="1">
      <c r="A516" s="268" t="s">
        <v>1009</v>
      </c>
      <c r="B516" s="268" t="s">
        <v>471</v>
      </c>
      <c r="C516" s="268" t="s">
        <v>165</v>
      </c>
      <c r="D516" s="268" t="s">
        <v>436</v>
      </c>
      <c r="E516" s="353" t="s">
        <v>937</v>
      </c>
      <c r="F516" s="402" t="s">
        <v>1222</v>
      </c>
      <c r="G516" s="75"/>
      <c r="H516" s="75">
        <v>946048</v>
      </c>
      <c r="I516" s="75">
        <f t="shared" si="12"/>
        <v>946048</v>
      </c>
      <c r="J516" s="241"/>
      <c r="K516" s="139"/>
      <c r="N516" s="141"/>
    </row>
    <row r="517" spans="1:14" s="140" customFormat="1" ht="63" customHeight="1">
      <c r="A517" s="268" t="s">
        <v>1009</v>
      </c>
      <c r="B517" s="342" t="s">
        <v>471</v>
      </c>
      <c r="C517" s="290" t="s">
        <v>165</v>
      </c>
      <c r="D517" s="342" t="s">
        <v>436</v>
      </c>
      <c r="E517" s="353" t="s">
        <v>937</v>
      </c>
      <c r="F517" s="404" t="s">
        <v>1225</v>
      </c>
      <c r="G517" s="75">
        <v>3084484</v>
      </c>
      <c r="H517" s="75"/>
      <c r="I517" s="75">
        <f t="shared" si="12"/>
        <v>3084484</v>
      </c>
      <c r="J517" s="241"/>
      <c r="K517" s="139"/>
      <c r="N517" s="141"/>
    </row>
    <row r="518" spans="1:14" s="140" customFormat="1" ht="15.75" customHeight="1">
      <c r="A518" s="314" t="s">
        <v>1010</v>
      </c>
      <c r="B518" s="314" t="s">
        <v>1154</v>
      </c>
      <c r="C518" s="313" t="s">
        <v>791</v>
      </c>
      <c r="D518" s="313"/>
      <c r="E518" s="286" t="s">
        <v>792</v>
      </c>
      <c r="F518" s="235"/>
      <c r="G518" s="83">
        <f>G519+G520+G521</f>
        <v>8885246</v>
      </c>
      <c r="H518" s="83">
        <f>H519+H520+H521</f>
        <v>0</v>
      </c>
      <c r="I518" s="83">
        <f t="shared" si="12"/>
        <v>8885246</v>
      </c>
      <c r="J518" s="241">
        <f>J519+J520+J521</f>
        <v>0</v>
      </c>
      <c r="K518" s="139"/>
      <c r="N518" s="141"/>
    </row>
    <row r="519" spans="1:14" s="140" customFormat="1" ht="47.25" customHeight="1">
      <c r="A519" s="316" t="s">
        <v>1011</v>
      </c>
      <c r="B519" s="316" t="s">
        <v>1155</v>
      </c>
      <c r="C519" s="316" t="s">
        <v>216</v>
      </c>
      <c r="D519" s="316" t="s">
        <v>464</v>
      </c>
      <c r="E519" s="338" t="s">
        <v>794</v>
      </c>
      <c r="F519" s="402" t="s">
        <v>1236</v>
      </c>
      <c r="G519" s="75">
        <v>3949783</v>
      </c>
      <c r="H519" s="75"/>
      <c r="I519" s="75">
        <f t="shared" si="12"/>
        <v>3949783</v>
      </c>
      <c r="J519" s="241"/>
      <c r="K519" s="139"/>
      <c r="N519" s="141"/>
    </row>
    <row r="520" spans="1:15" s="104" customFormat="1" ht="50.25" customHeight="1">
      <c r="A520" s="25" t="s">
        <v>1032</v>
      </c>
      <c r="B520" s="25" t="s">
        <v>1163</v>
      </c>
      <c r="C520" s="25" t="s">
        <v>94</v>
      </c>
      <c r="D520" s="25" t="s">
        <v>465</v>
      </c>
      <c r="E520" s="159" t="s">
        <v>95</v>
      </c>
      <c r="F520" s="407" t="s">
        <v>1238</v>
      </c>
      <c r="G520" s="75">
        <v>4935463</v>
      </c>
      <c r="H520" s="75"/>
      <c r="I520" s="75">
        <f t="shared" si="12"/>
        <v>4935463</v>
      </c>
      <c r="J520" s="241"/>
      <c r="K520" s="113"/>
      <c r="N520" s="114"/>
      <c r="O520" s="115"/>
    </row>
    <row r="521" spans="1:15" s="104" customFormat="1" ht="50.25" customHeight="1" hidden="1">
      <c r="A521" s="25" t="s">
        <v>1032</v>
      </c>
      <c r="B521" s="25" t="s">
        <v>1163</v>
      </c>
      <c r="C521" s="25" t="s">
        <v>94</v>
      </c>
      <c r="D521" s="25" t="s">
        <v>465</v>
      </c>
      <c r="E521" s="159" t="s">
        <v>95</v>
      </c>
      <c r="F521" s="100" t="s">
        <v>1231</v>
      </c>
      <c r="G521" s="75"/>
      <c r="H521" s="75"/>
      <c r="I521" s="75">
        <f t="shared" si="12"/>
        <v>0</v>
      </c>
      <c r="J521" s="241"/>
      <c r="K521" s="113"/>
      <c r="N521" s="114"/>
      <c r="O521" s="115"/>
    </row>
    <row r="522" spans="1:15" s="104" customFormat="1" ht="15.75" customHeight="1">
      <c r="A522" s="313" t="s">
        <v>1012</v>
      </c>
      <c r="B522" s="313" t="s">
        <v>1073</v>
      </c>
      <c r="C522" s="314" t="s">
        <v>572</v>
      </c>
      <c r="D522" s="314"/>
      <c r="E522" s="285" t="s">
        <v>694</v>
      </c>
      <c r="F522" s="220"/>
      <c r="G522" s="83">
        <f>G523</f>
        <v>0</v>
      </c>
      <c r="H522" s="83">
        <f>H523</f>
        <v>6225965</v>
      </c>
      <c r="I522" s="83">
        <f t="shared" si="12"/>
        <v>6225965</v>
      </c>
      <c r="J522" s="241">
        <f>J523</f>
        <v>0</v>
      </c>
      <c r="K522" s="113"/>
      <c r="N522" s="114"/>
      <c r="O522" s="115"/>
    </row>
    <row r="523" spans="1:15" s="104" customFormat="1" ht="47.25" customHeight="1">
      <c r="A523" s="268" t="s">
        <v>1013</v>
      </c>
      <c r="B523" s="268" t="s">
        <v>1074</v>
      </c>
      <c r="C523" s="268" t="s">
        <v>84</v>
      </c>
      <c r="D523" s="268" t="s">
        <v>438</v>
      </c>
      <c r="E523" s="353" t="s">
        <v>575</v>
      </c>
      <c r="F523" s="407" t="s">
        <v>1238</v>
      </c>
      <c r="G523" s="75"/>
      <c r="H523" s="75">
        <f>6275965+300000-350000</f>
        <v>6225965</v>
      </c>
      <c r="I523" s="75">
        <f t="shared" si="12"/>
        <v>6225965</v>
      </c>
      <c r="J523" s="241"/>
      <c r="K523" s="113"/>
      <c r="N523" s="114"/>
      <c r="O523" s="115"/>
    </row>
    <row r="524" spans="1:15" s="104" customFormat="1" ht="15.75" customHeight="1">
      <c r="A524" s="314" t="s">
        <v>1018</v>
      </c>
      <c r="B524" s="314" t="s">
        <v>1078</v>
      </c>
      <c r="C524" s="314" t="s">
        <v>584</v>
      </c>
      <c r="D524" s="314"/>
      <c r="E524" s="286" t="s">
        <v>585</v>
      </c>
      <c r="F524" s="235"/>
      <c r="G524" s="83">
        <f>G525</f>
        <v>309489</v>
      </c>
      <c r="H524" s="83">
        <f>H525</f>
        <v>0</v>
      </c>
      <c r="I524" s="83">
        <f t="shared" si="12"/>
        <v>309489</v>
      </c>
      <c r="J524" s="241">
        <f>J525</f>
        <v>0</v>
      </c>
      <c r="K524" s="113"/>
      <c r="N524" s="114"/>
      <c r="O524" s="115"/>
    </row>
    <row r="525" spans="1:15" s="104" customFormat="1" ht="15.75" customHeight="1" hidden="1">
      <c r="A525" s="337" t="s">
        <v>1019</v>
      </c>
      <c r="B525" s="337" t="s">
        <v>1079</v>
      </c>
      <c r="C525" s="337" t="s">
        <v>77</v>
      </c>
      <c r="D525" s="337"/>
      <c r="E525" s="356" t="s">
        <v>92</v>
      </c>
      <c r="F525" s="235"/>
      <c r="G525" s="75">
        <f>G526+G527+G528+G529+G530</f>
        <v>309489</v>
      </c>
      <c r="H525" s="75">
        <f>H526+H527+H528+H529+H530</f>
        <v>0</v>
      </c>
      <c r="I525" s="75">
        <f t="shared" si="12"/>
        <v>309489</v>
      </c>
      <c r="J525" s="241">
        <f>J526+J527+J528+J529+J530</f>
        <v>0</v>
      </c>
      <c r="K525" s="113"/>
      <c r="N525" s="114"/>
      <c r="O525" s="115"/>
    </row>
    <row r="526" spans="1:15" s="104" customFormat="1" ht="45" customHeight="1">
      <c r="A526" s="337" t="s">
        <v>1019</v>
      </c>
      <c r="B526" s="337" t="s">
        <v>1079</v>
      </c>
      <c r="C526" s="25" t="s">
        <v>77</v>
      </c>
      <c r="D526" s="268" t="s">
        <v>439</v>
      </c>
      <c r="E526" s="356" t="s">
        <v>92</v>
      </c>
      <c r="F526" s="406" t="s">
        <v>1245</v>
      </c>
      <c r="G526" s="75">
        <v>173009</v>
      </c>
      <c r="H526" s="75"/>
      <c r="I526" s="75">
        <f t="shared" si="12"/>
        <v>173009</v>
      </c>
      <c r="J526" s="241"/>
      <c r="K526" s="113"/>
      <c r="N526" s="114"/>
      <c r="O526" s="115"/>
    </row>
    <row r="527" spans="1:15" s="104" customFormat="1" ht="1.5" customHeight="1" hidden="1">
      <c r="A527" s="337" t="s">
        <v>1019</v>
      </c>
      <c r="B527" s="337" t="s">
        <v>1079</v>
      </c>
      <c r="C527" s="265" t="s">
        <v>77</v>
      </c>
      <c r="D527" s="434" t="s">
        <v>439</v>
      </c>
      <c r="E527" s="356" t="s">
        <v>92</v>
      </c>
      <c r="F527" s="264" t="s">
        <v>510</v>
      </c>
      <c r="G527" s="75"/>
      <c r="H527" s="75"/>
      <c r="I527" s="75">
        <f t="shared" si="12"/>
        <v>0</v>
      </c>
      <c r="J527" s="241"/>
      <c r="K527" s="113"/>
      <c r="N527" s="114"/>
      <c r="O527" s="115"/>
    </row>
    <row r="528" spans="1:15" s="104" customFormat="1" ht="50.25" customHeight="1">
      <c r="A528" s="337" t="s">
        <v>1019</v>
      </c>
      <c r="B528" s="337" t="s">
        <v>1079</v>
      </c>
      <c r="C528" s="265" t="s">
        <v>77</v>
      </c>
      <c r="D528" s="435"/>
      <c r="E528" s="356" t="s">
        <v>92</v>
      </c>
      <c r="F528" s="406" t="s">
        <v>1242</v>
      </c>
      <c r="G528" s="75">
        <v>86480</v>
      </c>
      <c r="H528" s="75"/>
      <c r="I528" s="75">
        <f t="shared" si="12"/>
        <v>86480</v>
      </c>
      <c r="J528" s="241"/>
      <c r="K528" s="113"/>
      <c r="N528" s="114"/>
      <c r="O528" s="115"/>
    </row>
    <row r="529" spans="1:15" s="104" customFormat="1" ht="61.5" customHeight="1">
      <c r="A529" s="337" t="s">
        <v>1019</v>
      </c>
      <c r="B529" s="337" t="s">
        <v>1079</v>
      </c>
      <c r="C529" s="268" t="s">
        <v>77</v>
      </c>
      <c r="D529" s="268" t="s">
        <v>439</v>
      </c>
      <c r="E529" s="356" t="s">
        <v>92</v>
      </c>
      <c r="F529" s="403" t="s">
        <v>1223</v>
      </c>
      <c r="G529" s="75">
        <v>50000</v>
      </c>
      <c r="H529" s="75"/>
      <c r="I529" s="75">
        <f t="shared" si="12"/>
        <v>50000</v>
      </c>
      <c r="J529" s="241"/>
      <c r="K529" s="113"/>
      <c r="N529" s="114"/>
      <c r="O529" s="115"/>
    </row>
    <row r="530" spans="1:15" s="104" customFormat="1" ht="50.25" customHeight="1" hidden="1">
      <c r="A530" s="25" t="s">
        <v>1020</v>
      </c>
      <c r="B530" s="25" t="s">
        <v>1178</v>
      </c>
      <c r="C530" s="268" t="s">
        <v>77</v>
      </c>
      <c r="D530" s="268" t="s">
        <v>439</v>
      </c>
      <c r="E530" s="281" t="s">
        <v>945</v>
      </c>
      <c r="F530" s="236" t="s">
        <v>500</v>
      </c>
      <c r="G530" s="80"/>
      <c r="H530" s="80"/>
      <c r="I530" s="80">
        <f t="shared" si="12"/>
        <v>0</v>
      </c>
      <c r="J530" s="241"/>
      <c r="K530" s="113"/>
      <c r="N530" s="114"/>
      <c r="O530" s="115"/>
    </row>
    <row r="531" spans="1:15" s="104" customFormat="1" ht="15.75" customHeight="1" hidden="1">
      <c r="A531" s="313" t="s">
        <v>1021</v>
      </c>
      <c r="B531" s="313" t="s">
        <v>1084</v>
      </c>
      <c r="C531" s="313" t="s">
        <v>578</v>
      </c>
      <c r="D531" s="313"/>
      <c r="E531" s="357" t="s">
        <v>579</v>
      </c>
      <c r="F531" s="237">
        <f>G531+J531</f>
        <v>0</v>
      </c>
      <c r="G531" s="80">
        <f>G532</f>
        <v>0</v>
      </c>
      <c r="H531" s="80">
        <f>H532</f>
        <v>0</v>
      </c>
      <c r="I531" s="80">
        <f t="shared" si="12"/>
        <v>0</v>
      </c>
      <c r="J531" s="241">
        <f>J532</f>
        <v>0</v>
      </c>
      <c r="K531" s="113"/>
      <c r="N531" s="114"/>
      <c r="O531" s="115"/>
    </row>
    <row r="532" spans="1:15" s="104" customFormat="1" ht="38.25" customHeight="1" hidden="1">
      <c r="A532" s="318" t="s">
        <v>1022</v>
      </c>
      <c r="B532" s="318" t="s">
        <v>1086</v>
      </c>
      <c r="C532" s="318" t="s">
        <v>71</v>
      </c>
      <c r="D532" s="318"/>
      <c r="E532" s="364" t="s">
        <v>221</v>
      </c>
      <c r="F532" s="237">
        <f>G532+J532</f>
        <v>0</v>
      </c>
      <c r="G532" s="80">
        <f>G533</f>
        <v>0</v>
      </c>
      <c r="H532" s="80">
        <f>H533</f>
        <v>0</v>
      </c>
      <c r="I532" s="80">
        <f t="shared" si="12"/>
        <v>0</v>
      </c>
      <c r="J532" s="241">
        <f>J533</f>
        <v>0</v>
      </c>
      <c r="K532" s="113"/>
      <c r="N532" s="114"/>
      <c r="O532" s="115"/>
    </row>
    <row r="533" spans="1:15" s="104" customFormat="1" ht="50.25" customHeight="1" hidden="1">
      <c r="A533" s="25" t="s">
        <v>1023</v>
      </c>
      <c r="B533" s="25" t="s">
        <v>1086</v>
      </c>
      <c r="C533" s="25" t="s">
        <v>71</v>
      </c>
      <c r="D533" s="25"/>
      <c r="E533" s="281" t="s">
        <v>582</v>
      </c>
      <c r="F533" s="404" t="s">
        <v>1226</v>
      </c>
      <c r="G533" s="80"/>
      <c r="H533" s="80"/>
      <c r="I533" s="80">
        <f t="shared" si="12"/>
        <v>0</v>
      </c>
      <c r="J533" s="241"/>
      <c r="K533" s="113"/>
      <c r="N533" s="114"/>
      <c r="O533" s="115"/>
    </row>
    <row r="534" spans="1:14" s="126" customFormat="1" ht="21" customHeight="1">
      <c r="A534" s="99"/>
      <c r="B534" s="99"/>
      <c r="C534" s="99"/>
      <c r="D534" s="99"/>
      <c r="E534" s="99" t="s">
        <v>66</v>
      </c>
      <c r="F534" s="99"/>
      <c r="G534" s="270">
        <f>G11+G39+G81+G109+G138+G167+G176+G180+G204+G217+G221+G253+G280+G287+G296+G300+G304+G310+G321+G345+G352+G370+G378+G383+G405+G427+G449+G470+G492+G513</f>
        <v>1434386600</v>
      </c>
      <c r="H534" s="270">
        <f>H11+H39+H81+H109+H138+H167+H176+H180+H204+H217+H221+H253+H280+H287+H296+H300+H304+H310+H321+H345+H352+H370+H378+H383+H405+H427+H449+H470+H492+H513</f>
        <v>1685096239</v>
      </c>
      <c r="I534" s="270">
        <f>I11+I39+I81+I109+I138+I167+I176+I180+I204+I217+I221+I253+I280+I287+I296+I300+I304+I310+I321+I345+I352+I370+I378+I383+I405+I427+I449+I470+I492+I513</f>
        <v>3119482839</v>
      </c>
      <c r="J534" s="144">
        <f>J11+J39+J81+J109+J138+J167+J176+J180+J204+J217+J221+J253+J280+J287+J296+J300+J304+J310+J321+J345+J352+J370+J378+J383+J405+J427+J449+J470+J492+J513</f>
        <v>2132788</v>
      </c>
      <c r="K534" s="124">
        <v>0</v>
      </c>
      <c r="L534" s="125">
        <f>I534-K534</f>
        <v>3119482839</v>
      </c>
      <c r="N534" s="127"/>
    </row>
    <row r="535" spans="1:14" s="126" customFormat="1" ht="21" customHeight="1">
      <c r="A535" s="123"/>
      <c r="B535" s="123"/>
      <c r="C535" s="123"/>
      <c r="D535" s="123"/>
      <c r="E535" s="123"/>
      <c r="F535" s="123"/>
      <c r="G535" s="143"/>
      <c r="H535" s="143"/>
      <c r="I535" s="143"/>
      <c r="J535" s="144"/>
      <c r="K535" s="124"/>
      <c r="L535" s="125"/>
      <c r="N535" s="127"/>
    </row>
    <row r="536" spans="1:14" s="128" customFormat="1" ht="44.25" customHeight="1">
      <c r="A536" s="326"/>
      <c r="B536" s="326"/>
      <c r="C536" s="326"/>
      <c r="D536" s="326" t="s">
        <v>200</v>
      </c>
      <c r="E536" s="322"/>
      <c r="F536" s="163"/>
      <c r="G536" s="163" t="s">
        <v>478</v>
      </c>
      <c r="H536" s="293"/>
      <c r="I536" s="130"/>
      <c r="J536" s="151"/>
      <c r="K536" s="129"/>
      <c r="N536" s="130"/>
    </row>
    <row r="537" spans="8:9" ht="18" customHeight="1">
      <c r="H537" s="126"/>
      <c r="I537" s="306"/>
    </row>
    <row r="538" spans="6:9" ht="18" customHeight="1">
      <c r="F538" s="94" t="s">
        <v>543</v>
      </c>
      <c r="G538" s="131">
        <f>G513+G492+G470+G449+G427+G405+G383+G370+G352+G345+G321+G310+G304+G287+G280+G221+G204+G180+G138+G109+G39+G11+G378+G300+G167+G176+G217+G296+G253+G81</f>
        <v>1434386600</v>
      </c>
      <c r="H538" s="131">
        <f>H513+H492+H470+H449+H427+H405+H383+H370+H352+H345+H321+H310+H304+H287+H280+H221+H204+H180+H138+H109+H39+H11+H378+H300+H167+H176+H217+H296+H253+H81</f>
        <v>1685096239</v>
      </c>
      <c r="I538" s="303">
        <f>H538+G538</f>
        <v>3119482839</v>
      </c>
    </row>
    <row r="539" spans="7:14" ht="18" customHeight="1">
      <c r="G539" s="132">
        <f>G534-G538</f>
        <v>0</v>
      </c>
      <c r="H539" s="132">
        <f>H534-H538</f>
        <v>0</v>
      </c>
      <c r="I539" s="304">
        <f>I534-I538</f>
        <v>0</v>
      </c>
      <c r="K539" s="94"/>
      <c r="N539" s="94"/>
    </row>
    <row r="540" spans="5:14" ht="47.25">
      <c r="E540" s="125">
        <f>G540+H540-I540</f>
        <v>0</v>
      </c>
      <c r="F540" s="236" t="s">
        <v>498</v>
      </c>
      <c r="G540" s="88">
        <f>G183+G185+G186+G188+G190+G193+G195+G196+G197+G198+G199+G201</f>
        <v>6518015</v>
      </c>
      <c r="H540" s="294">
        <f>H183+H185+H186+H188+H190+H193+H195+H196+H197+H198+H199+H201</f>
        <v>13660105</v>
      </c>
      <c r="I540" s="88">
        <f>I183+I185+I186+I188+I190+I193+I195+I196+I197+I198+I199+I201</f>
        <v>20178120</v>
      </c>
      <c r="K540" s="94"/>
      <c r="N540" s="94"/>
    </row>
    <row r="541" spans="1:10" s="184" customFormat="1" ht="63">
      <c r="A541" s="327"/>
      <c r="B541" s="327"/>
      <c r="C541" s="327"/>
      <c r="D541" s="327"/>
      <c r="E541" s="365">
        <f aca="true" t="shared" si="13" ref="E541:E586">G541+H541-I541</f>
        <v>0</v>
      </c>
      <c r="F541" s="236" t="s">
        <v>547</v>
      </c>
      <c r="G541" s="88">
        <f>G175</f>
        <v>506795</v>
      </c>
      <c r="H541" s="294">
        <f>H175</f>
        <v>0</v>
      </c>
      <c r="I541" s="88">
        <f>I175</f>
        <v>506795</v>
      </c>
      <c r="J541" s="183"/>
    </row>
    <row r="542" spans="5:14" ht="94.5">
      <c r="E542" s="125">
        <f t="shared" si="13"/>
        <v>0</v>
      </c>
      <c r="F542" s="85" t="s">
        <v>544</v>
      </c>
      <c r="G542" s="88">
        <f>G381</f>
        <v>0</v>
      </c>
      <c r="H542" s="294">
        <f>H381</f>
        <v>0</v>
      </c>
      <c r="I542" s="88">
        <f>I381</f>
        <v>0</v>
      </c>
      <c r="K542" s="94"/>
      <c r="N542" s="94"/>
    </row>
    <row r="543" spans="5:14" ht="47.25">
      <c r="E543" s="125">
        <f t="shared" si="13"/>
        <v>0</v>
      </c>
      <c r="F543" s="236" t="s">
        <v>540</v>
      </c>
      <c r="G543" s="88">
        <f>G24+G34</f>
        <v>3739648</v>
      </c>
      <c r="H543" s="294">
        <f>H24+H34</f>
        <v>0</v>
      </c>
      <c r="I543" s="88">
        <f>I24+I34</f>
        <v>3739648</v>
      </c>
      <c r="K543" s="94"/>
      <c r="N543" s="94"/>
    </row>
    <row r="544" spans="5:14" ht="47.25">
      <c r="E544" s="125">
        <f t="shared" si="13"/>
        <v>0</v>
      </c>
      <c r="F544" s="236" t="s">
        <v>488</v>
      </c>
      <c r="G544" s="88">
        <f>G30</f>
        <v>324855</v>
      </c>
      <c r="H544" s="294">
        <f>H30</f>
        <v>0</v>
      </c>
      <c r="I544" s="88">
        <f>I30</f>
        <v>324855</v>
      </c>
      <c r="K544" s="94"/>
      <c r="N544" s="94"/>
    </row>
    <row r="545" spans="5:14" ht="31.5">
      <c r="E545" s="125">
        <f t="shared" si="13"/>
        <v>0</v>
      </c>
      <c r="F545" s="85" t="s">
        <v>1048</v>
      </c>
      <c r="G545" s="88">
        <f>G329</f>
        <v>0</v>
      </c>
      <c r="H545" s="294">
        <f>H329</f>
        <v>102372749</v>
      </c>
      <c r="I545" s="88">
        <f>I329</f>
        <v>102372749</v>
      </c>
      <c r="K545" s="94"/>
      <c r="N545" s="94"/>
    </row>
    <row r="546" spans="5:14" ht="63">
      <c r="E546" s="125">
        <f t="shared" si="13"/>
        <v>0</v>
      </c>
      <c r="F546" s="236" t="s">
        <v>16</v>
      </c>
      <c r="G546" s="88">
        <f>G331+G333+G337+G326</f>
        <v>58800000</v>
      </c>
      <c r="H546" s="294">
        <f>H331+H333+H337+H326</f>
        <v>75403368</v>
      </c>
      <c r="I546" s="88">
        <f>I331+I333+I337+I326</f>
        <v>134203368</v>
      </c>
      <c r="K546" s="94"/>
      <c r="N546" s="94"/>
    </row>
    <row r="547" spans="3:14" ht="63">
      <c r="C547" s="115">
        <f>I547-590197935</f>
        <v>-390197935</v>
      </c>
      <c r="E547" s="125">
        <f>G547+H547-I547</f>
        <v>0</v>
      </c>
      <c r="F547" s="236" t="s">
        <v>492</v>
      </c>
      <c r="G547" s="88">
        <f>G327+G340</f>
        <v>0</v>
      </c>
      <c r="H547" s="294">
        <f>H327+H340+H334</f>
        <v>200000000</v>
      </c>
      <c r="I547" s="294">
        <f>I327+I340+I334</f>
        <v>200000000</v>
      </c>
      <c r="J547" s="152"/>
      <c r="K547" s="94"/>
      <c r="N547" s="94"/>
    </row>
    <row r="548" spans="5:14" ht="27" customHeight="1">
      <c r="E548" s="125"/>
      <c r="F548" s="87" t="s">
        <v>528</v>
      </c>
      <c r="G548" s="88">
        <f>G231</f>
        <v>0</v>
      </c>
      <c r="H548" s="294">
        <f>H231</f>
        <v>0</v>
      </c>
      <c r="I548" s="88">
        <f>I231</f>
        <v>0</v>
      </c>
      <c r="J548" s="152"/>
      <c r="K548" s="94"/>
      <c r="N548" s="94"/>
    </row>
    <row r="549" spans="5:14" ht="47.25">
      <c r="E549" s="125">
        <f t="shared" si="13"/>
        <v>0</v>
      </c>
      <c r="F549" s="236" t="s">
        <v>474</v>
      </c>
      <c r="G549" s="88">
        <f>G338</f>
        <v>0</v>
      </c>
      <c r="H549" s="294">
        <f>H338</f>
        <v>0</v>
      </c>
      <c r="I549" s="88">
        <f>I338</f>
        <v>0</v>
      </c>
      <c r="K549" s="94"/>
      <c r="N549" s="94"/>
    </row>
    <row r="550" spans="5:14" ht="63">
      <c r="E550" s="125">
        <f t="shared" si="13"/>
        <v>0</v>
      </c>
      <c r="F550" s="85" t="s">
        <v>494</v>
      </c>
      <c r="G550" s="88">
        <f>G328+G334</f>
        <v>0</v>
      </c>
      <c r="H550" s="294">
        <f>H328</f>
        <v>5000000</v>
      </c>
      <c r="I550" s="294">
        <f>I328</f>
        <v>5000000</v>
      </c>
      <c r="K550" s="94"/>
      <c r="N550" s="94"/>
    </row>
    <row r="551" spans="5:14" ht="63">
      <c r="E551" s="125">
        <f t="shared" si="13"/>
        <v>0</v>
      </c>
      <c r="F551" s="236" t="s">
        <v>537</v>
      </c>
      <c r="G551" s="88">
        <f>G335</f>
        <v>1200000</v>
      </c>
      <c r="H551" s="294">
        <f>H335</f>
        <v>0</v>
      </c>
      <c r="I551" s="88">
        <f>I335</f>
        <v>1200000</v>
      </c>
      <c r="K551" s="94"/>
      <c r="N551" s="94"/>
    </row>
    <row r="552" spans="5:14" ht="63">
      <c r="E552" s="125">
        <f t="shared" si="13"/>
        <v>0</v>
      </c>
      <c r="F552" s="236" t="s">
        <v>500</v>
      </c>
      <c r="G552" s="88">
        <f>G401+G423+G444+G466+G488+G509+G530</f>
        <v>148713</v>
      </c>
      <c r="H552" s="294">
        <f>H401+H423+H444+H466+H488+H509+H530</f>
        <v>0</v>
      </c>
      <c r="I552" s="88">
        <f>I401+I423+I444+I466+I488+I509+I530</f>
        <v>148713</v>
      </c>
      <c r="J552" s="153"/>
      <c r="K552" s="94"/>
      <c r="N552" s="94"/>
    </row>
    <row r="553" spans="5:14" ht="63">
      <c r="E553" s="125">
        <f t="shared" si="13"/>
        <v>0</v>
      </c>
      <c r="F553" s="236" t="s">
        <v>473</v>
      </c>
      <c r="G553" s="88">
        <f>G360</f>
        <v>0</v>
      </c>
      <c r="H553" s="294">
        <f>H360</f>
        <v>0</v>
      </c>
      <c r="I553" s="88">
        <f>I360</f>
        <v>0</v>
      </c>
      <c r="J553" s="153"/>
      <c r="K553" s="94"/>
      <c r="N553" s="94"/>
    </row>
    <row r="554" spans="5:14" ht="78.75">
      <c r="E554" s="125">
        <f t="shared" si="13"/>
        <v>0</v>
      </c>
      <c r="F554" s="236" t="s">
        <v>545</v>
      </c>
      <c r="G554" s="87">
        <f>G366</f>
        <v>0</v>
      </c>
      <c r="H554" s="295">
        <f>H366</f>
        <v>0</v>
      </c>
      <c r="I554" s="87">
        <f>I366</f>
        <v>0</v>
      </c>
      <c r="J554" s="153"/>
      <c r="K554" s="94"/>
      <c r="N554" s="94"/>
    </row>
    <row r="555" spans="5:14" ht="63">
      <c r="E555" s="125">
        <f t="shared" si="13"/>
        <v>0</v>
      </c>
      <c r="F555" s="236" t="s">
        <v>536</v>
      </c>
      <c r="G555" s="88">
        <f>G18</f>
        <v>7826760</v>
      </c>
      <c r="H555" s="294">
        <f>H18</f>
        <v>5814455</v>
      </c>
      <c r="I555" s="88">
        <f>I18</f>
        <v>13641215</v>
      </c>
      <c r="J555" s="153"/>
      <c r="K555" s="94"/>
      <c r="N555" s="94"/>
    </row>
    <row r="556" spans="5:14" ht="47.25">
      <c r="E556" s="125">
        <f t="shared" si="13"/>
        <v>0</v>
      </c>
      <c r="F556" s="87" t="s">
        <v>513</v>
      </c>
      <c r="G556" s="88">
        <f>G141+G144+G145+G146+G147+G148+G149+G150+G152+G155+G156+G158+G162+G166</f>
        <v>128166233</v>
      </c>
      <c r="H556" s="294">
        <f>H141+H144+H145+H146+H147+H148+H149+H150+H152+H155+H156+H158+H162+H166</f>
        <v>10245137</v>
      </c>
      <c r="I556" s="88">
        <f>I141+I144+I145+I146+I147+I148+I149+I150+I152+I155+I156+I158+I162+I166</f>
        <v>138411370</v>
      </c>
      <c r="J556" s="153"/>
      <c r="K556" s="94"/>
      <c r="N556" s="94"/>
    </row>
    <row r="557" spans="5:14" ht="63">
      <c r="E557" s="125">
        <f t="shared" si="13"/>
        <v>0</v>
      </c>
      <c r="F557" s="267" t="s">
        <v>1050</v>
      </c>
      <c r="G557" s="88">
        <f>G31+G400+G422+G443+G465+G487+G508+G529</f>
        <v>550000</v>
      </c>
      <c r="H557" s="294">
        <f>H31+H400+H422+H443+H465+H487+H508+H529</f>
        <v>0</v>
      </c>
      <c r="I557" s="88">
        <f>I31+I400+I422+I443+I465+I487+I508+I529</f>
        <v>550000</v>
      </c>
      <c r="J557" s="153"/>
      <c r="K557" s="94"/>
      <c r="N557" s="94"/>
    </row>
    <row r="558" spans="5:14" ht="47.25">
      <c r="E558" s="125">
        <f t="shared" si="13"/>
        <v>0</v>
      </c>
      <c r="F558" s="236" t="s">
        <v>487</v>
      </c>
      <c r="G558" s="88">
        <f>G32</f>
        <v>382771</v>
      </c>
      <c r="H558" s="294">
        <f>H32</f>
        <v>0</v>
      </c>
      <c r="I558" s="88">
        <f>I32</f>
        <v>382771</v>
      </c>
      <c r="J558" s="153"/>
      <c r="K558" s="94"/>
      <c r="N558" s="94"/>
    </row>
    <row r="559" spans="5:14" ht="63">
      <c r="E559" s="125">
        <f t="shared" si="13"/>
        <v>0</v>
      </c>
      <c r="F559" s="236" t="s">
        <v>511</v>
      </c>
      <c r="G559" s="88">
        <f>G350+G351</f>
        <v>9650756</v>
      </c>
      <c r="H559" s="294">
        <f>H350+H351</f>
        <v>214188</v>
      </c>
      <c r="I559" s="88">
        <f>I350+I351</f>
        <v>9864944</v>
      </c>
      <c r="J559" s="153"/>
      <c r="K559" s="94"/>
      <c r="N559" s="94"/>
    </row>
    <row r="560" spans="5:14" ht="63">
      <c r="E560" s="125">
        <f t="shared" si="13"/>
        <v>0</v>
      </c>
      <c r="F560" s="236" t="s">
        <v>1046</v>
      </c>
      <c r="G560" s="88">
        <f>G27</f>
        <v>5453660</v>
      </c>
      <c r="H560" s="294">
        <f>H27</f>
        <v>0</v>
      </c>
      <c r="I560" s="88">
        <f>I27</f>
        <v>5453660</v>
      </c>
      <c r="J560" s="153"/>
      <c r="K560" s="94"/>
      <c r="N560" s="94"/>
    </row>
    <row r="561" spans="5:14" ht="63">
      <c r="E561" s="125">
        <f t="shared" si="13"/>
        <v>0</v>
      </c>
      <c r="F561" s="236" t="s">
        <v>541</v>
      </c>
      <c r="G561" s="88">
        <f>G19</f>
        <v>900000</v>
      </c>
      <c r="H561" s="294">
        <f>H19</f>
        <v>0</v>
      </c>
      <c r="I561" s="88">
        <f>I19</f>
        <v>900000</v>
      </c>
      <c r="J561" s="153"/>
      <c r="K561" s="94"/>
      <c r="N561" s="94"/>
    </row>
    <row r="562" spans="5:14" ht="47.25">
      <c r="E562" s="125">
        <f t="shared" si="13"/>
        <v>0</v>
      </c>
      <c r="F562" s="236" t="s">
        <v>550</v>
      </c>
      <c r="G562" s="88">
        <f>G210</f>
        <v>0</v>
      </c>
      <c r="H562" s="294">
        <f>H210</f>
        <v>2670892</v>
      </c>
      <c r="I562" s="88">
        <f>I210</f>
        <v>2670892</v>
      </c>
      <c r="J562" s="153"/>
      <c r="K562" s="94"/>
      <c r="N562" s="94"/>
    </row>
    <row r="563" spans="5:14" ht="47.25">
      <c r="E563" s="125">
        <f t="shared" si="13"/>
        <v>0</v>
      </c>
      <c r="F563" s="236" t="s">
        <v>509</v>
      </c>
      <c r="G563" s="88">
        <f>G207</f>
        <v>0</v>
      </c>
      <c r="H563" s="294">
        <f>H207</f>
        <v>1911496</v>
      </c>
      <c r="I563" s="88">
        <f>I207</f>
        <v>1911496</v>
      </c>
      <c r="N563" s="94"/>
    </row>
    <row r="564" spans="5:14" ht="47.25">
      <c r="E564" s="125">
        <f t="shared" si="13"/>
        <v>0</v>
      </c>
      <c r="F564" s="236" t="s">
        <v>503</v>
      </c>
      <c r="G564" s="88">
        <f>G343</f>
        <v>0</v>
      </c>
      <c r="H564" s="294">
        <f>H343</f>
        <v>0</v>
      </c>
      <c r="I564" s="88">
        <f>I343</f>
        <v>0</v>
      </c>
      <c r="N564" s="94"/>
    </row>
    <row r="565" spans="5:14" ht="31.5">
      <c r="E565" s="125">
        <f t="shared" si="13"/>
        <v>0</v>
      </c>
      <c r="F565" s="404" t="s">
        <v>1226</v>
      </c>
      <c r="G565" s="88">
        <f>G38+G80+G426+G448+G469+G512+G533+G491+G369+G404</f>
        <v>0</v>
      </c>
      <c r="H565" s="294">
        <f>H38+H80+H426+H448+H469+H512+H533+H491+H369+H404</f>
        <v>150000</v>
      </c>
      <c r="I565" s="88">
        <f>I38+I80+I426+I448+I469+I512+I533+I491+I369+I404</f>
        <v>150000</v>
      </c>
      <c r="N565" s="94"/>
    </row>
    <row r="566" spans="5:14" ht="47.25">
      <c r="E566" s="125">
        <f t="shared" si="13"/>
        <v>0</v>
      </c>
      <c r="F566" s="406" t="s">
        <v>1238</v>
      </c>
      <c r="G566" s="88">
        <f>G256+G262+G264+G268+G271+G273+G276+G277+G382+G391+G394+G413+G434+G416+G436+G456+G459+G477+G480+G499+G502+G520+G523</f>
        <v>403235616</v>
      </c>
      <c r="H566" s="294">
        <f>H256+H262+H264+H268+H271+H273+H276+H277+H382+H391+H394+H413+H434+H416+H436+H456+H459+H477+H480+H499+H502+H520+H523</f>
        <v>357411963</v>
      </c>
      <c r="I566" s="88">
        <f>I256+I262+I264+I268+I271+I273+I276+I277+I382+I391+I394+I413+I434+I416+I436+I456+I459+I477+I480+I499+I502+I520+I523</f>
        <v>760647579</v>
      </c>
      <c r="N566" s="94"/>
    </row>
    <row r="567" spans="5:14" ht="63">
      <c r="E567" s="125">
        <f t="shared" si="13"/>
        <v>0</v>
      </c>
      <c r="F567" s="276" t="s">
        <v>546</v>
      </c>
      <c r="G567" s="88">
        <f>G172</f>
        <v>312136</v>
      </c>
      <c r="H567" s="294">
        <f>H172</f>
        <v>108583</v>
      </c>
      <c r="I567" s="88">
        <f>I172</f>
        <v>420719</v>
      </c>
      <c r="N567" s="94"/>
    </row>
    <row r="568" spans="5:14" ht="47.25">
      <c r="E568" s="125">
        <f t="shared" si="13"/>
        <v>0</v>
      </c>
      <c r="F568" s="236" t="s">
        <v>549</v>
      </c>
      <c r="G568" s="88">
        <f>G248</f>
        <v>29607232</v>
      </c>
      <c r="H568" s="294">
        <f>H248</f>
        <v>0</v>
      </c>
      <c r="I568" s="88">
        <f>I248</f>
        <v>29607232</v>
      </c>
      <c r="N568" s="94"/>
    </row>
    <row r="569" spans="5:14" ht="31.5">
      <c r="E569" s="125">
        <f t="shared" si="13"/>
        <v>0</v>
      </c>
      <c r="F569" s="236" t="s">
        <v>489</v>
      </c>
      <c r="G569" s="88">
        <f>G49+G70</f>
        <v>11592244</v>
      </c>
      <c r="H569" s="294">
        <f>H49+H70</f>
        <v>161193</v>
      </c>
      <c r="I569" s="88">
        <f>I49+I70</f>
        <v>11753437</v>
      </c>
      <c r="N569" s="94"/>
    </row>
    <row r="570" spans="5:14" ht="31.5">
      <c r="E570" s="125">
        <f t="shared" si="13"/>
        <v>0</v>
      </c>
      <c r="F570" s="236" t="s">
        <v>499</v>
      </c>
      <c r="G570" s="88">
        <f>G42+G44+G48+G54+G56+G62+G64+G65+G66+G67+G73+G74+G75+G76</f>
        <v>101040272</v>
      </c>
      <c r="H570" s="294">
        <f>H42+H44+H48+H54+H56+H62+H64+H65+H66+H67+H73+H74+H75+H76</f>
        <v>111900175</v>
      </c>
      <c r="I570" s="88">
        <f>I42+I44+I48+I54+I56+I62+I64+I65+I66+I67+I73+I74+I75+I76</f>
        <v>212940447</v>
      </c>
      <c r="N570" s="94"/>
    </row>
    <row r="571" spans="5:14" ht="47.25">
      <c r="E571" s="125">
        <f t="shared" si="13"/>
        <v>0</v>
      </c>
      <c r="F571" s="236" t="s">
        <v>514</v>
      </c>
      <c r="G571" s="88">
        <f>G112+G114+G121+G123+G129+G131+G136+G118</f>
        <v>61107144</v>
      </c>
      <c r="H571" s="294">
        <f>H112+H114+H121+H123+H129+H131+H136+H118</f>
        <v>94518235</v>
      </c>
      <c r="I571" s="88">
        <f>I112+I114+I121+I123+I129+I131+I136+I118</f>
        <v>155625379</v>
      </c>
      <c r="N571" s="94"/>
    </row>
    <row r="572" spans="5:14" ht="47.25">
      <c r="E572" s="125">
        <f t="shared" si="13"/>
        <v>0</v>
      </c>
      <c r="F572" s="404" t="s">
        <v>1227</v>
      </c>
      <c r="G572" s="88">
        <f>G78+G252+G279+G320+G446</f>
        <v>0</v>
      </c>
      <c r="H572" s="294">
        <f>H78+H252+H279+H320+H446</f>
        <v>22250000</v>
      </c>
      <c r="I572" s="88">
        <f>I78+I252+I279+I320+I446</f>
        <v>22250000</v>
      </c>
      <c r="N572" s="94"/>
    </row>
    <row r="573" spans="5:14" ht="47.25">
      <c r="E573" s="125">
        <f t="shared" si="13"/>
        <v>0</v>
      </c>
      <c r="F573" s="236" t="s">
        <v>508</v>
      </c>
      <c r="G573" s="88">
        <f>G137+G115+G126</f>
        <v>44829833</v>
      </c>
      <c r="H573" s="294">
        <f>H137+H115+H126</f>
        <v>33245694</v>
      </c>
      <c r="I573" s="88">
        <f>I137+I115+I126</f>
        <v>78075527</v>
      </c>
      <c r="N573" s="94"/>
    </row>
    <row r="574" spans="5:9" ht="47.25">
      <c r="E574" s="125">
        <f t="shared" si="13"/>
        <v>0</v>
      </c>
      <c r="F574" s="236" t="s">
        <v>530</v>
      </c>
      <c r="G574" s="88">
        <f>G84+G92+G93+G95+G98+G100+G102+G104+G437</f>
        <v>7328187</v>
      </c>
      <c r="H574" s="294">
        <f>H84+H92+H93+H95+H98+H100+H102+H104+H437</f>
        <v>5198444</v>
      </c>
      <c r="I574" s="88">
        <f>I84+I92+I93+I95+I98+I100+I102+I104+I437</f>
        <v>12526631</v>
      </c>
    </row>
    <row r="575" spans="5:9" ht="30" customHeight="1">
      <c r="E575" s="125">
        <f t="shared" si="13"/>
        <v>0</v>
      </c>
      <c r="F575" s="85" t="s">
        <v>1202</v>
      </c>
      <c r="G575" s="88">
        <f>G216</f>
        <v>2215330</v>
      </c>
      <c r="H575" s="294">
        <f>H216</f>
        <v>0</v>
      </c>
      <c r="I575" s="88">
        <f>I216</f>
        <v>2215330</v>
      </c>
    </row>
    <row r="576" spans="5:9" ht="33.75" customHeight="1">
      <c r="E576" s="125">
        <f t="shared" si="13"/>
        <v>0</v>
      </c>
      <c r="F576" s="236" t="s">
        <v>542</v>
      </c>
      <c r="G576" s="88">
        <f>G318</f>
        <v>0</v>
      </c>
      <c r="H576" s="294">
        <f>H318</f>
        <v>0</v>
      </c>
      <c r="I576" s="88">
        <f>I318</f>
        <v>0</v>
      </c>
    </row>
    <row r="577" spans="5:9" ht="28.5" customHeight="1">
      <c r="E577" s="125">
        <f t="shared" si="13"/>
        <v>0</v>
      </c>
      <c r="F577" s="236" t="s">
        <v>529</v>
      </c>
      <c r="G577" s="88">
        <f>G399+G421+G442+G464+G486+G507+G528</f>
        <v>337937</v>
      </c>
      <c r="H577" s="294">
        <f>H399+H421+H442+H464+H486+H507+H528</f>
        <v>0</v>
      </c>
      <c r="I577" s="88">
        <f>I399+I421+I442+I464+I486+I507+I528</f>
        <v>337937</v>
      </c>
    </row>
    <row r="578" spans="5:9" ht="28.5" customHeight="1">
      <c r="E578" s="125">
        <f t="shared" si="13"/>
        <v>0</v>
      </c>
      <c r="F578" s="100" t="s">
        <v>435</v>
      </c>
      <c r="G578" s="88">
        <f>G47+G52+G55+G58+G61+G68+G96+G117+G120+G122+G124+G128+G153+G159+G164+G187+G189+G192+G228+G232+G234+G238+G244+G250+G265+G269+G339+G390+G414+G392+G457+G478+G481+G500+G521+G412+G99</f>
        <v>31508168</v>
      </c>
      <c r="H578" s="88">
        <f>H47+H52+H55+H58+H61+H68+H96+H117+H120+H122+H124+H128+H153+H159+H164+H187+H189+H192+H228+H232+H234+H238+H244+H250+H265+H269+H339+H390+H414+H392+H457+H478+H481+H500+H521+H412+H99</f>
        <v>491832</v>
      </c>
      <c r="I578" s="88">
        <f>I47+I52+I55+I58+I61+I68+I96+I117+I120+I122+I124+I128+I153+I159+I164+I187+I189+I192+I228+I232+I234+I238+I244+I250+I265+I269+I339+I390+I414+I392+I457+I478+I481+I500+I521+I412+I99</f>
        <v>32000000</v>
      </c>
    </row>
    <row r="579" spans="5:9" ht="28.5" customHeight="1">
      <c r="E579" s="125">
        <f t="shared" si="13"/>
        <v>0</v>
      </c>
      <c r="F579" s="236" t="s">
        <v>512</v>
      </c>
      <c r="G579" s="88">
        <f>G249</f>
        <v>375403</v>
      </c>
      <c r="H579" s="294">
        <f>H249</f>
        <v>0</v>
      </c>
      <c r="I579" s="88">
        <f>I249</f>
        <v>375403</v>
      </c>
    </row>
    <row r="580" spans="5:9" ht="28.5" customHeight="1">
      <c r="E580" s="125">
        <f t="shared" si="13"/>
        <v>0</v>
      </c>
      <c r="F580" s="236" t="s">
        <v>1196</v>
      </c>
      <c r="G580" s="88">
        <f>G14+G170+G179+G208+G220+G299+G303+G307+G313+G324+G348+G355+G386+G408+G430+G452+G473+G495+G516</f>
        <v>0</v>
      </c>
      <c r="H580" s="88">
        <f>H14+H170+H179+H208+H220+H299+H303+H307+H313+H324+H348+H355+H386+H408+H430+H452+H473+H495+H516</f>
        <v>14604027</v>
      </c>
      <c r="I580" s="88">
        <f>I14+I170+I179+I208+I220+I299+I303+I307+I313+I324+I348+I355+I386+I408+I430+I452+I473+I495+I516</f>
        <v>14604027</v>
      </c>
    </row>
    <row r="581" spans="5:9" ht="38.25" customHeight="1">
      <c r="E581" s="125">
        <f t="shared" si="13"/>
        <v>0</v>
      </c>
      <c r="F581" s="236" t="s">
        <v>14</v>
      </c>
      <c r="G581" s="88">
        <f>G59+G71+G160</f>
        <v>662972</v>
      </c>
      <c r="H581" s="294">
        <f>H59+H71+H160</f>
        <v>0</v>
      </c>
      <c r="I581" s="88">
        <f>I59+I71+I160</f>
        <v>662972</v>
      </c>
    </row>
    <row r="582" spans="5:9" ht="63">
      <c r="E582" s="125">
        <f t="shared" si="13"/>
        <v>0</v>
      </c>
      <c r="F582" s="236" t="s">
        <v>475</v>
      </c>
      <c r="G582" s="88">
        <f>G45+G51+G57</f>
        <v>0</v>
      </c>
      <c r="H582" s="294">
        <f>H45+H51+H57</f>
        <v>0</v>
      </c>
      <c r="I582" s="88">
        <f>I45+I51+I57</f>
        <v>0</v>
      </c>
    </row>
    <row r="583" spans="5:9" ht="47.25">
      <c r="E583" s="125"/>
      <c r="F583" s="406" t="s">
        <v>1241</v>
      </c>
      <c r="G583" s="88">
        <f>G397+G419+G462+G440+G484+G505+G526</f>
        <v>1447691</v>
      </c>
      <c r="H583" s="294">
        <f>H397+H419+H462+H440+H484+H505+H526</f>
        <v>0</v>
      </c>
      <c r="I583" s="88">
        <f>I397+I419+I462+I440+I484+I505+I526</f>
        <v>1447691</v>
      </c>
    </row>
    <row r="584" spans="5:9" ht="47.25">
      <c r="E584" s="125">
        <f t="shared" si="13"/>
        <v>0</v>
      </c>
      <c r="F584" s="85" t="s">
        <v>1047</v>
      </c>
      <c r="G584" s="88">
        <f>G266+G215</f>
        <v>1636630</v>
      </c>
      <c r="H584" s="294">
        <f>H266+H215</f>
        <v>0</v>
      </c>
      <c r="I584" s="88">
        <f>I266+I215</f>
        <v>1636630</v>
      </c>
    </row>
    <row r="585" spans="5:9" ht="63">
      <c r="E585" s="125">
        <f t="shared" si="13"/>
        <v>0</v>
      </c>
      <c r="F585" s="236" t="s">
        <v>527</v>
      </c>
      <c r="G585" s="88">
        <f>G231</f>
        <v>0</v>
      </c>
      <c r="H585" s="294">
        <f>H231</f>
        <v>0</v>
      </c>
      <c r="I585" s="88">
        <f>I231</f>
        <v>0</v>
      </c>
    </row>
    <row r="586" spans="5:9" ht="31.5">
      <c r="E586" s="125">
        <f t="shared" si="13"/>
        <v>0</v>
      </c>
      <c r="F586" s="236" t="s">
        <v>501</v>
      </c>
      <c r="G586" s="88">
        <f>G60</f>
        <v>42596946</v>
      </c>
      <c r="H586" s="294">
        <f>H60</f>
        <v>0</v>
      </c>
      <c r="I586" s="88">
        <f>I60</f>
        <v>42596946</v>
      </c>
    </row>
    <row r="587" spans="5:9" ht="47.25">
      <c r="E587" s="125"/>
      <c r="F587" s="236" t="s">
        <v>490</v>
      </c>
      <c r="G587" s="88">
        <f>G290+G291+G294</f>
        <v>1390000</v>
      </c>
      <c r="H587" s="294">
        <f>H290+H291+H294</f>
        <v>3127560</v>
      </c>
      <c r="I587" s="88">
        <f>I290+I291+I294</f>
        <v>4517560</v>
      </c>
    </row>
    <row r="588" spans="5:9" ht="31.5">
      <c r="E588" s="125"/>
      <c r="F588" s="236" t="s">
        <v>205</v>
      </c>
      <c r="G588" s="88">
        <f>G309</f>
        <v>0</v>
      </c>
      <c r="H588" s="294">
        <f>H309</f>
        <v>0</v>
      </c>
      <c r="I588" s="88">
        <f>I309</f>
        <v>0</v>
      </c>
    </row>
    <row r="589" spans="5:9" ht="47.25">
      <c r="E589" s="125"/>
      <c r="F589" s="236" t="s">
        <v>510</v>
      </c>
      <c r="G589" s="88">
        <f>G224+G227+G230+G233+G235+G237+G240+G241+G243+G247+G357+G358+G389+G398+G411+G420+G433+G441+G455+G463+G476+G485+G498+G506+G519+G527+G365+G315</f>
        <v>388957091</v>
      </c>
      <c r="H589" s="88">
        <f>H224+H227+H230+H233+H235+H237+H240+H241+H243+H247+H357+H358+H389+H398+H411+H420+H433+H441+H455+H463+H476+H485+H498+H506+H519+H527+H365+H315</f>
        <v>594776584</v>
      </c>
      <c r="I589" s="88">
        <f>I224+I227+I230+I233+I235+I237+I240+I241+I243+I247+I357+I358+I389+I398+I411+I420+I433+I441+I455+I463+I476+I485+I498+I506+I519+I527+I365+I315</f>
        <v>983733675</v>
      </c>
    </row>
    <row r="590" spans="5:9" ht="47.25">
      <c r="E590" s="125"/>
      <c r="F590" s="236" t="s">
        <v>548</v>
      </c>
      <c r="G590" s="88">
        <f>G163</f>
        <v>24002400</v>
      </c>
      <c r="H590" s="294">
        <f>H163</f>
        <v>0</v>
      </c>
      <c r="I590" s="88">
        <f>I163</f>
        <v>24002400</v>
      </c>
    </row>
    <row r="591" spans="5:9" ht="47.25">
      <c r="E591" s="125"/>
      <c r="F591" s="236" t="s">
        <v>208</v>
      </c>
      <c r="G591" s="88">
        <f>G295</f>
        <v>0</v>
      </c>
      <c r="H591" s="294">
        <f>H295</f>
        <v>0</v>
      </c>
      <c r="I591" s="88">
        <f>I295</f>
        <v>0</v>
      </c>
    </row>
    <row r="592" spans="5:9" ht="47.25">
      <c r="E592" s="125"/>
      <c r="F592" s="236" t="s">
        <v>493</v>
      </c>
      <c r="G592" s="88">
        <f>G28</f>
        <v>0</v>
      </c>
      <c r="H592" s="294">
        <f>H28</f>
        <v>0</v>
      </c>
      <c r="I592" s="88">
        <f>I28</f>
        <v>0</v>
      </c>
    </row>
    <row r="593" spans="5:9" ht="63">
      <c r="E593" s="125"/>
      <c r="F593" s="236" t="s">
        <v>535</v>
      </c>
      <c r="G593" s="88">
        <f>G212</f>
        <v>680000</v>
      </c>
      <c r="H593" s="294">
        <f>H212</f>
        <v>0</v>
      </c>
      <c r="I593" s="88">
        <f>I212</f>
        <v>680000</v>
      </c>
    </row>
    <row r="594" spans="5:9" ht="31.5">
      <c r="E594" s="125"/>
      <c r="F594" s="404" t="s">
        <v>1228</v>
      </c>
      <c r="G594" s="88">
        <f>G86</f>
        <v>1690555</v>
      </c>
      <c r="H594" s="294">
        <f>H86</f>
        <v>0</v>
      </c>
      <c r="I594" s="88">
        <f>I86</f>
        <v>1690555</v>
      </c>
    </row>
    <row r="595" spans="5:9" ht="47.25">
      <c r="E595" s="125"/>
      <c r="F595" s="236" t="s">
        <v>507</v>
      </c>
      <c r="G595" s="88">
        <f>G107+G108</f>
        <v>8285772</v>
      </c>
      <c r="H595" s="294">
        <f>H107+H108</f>
        <v>264228</v>
      </c>
      <c r="I595" s="88">
        <f>I107+I108</f>
        <v>8550000</v>
      </c>
    </row>
    <row r="596" spans="5:9" ht="31.5">
      <c r="E596" s="125"/>
      <c r="F596" s="404" t="s">
        <v>1232</v>
      </c>
      <c r="G596" s="88">
        <f>G203</f>
        <v>622205</v>
      </c>
      <c r="H596" s="294">
        <f>H203</f>
        <v>0</v>
      </c>
      <c r="I596" s="88">
        <f>I203</f>
        <v>622205</v>
      </c>
    </row>
    <row r="597" spans="1:14" s="134" customFormat="1" ht="36.75" customHeight="1">
      <c r="A597" s="328"/>
      <c r="B597" s="328"/>
      <c r="C597" s="328"/>
      <c r="D597" s="328"/>
      <c r="E597" s="366"/>
      <c r="F597" s="267" t="s">
        <v>1049</v>
      </c>
      <c r="G597" s="89">
        <f>G33</f>
        <v>200000</v>
      </c>
      <c r="H597" s="296">
        <f>H33</f>
        <v>0</v>
      </c>
      <c r="I597" s="89">
        <f>I33</f>
        <v>200000</v>
      </c>
      <c r="J597" s="154"/>
      <c r="K597" s="133"/>
      <c r="N597" s="135"/>
    </row>
    <row r="598" spans="1:14" s="134" customFormat="1" ht="36.75" customHeight="1">
      <c r="A598" s="328"/>
      <c r="B598" s="328"/>
      <c r="C598" s="328"/>
      <c r="D598" s="328"/>
      <c r="E598" s="366"/>
      <c r="F598" s="409" t="s">
        <v>1247</v>
      </c>
      <c r="G598" s="89">
        <f>G191+G63+G53</f>
        <v>265049</v>
      </c>
      <c r="H598" s="89">
        <f>H191+H63+H53</f>
        <v>123565</v>
      </c>
      <c r="I598" s="89">
        <f>I191+I63+I53</f>
        <v>388614</v>
      </c>
      <c r="J598" s="154"/>
      <c r="K598" s="133"/>
      <c r="N598" s="135"/>
    </row>
    <row r="599" spans="1:14" s="134" customFormat="1" ht="51" customHeight="1">
      <c r="A599" s="328"/>
      <c r="B599" s="328"/>
      <c r="C599" s="328"/>
      <c r="D599" s="328"/>
      <c r="E599" s="366"/>
      <c r="F599" s="236" t="s">
        <v>1179</v>
      </c>
      <c r="G599" s="89">
        <f>G46+G50</f>
        <v>20000000</v>
      </c>
      <c r="H599" s="89">
        <f>H46+H50+H116+H127+H119</f>
        <v>10000000</v>
      </c>
      <c r="I599" s="89">
        <f>I46+I50+I116+I127+I119</f>
        <v>30000000</v>
      </c>
      <c r="J599" s="154"/>
      <c r="K599" s="133"/>
      <c r="N599" s="135"/>
    </row>
    <row r="600" spans="1:14" s="134" customFormat="1" ht="36.75" customHeight="1">
      <c r="A600" s="328"/>
      <c r="B600" s="328"/>
      <c r="C600" s="328"/>
      <c r="D600" s="328"/>
      <c r="E600" s="366"/>
      <c r="F600" s="263" t="s">
        <v>1229</v>
      </c>
      <c r="G600" s="89">
        <f>G89</f>
        <v>2025677</v>
      </c>
      <c r="H600" s="89">
        <f>H89</f>
        <v>0</v>
      </c>
      <c r="I600" s="89">
        <f>I89</f>
        <v>2025677</v>
      </c>
      <c r="J600" s="154"/>
      <c r="K600" s="133"/>
      <c r="N600" s="135"/>
    </row>
    <row r="601" spans="1:14" s="134" customFormat="1" ht="36.75" customHeight="1">
      <c r="A601" s="328"/>
      <c r="B601" s="328"/>
      <c r="C601" s="328"/>
      <c r="D601" s="328"/>
      <c r="E601" s="366"/>
      <c r="F601" s="404" t="s">
        <v>1225</v>
      </c>
      <c r="G601" s="89">
        <f>G35+G225+G257+G374+G387+G409+G431+G453+G474+G496+G517</f>
        <v>17461234</v>
      </c>
      <c r="H601" s="89">
        <f>H35+H225+H257+H374+H387+H409+H431+H453+H474+H496+H517</f>
        <v>19471766</v>
      </c>
      <c r="I601" s="89">
        <f>I35+I225+I257+I374+I387+I409+I431+I453+I474+I496+I517</f>
        <v>36933000</v>
      </c>
      <c r="J601" s="154"/>
      <c r="K601" s="133"/>
      <c r="N601" s="135"/>
    </row>
    <row r="602" spans="1:14" s="134" customFormat="1" ht="36.75" customHeight="1">
      <c r="A602" s="328"/>
      <c r="B602" s="328"/>
      <c r="C602" s="328"/>
      <c r="D602" s="328"/>
      <c r="E602" s="366"/>
      <c r="F602" s="395" t="s">
        <v>1201</v>
      </c>
      <c r="G602" s="89">
        <f>G362</f>
        <v>4784670</v>
      </c>
      <c r="H602" s="89">
        <f>H362</f>
        <v>0</v>
      </c>
      <c r="I602" s="89">
        <f>I362</f>
        <v>4784670</v>
      </c>
      <c r="J602" s="154"/>
      <c r="K602" s="133"/>
      <c r="N602" s="135"/>
    </row>
    <row r="603" spans="1:14" s="134" customFormat="1" ht="36.75" customHeight="1">
      <c r="A603" s="328"/>
      <c r="B603" s="328"/>
      <c r="C603" s="328"/>
      <c r="D603" s="328"/>
      <c r="E603" s="366"/>
      <c r="F603" s="344" t="s">
        <v>502</v>
      </c>
      <c r="G603" s="89">
        <f>G373</f>
        <v>20000</v>
      </c>
      <c r="H603" s="89">
        <f>H373</f>
        <v>0</v>
      </c>
      <c r="I603" s="89">
        <f>I373</f>
        <v>20000</v>
      </c>
      <c r="J603" s="154"/>
      <c r="K603" s="133"/>
      <c r="N603" s="135"/>
    </row>
    <row r="604" spans="1:14" s="136" customFormat="1" ht="15.75">
      <c r="A604" s="329"/>
      <c r="B604" s="329"/>
      <c r="C604" s="329"/>
      <c r="D604" s="329"/>
      <c r="E604" s="323"/>
      <c r="F604" s="90" t="s">
        <v>265</v>
      </c>
      <c r="G604" s="91">
        <f>SUM(G540:G603)</f>
        <v>1434386600</v>
      </c>
      <c r="H604" s="91">
        <f>SUM(H540:H603)</f>
        <v>1685096239</v>
      </c>
      <c r="I604" s="91">
        <f>SUM(I540:I603)</f>
        <v>3119482839</v>
      </c>
      <c r="J604" s="155"/>
      <c r="N604" s="137"/>
    </row>
    <row r="605" spans="3:14" ht="27.75" customHeight="1">
      <c r="C605" s="236"/>
      <c r="D605" s="236"/>
      <c r="E605" s="310"/>
      <c r="F605" s="90" t="s">
        <v>1197</v>
      </c>
      <c r="G605" s="95">
        <f>G534-G604</f>
        <v>0</v>
      </c>
      <c r="H605" s="297">
        <f>H534-H604</f>
        <v>0</v>
      </c>
      <c r="I605" s="95">
        <f>I534-I604</f>
        <v>0</v>
      </c>
      <c r="J605" s="152"/>
      <c r="N605" s="94"/>
    </row>
    <row r="606" spans="3:14" ht="27.75" customHeight="1">
      <c r="C606" s="236"/>
      <c r="D606" s="330">
        <v>1060</v>
      </c>
      <c r="E606" s="75" t="s">
        <v>1037</v>
      </c>
      <c r="F606" s="78">
        <v>70303</v>
      </c>
      <c r="G606" s="195">
        <f>G172</f>
        <v>312136</v>
      </c>
      <c r="H606" s="298">
        <f>H172</f>
        <v>108583</v>
      </c>
      <c r="I606" s="195">
        <f>I172</f>
        <v>420719</v>
      </c>
      <c r="J606" s="152"/>
      <c r="N606" s="94"/>
    </row>
    <row r="607" spans="3:14" ht="35.25" customHeight="1">
      <c r="C607" s="236"/>
      <c r="D607" s="330">
        <v>3030</v>
      </c>
      <c r="E607" s="75" t="s">
        <v>1044</v>
      </c>
      <c r="F607" s="78" t="s">
        <v>1043</v>
      </c>
      <c r="G607" s="76">
        <f>G86+G156+G155</f>
        <v>2050688</v>
      </c>
      <c r="H607" s="299">
        <f>H86+H156+H155</f>
        <v>0</v>
      </c>
      <c r="I607" s="76">
        <f>I86+I156+I155</f>
        <v>2050688</v>
      </c>
      <c r="J607" s="152"/>
      <c r="N607" s="94"/>
    </row>
    <row r="608" spans="3:14" ht="18.75">
      <c r="C608" s="236"/>
      <c r="D608" s="330">
        <v>3400</v>
      </c>
      <c r="E608" s="75" t="s">
        <v>93</v>
      </c>
      <c r="F608" s="78">
        <v>90412</v>
      </c>
      <c r="G608" s="76">
        <f>G162+G163+G164+G261+G262+G89</f>
        <v>79183496</v>
      </c>
      <c r="H608" s="76">
        <f>H162+H163+H164+H261+H262+H89</f>
        <v>0</v>
      </c>
      <c r="I608" s="76">
        <f>I162+I163+I164+I261+I262+I89</f>
        <v>79183496</v>
      </c>
      <c r="J608" s="152"/>
      <c r="N608" s="94"/>
    </row>
    <row r="609" spans="3:14" ht="18.75">
      <c r="C609" s="236"/>
      <c r="D609" s="330">
        <v>3160</v>
      </c>
      <c r="E609" s="75" t="s">
        <v>1038</v>
      </c>
      <c r="F609" s="78">
        <v>91108</v>
      </c>
      <c r="G609" s="76">
        <f>G70</f>
        <v>10746342</v>
      </c>
      <c r="H609" s="299">
        <f>H70</f>
        <v>0</v>
      </c>
      <c r="I609" s="76">
        <f>I70</f>
        <v>10746342</v>
      </c>
      <c r="J609" s="152"/>
      <c r="N609" s="94"/>
    </row>
    <row r="610" spans="3:14" ht="18.75">
      <c r="C610" s="236"/>
      <c r="D610" s="330">
        <v>3202</v>
      </c>
      <c r="E610" s="75" t="s">
        <v>1042</v>
      </c>
      <c r="F610" s="78">
        <v>91209</v>
      </c>
      <c r="G610" s="76">
        <f>G158+G159</f>
        <v>2527808</v>
      </c>
      <c r="H610" s="299">
        <f>H158+H159</f>
        <v>170000</v>
      </c>
      <c r="I610" s="76">
        <f>I158+I159</f>
        <v>2697808</v>
      </c>
      <c r="J610" s="152"/>
      <c r="N610" s="94"/>
    </row>
    <row r="611" spans="3:14" ht="18" customHeight="1">
      <c r="C611" s="452">
        <v>3030</v>
      </c>
      <c r="D611" s="330">
        <v>3031</v>
      </c>
      <c r="E611" s="75" t="s">
        <v>1039</v>
      </c>
      <c r="F611" s="78">
        <v>90203</v>
      </c>
      <c r="G611" s="76">
        <f aca="true" t="shared" si="14" ref="G611:I613">G144</f>
        <v>2511906</v>
      </c>
      <c r="H611" s="299">
        <f t="shared" si="14"/>
        <v>80000</v>
      </c>
      <c r="I611" s="76">
        <f t="shared" si="14"/>
        <v>2591906</v>
      </c>
      <c r="J611" s="152"/>
      <c r="N611" s="94"/>
    </row>
    <row r="612" spans="3:14" ht="18" customHeight="1">
      <c r="C612" s="453"/>
      <c r="D612" s="330">
        <v>3033</v>
      </c>
      <c r="E612" s="75" t="s">
        <v>1040</v>
      </c>
      <c r="F612" s="78">
        <v>90209</v>
      </c>
      <c r="G612" s="76">
        <f t="shared" si="14"/>
        <v>81291</v>
      </c>
      <c r="H612" s="299">
        <f t="shared" si="14"/>
        <v>0</v>
      </c>
      <c r="I612" s="76">
        <f t="shared" si="14"/>
        <v>81291</v>
      </c>
      <c r="J612" s="152"/>
      <c r="N612" s="94"/>
    </row>
    <row r="613" spans="3:14" ht="18" customHeight="1">
      <c r="C613" s="453"/>
      <c r="D613" s="330">
        <v>3034</v>
      </c>
      <c r="E613" s="75" t="s">
        <v>1041</v>
      </c>
      <c r="F613" s="78">
        <v>90214</v>
      </c>
      <c r="G613" s="76">
        <f t="shared" si="14"/>
        <v>3924640</v>
      </c>
      <c r="H613" s="299">
        <f t="shared" si="14"/>
        <v>0</v>
      </c>
      <c r="I613" s="76">
        <f t="shared" si="14"/>
        <v>3924640</v>
      </c>
      <c r="J613" s="152"/>
      <c r="N613" s="94"/>
    </row>
    <row r="614" spans="3:14" ht="19.5" customHeight="1">
      <c r="C614" s="454"/>
      <c r="D614" s="330"/>
      <c r="E614" s="75"/>
      <c r="F614" s="78" t="s">
        <v>1053</v>
      </c>
      <c r="G614" s="76">
        <f>G147+G148+G149+G150</f>
        <v>62944499</v>
      </c>
      <c r="H614" s="299">
        <f>H147+H148+H149+H150</f>
        <v>0</v>
      </c>
      <c r="I614" s="76">
        <f>I147+I148+I149+I150</f>
        <v>62944499</v>
      </c>
      <c r="J614" s="152"/>
      <c r="N614" s="94"/>
    </row>
    <row r="615" spans="3:14" ht="18.75">
      <c r="C615" s="236"/>
      <c r="D615" s="330">
        <v>3240</v>
      </c>
      <c r="E615" s="367" t="s">
        <v>497</v>
      </c>
      <c r="F615" s="78">
        <v>90501</v>
      </c>
      <c r="G615" s="76">
        <f>G71+G160+G259</f>
        <v>662972</v>
      </c>
      <c r="H615" s="299">
        <f>H71+H160+H259</f>
        <v>0</v>
      </c>
      <c r="I615" s="76">
        <f>I71+I160+I259</f>
        <v>662972</v>
      </c>
      <c r="J615" s="152"/>
      <c r="N615" s="94"/>
    </row>
    <row r="616" spans="3:14" ht="25.5">
      <c r="C616" s="236"/>
      <c r="D616" s="330">
        <v>3112</v>
      </c>
      <c r="E616" s="368" t="s">
        <v>741</v>
      </c>
      <c r="F616" s="78">
        <v>90802</v>
      </c>
      <c r="G616" s="76">
        <f>G175</f>
        <v>506795</v>
      </c>
      <c r="H616" s="299">
        <f>H175</f>
        <v>0</v>
      </c>
      <c r="I616" s="76">
        <f>I175</f>
        <v>506795</v>
      </c>
      <c r="J616" s="152"/>
      <c r="N616" s="94"/>
    </row>
    <row r="617" spans="3:14" ht="31.5">
      <c r="C617" s="236"/>
      <c r="D617" s="330">
        <v>6010</v>
      </c>
      <c r="E617" s="75" t="s">
        <v>1051</v>
      </c>
      <c r="F617" s="78">
        <v>100101</v>
      </c>
      <c r="G617" s="76">
        <f>G227+G389+G390+G411+G433+G455+G476+G498+G519+G228+G412</f>
        <v>41274185</v>
      </c>
      <c r="H617" s="76">
        <f>H227+H389+H390+H411+H433+H455+H476+H498+H519+H228+H412</f>
        <v>0</v>
      </c>
      <c r="I617" s="76">
        <f>I227+I389+I390+I411+I433+I455+I476+I498+I519+I228+I412</f>
        <v>41274185</v>
      </c>
      <c r="J617" s="152"/>
      <c r="N617" s="94"/>
    </row>
    <row r="618" spans="1:14" ht="18.75">
      <c r="A618" s="115"/>
      <c r="B618" s="115"/>
      <c r="C618" s="236"/>
      <c r="D618" s="330">
        <v>6060</v>
      </c>
      <c r="E618" s="75" t="s">
        <v>1052</v>
      </c>
      <c r="F618" s="78">
        <v>100203</v>
      </c>
      <c r="G618" s="76">
        <f>G264+G265+G266+G391+G392+G413+G434+G456+G457+G477+G478+G500+G520+G521+G499</f>
        <v>135386127</v>
      </c>
      <c r="H618" s="299">
        <f>H264+H265+H266+H391+H392+H413+H434+H456+H457+H477+H478+H500+H520+H521+H499</f>
        <v>6872960</v>
      </c>
      <c r="I618" s="76">
        <f>I264+I265+I266+I391+I392+I413+I434+I456+I457+I477+I478+I500+I520+I521+I499</f>
        <v>142259087</v>
      </c>
      <c r="J618" s="157">
        <f>H618-J456-J434-J413</f>
        <v>6460729</v>
      </c>
      <c r="K618" s="173"/>
      <c r="N618" s="94"/>
    </row>
    <row r="619" spans="3:14" ht="18.75">
      <c r="C619" s="236"/>
      <c r="D619" s="330">
        <v>6650</v>
      </c>
      <c r="E619" s="75" t="s">
        <v>1034</v>
      </c>
      <c r="F619" s="78">
        <v>170703</v>
      </c>
      <c r="G619" s="76">
        <f>G271</f>
        <v>267571468</v>
      </c>
      <c r="H619" s="299">
        <f>H271</f>
        <v>181854681</v>
      </c>
      <c r="I619" s="76">
        <f>I271</f>
        <v>449426149</v>
      </c>
      <c r="J619" s="152"/>
      <c r="K619" s="173"/>
      <c r="N619" s="94"/>
    </row>
    <row r="620" spans="3:14" ht="18.75">
      <c r="C620" s="236"/>
      <c r="D620" s="330">
        <v>7200</v>
      </c>
      <c r="E620" s="75" t="s">
        <v>563</v>
      </c>
      <c r="F620" s="78">
        <v>120000</v>
      </c>
      <c r="G620" s="76">
        <f>G19+G18</f>
        <v>8726760</v>
      </c>
      <c r="H620" s="299">
        <f>H19+H18</f>
        <v>5814455</v>
      </c>
      <c r="I620" s="76">
        <f>I19+I18</f>
        <v>14541215</v>
      </c>
      <c r="J620" s="302"/>
      <c r="N620" s="94"/>
    </row>
    <row r="621" spans="3:10" ht="18.75">
      <c r="C621" s="236"/>
      <c r="D621" s="330">
        <v>6640</v>
      </c>
      <c r="E621" s="75" t="s">
        <v>83</v>
      </c>
      <c r="F621" s="78">
        <v>170603</v>
      </c>
      <c r="G621" s="76">
        <f>G331</f>
        <v>58800000</v>
      </c>
      <c r="H621" s="299">
        <f>H331</f>
        <v>0</v>
      </c>
      <c r="I621" s="76">
        <f>I331</f>
        <v>58800000</v>
      </c>
      <c r="J621" s="152"/>
    </row>
    <row r="622" spans="3:10" ht="31.5">
      <c r="C622" s="236"/>
      <c r="D622" s="330">
        <v>6700</v>
      </c>
      <c r="E622" s="75" t="s">
        <v>1054</v>
      </c>
      <c r="F622" s="78">
        <v>171000</v>
      </c>
      <c r="G622" s="76">
        <f>G333+G334+G335</f>
        <v>1200000</v>
      </c>
      <c r="H622" s="299">
        <f>H333+H334+H335</f>
        <v>20000000</v>
      </c>
      <c r="I622" s="76">
        <f>I333+I334+I335</f>
        <v>21200000</v>
      </c>
      <c r="J622" s="152"/>
    </row>
    <row r="623" spans="3:10" ht="18.75">
      <c r="C623" s="236"/>
      <c r="D623" s="330">
        <v>7450</v>
      </c>
      <c r="E623" s="279" t="s">
        <v>1055</v>
      </c>
      <c r="F623" s="78">
        <v>180404</v>
      </c>
      <c r="G623" s="76">
        <f>G212</f>
        <v>680000</v>
      </c>
      <c r="H623" s="299">
        <f>H212</f>
        <v>0</v>
      </c>
      <c r="I623" s="76">
        <f>I212</f>
        <v>680000</v>
      </c>
      <c r="J623" s="152"/>
    </row>
    <row r="624" spans="3:10" ht="25.5">
      <c r="C624" s="236"/>
      <c r="D624" s="330">
        <v>7501</v>
      </c>
      <c r="E624" s="280" t="s">
        <v>1056</v>
      </c>
      <c r="F624" s="78">
        <v>180410</v>
      </c>
      <c r="G624" s="76">
        <f>G203</f>
        <v>622205</v>
      </c>
      <c r="H624" s="299">
        <f>H203</f>
        <v>0</v>
      </c>
      <c r="I624" s="76">
        <f>I203</f>
        <v>622205</v>
      </c>
      <c r="J624" s="152"/>
    </row>
    <row r="625" spans="3:10" ht="25.5">
      <c r="C625" s="396"/>
      <c r="D625" s="330">
        <v>7502</v>
      </c>
      <c r="E625" s="280" t="s">
        <v>1199</v>
      </c>
      <c r="F625" s="78">
        <v>180410</v>
      </c>
      <c r="G625" s="76">
        <f>G362</f>
        <v>4784670</v>
      </c>
      <c r="H625" s="76">
        <f>H362</f>
        <v>0</v>
      </c>
      <c r="I625" s="76">
        <f>I362</f>
        <v>4784670</v>
      </c>
      <c r="J625" s="152"/>
    </row>
    <row r="626" spans="3:11" ht="31.5">
      <c r="C626" s="236"/>
      <c r="D626" s="330">
        <v>7810</v>
      </c>
      <c r="E626" s="75" t="s">
        <v>1035</v>
      </c>
      <c r="F626" s="78">
        <v>210105</v>
      </c>
      <c r="G626" s="76">
        <f aca="true" t="shared" si="15" ref="G626:I627">G350</f>
        <v>4662123</v>
      </c>
      <c r="H626" s="299">
        <f t="shared" si="15"/>
        <v>93043</v>
      </c>
      <c r="I626" s="76">
        <f t="shared" si="15"/>
        <v>4755166</v>
      </c>
      <c r="J626" s="157">
        <f>H626-J350</f>
        <v>0</v>
      </c>
      <c r="K626" s="173"/>
    </row>
    <row r="627" spans="3:11" ht="18.75">
      <c r="C627" s="236"/>
      <c r="D627" s="330">
        <v>7840</v>
      </c>
      <c r="E627" s="75" t="s">
        <v>1036</v>
      </c>
      <c r="F627" s="78">
        <v>210110</v>
      </c>
      <c r="G627" s="76">
        <f t="shared" si="15"/>
        <v>4988633</v>
      </c>
      <c r="H627" s="299">
        <f t="shared" si="15"/>
        <v>121145</v>
      </c>
      <c r="I627" s="76">
        <f t="shared" si="15"/>
        <v>5109778</v>
      </c>
      <c r="J627" s="157">
        <f>H627-J351</f>
        <v>0</v>
      </c>
      <c r="K627" s="173"/>
    </row>
    <row r="628" spans="3:10" ht="63">
      <c r="C628" s="236"/>
      <c r="D628" s="330">
        <v>8108</v>
      </c>
      <c r="E628" s="75" t="s">
        <v>303</v>
      </c>
      <c r="F628" s="78">
        <v>250913</v>
      </c>
      <c r="G628" s="76">
        <f>G108</f>
        <v>150000</v>
      </c>
      <c r="H628" s="299">
        <f>H108</f>
        <v>0</v>
      </c>
      <c r="I628" s="76">
        <f>I108</f>
        <v>150000</v>
      </c>
      <c r="J628" s="152"/>
    </row>
    <row r="629" spans="3:10" ht="18.75">
      <c r="C629" s="236"/>
      <c r="D629" s="330">
        <v>6021</v>
      </c>
      <c r="E629" s="75" t="s">
        <v>798</v>
      </c>
      <c r="F629" s="78">
        <v>100102</v>
      </c>
      <c r="G629" s="76">
        <f>G230+G231+G232</f>
        <v>0</v>
      </c>
      <c r="H629" s="299">
        <f>H230+H231+H232</f>
        <v>405942786</v>
      </c>
      <c r="I629" s="76">
        <f>I230+I231+I232</f>
        <v>405942786</v>
      </c>
      <c r="J629" s="152"/>
    </row>
    <row r="630" spans="1:14" s="77" customFormat="1" ht="18.75">
      <c r="A630" s="331"/>
      <c r="B630" s="331"/>
      <c r="C630" s="330"/>
      <c r="D630" s="330">
        <v>6310</v>
      </c>
      <c r="E630" s="75" t="s">
        <v>1057</v>
      </c>
      <c r="F630" s="78">
        <v>150101</v>
      </c>
      <c r="G630" s="76">
        <f>G21+G73+G104+G136+G166+G201+G210+G237+G268+G269+G315+G326+G327+G328+G329+G357+G394+G416+G436+G437+G459+G480+G481+G502+G523+G137+G238</f>
        <v>0</v>
      </c>
      <c r="H630" s="299">
        <f>H21+H73+H104+H136+H166+H201+H210+H237+H268+H269+H315+H326+H327+H328+H329+H357+H394+H416+H436+H437+H459+H480+H481+H502+H523+H137+H238</f>
        <v>577761736</v>
      </c>
      <c r="I630" s="76">
        <f>I21+I73+I104+I136+I166+I201+I210+I237+I268+I269+I315+I326+I327+I328+I329+I357+I394+I416+I436+I437+I459+I480+I481+I502+I523+I137+I238</f>
        <v>577761736</v>
      </c>
      <c r="J630" s="157"/>
      <c r="N630" s="79"/>
    </row>
    <row r="631" spans="1:14" s="77" customFormat="1" ht="47.25">
      <c r="A631" s="331"/>
      <c r="B631" s="331"/>
      <c r="C631" s="330"/>
      <c r="D631" s="330">
        <v>6330</v>
      </c>
      <c r="E631" s="75" t="s">
        <v>624</v>
      </c>
      <c r="F631" s="78">
        <v>150110</v>
      </c>
      <c r="G631" s="76">
        <f>G74</f>
        <v>0</v>
      </c>
      <c r="H631" s="299">
        <f>H74</f>
        <v>55030465</v>
      </c>
      <c r="I631" s="76">
        <f>I74</f>
        <v>55030465</v>
      </c>
      <c r="J631" s="157"/>
      <c r="N631" s="79"/>
    </row>
    <row r="632" spans="1:14" s="77" customFormat="1" ht="47.25">
      <c r="A632" s="331"/>
      <c r="B632" s="331"/>
      <c r="C632" s="330"/>
      <c r="D632" s="330">
        <v>6350</v>
      </c>
      <c r="E632" s="75" t="s">
        <v>477</v>
      </c>
      <c r="F632" s="78">
        <v>150112</v>
      </c>
      <c r="G632" s="76">
        <f>G76</f>
        <v>0</v>
      </c>
      <c r="H632" s="299">
        <f>H76</f>
        <v>2347465</v>
      </c>
      <c r="I632" s="76">
        <f>I76</f>
        <v>2347465</v>
      </c>
      <c r="J632" s="156"/>
      <c r="N632" s="79"/>
    </row>
    <row r="633" spans="1:14" s="77" customFormat="1" ht="18.75">
      <c r="A633" s="331"/>
      <c r="B633" s="331"/>
      <c r="C633" s="330"/>
      <c r="D633" s="330">
        <v>6324</v>
      </c>
      <c r="E633" s="75" t="s">
        <v>1058</v>
      </c>
      <c r="F633" s="78">
        <v>150118</v>
      </c>
      <c r="G633" s="76">
        <f>G240</f>
        <v>0</v>
      </c>
      <c r="H633" s="299">
        <f>H240</f>
        <v>0</v>
      </c>
      <c r="I633" s="76">
        <f>I240</f>
        <v>0</v>
      </c>
      <c r="J633" s="156"/>
      <c r="N633" s="79"/>
    </row>
    <row r="634" spans="1:14" s="77" customFormat="1" ht="63">
      <c r="A634" s="331"/>
      <c r="B634" s="331"/>
      <c r="C634" s="330"/>
      <c r="D634" s="330">
        <v>6400</v>
      </c>
      <c r="E634" s="75" t="s">
        <v>1059</v>
      </c>
      <c r="F634" s="78">
        <v>150121</v>
      </c>
      <c r="G634" s="76">
        <f>G241+G358</f>
        <v>0</v>
      </c>
      <c r="H634" s="299">
        <f>H241+H358</f>
        <v>0</v>
      </c>
      <c r="I634" s="76">
        <f>I241+I358</f>
        <v>0</v>
      </c>
      <c r="J634" s="156"/>
      <c r="N634" s="79"/>
    </row>
    <row r="635" spans="1:14" s="77" customFormat="1" ht="31.5">
      <c r="A635" s="331"/>
      <c r="B635" s="331"/>
      <c r="C635" s="330"/>
      <c r="D635" s="330">
        <v>6430</v>
      </c>
      <c r="E635" s="75" t="s">
        <v>1060</v>
      </c>
      <c r="F635" s="78">
        <v>150202</v>
      </c>
      <c r="G635" s="76">
        <f>G291</f>
        <v>0</v>
      </c>
      <c r="H635" s="299">
        <f>H291</f>
        <v>2357560</v>
      </c>
      <c r="I635" s="76">
        <f>I291</f>
        <v>2357560</v>
      </c>
      <c r="J635" s="156"/>
      <c r="N635" s="79"/>
    </row>
    <row r="636" spans="1:14" s="77" customFormat="1" ht="18.75">
      <c r="A636" s="331"/>
      <c r="B636" s="331"/>
      <c r="C636" s="330"/>
      <c r="D636" s="330">
        <v>7470</v>
      </c>
      <c r="E636" s="75" t="s">
        <v>1061</v>
      </c>
      <c r="F636" s="78">
        <v>180409</v>
      </c>
      <c r="G636" s="76">
        <f>G24+G243+G244+G273+G337+G338+G339+G340+G360</f>
        <v>0</v>
      </c>
      <c r="H636" s="299">
        <f>H24+H243+H244+H273+H337+H338+H339+H340+H360</f>
        <v>106087137</v>
      </c>
      <c r="I636" s="76">
        <f>I24+I243+I244+I273+I337+I338+I339+I340+I360</f>
        <v>106087137</v>
      </c>
      <c r="J636" s="156"/>
      <c r="N636" s="79"/>
    </row>
    <row r="637" spans="1:14" s="77" customFormat="1" ht="31.5">
      <c r="A637" s="331"/>
      <c r="B637" s="331"/>
      <c r="C637" s="330"/>
      <c r="D637" s="330">
        <v>6022</v>
      </c>
      <c r="E637" s="75" t="s">
        <v>261</v>
      </c>
      <c r="F637" s="78">
        <v>100106</v>
      </c>
      <c r="G637" s="76">
        <f>G233+G234</f>
        <v>0</v>
      </c>
      <c r="H637" s="299">
        <f>H233+H234</f>
        <v>90017312</v>
      </c>
      <c r="I637" s="76">
        <f>I233+I234</f>
        <v>90017312</v>
      </c>
      <c r="J637" s="156"/>
      <c r="N637" s="79"/>
    </row>
    <row r="638" spans="1:14" s="77" customFormat="1" ht="18.75">
      <c r="A638" s="331"/>
      <c r="B638" s="331"/>
      <c r="C638" s="330"/>
      <c r="D638" s="330">
        <v>7700</v>
      </c>
      <c r="E638" s="75" t="s">
        <v>1062</v>
      </c>
      <c r="F638" s="78">
        <v>200700</v>
      </c>
      <c r="G638" s="92"/>
      <c r="H638" s="300"/>
      <c r="I638" s="92"/>
      <c r="J638" s="156"/>
      <c r="N638" s="79"/>
    </row>
    <row r="639" spans="1:14" s="77" customFormat="1" ht="31.5">
      <c r="A639" s="331"/>
      <c r="B639" s="331"/>
      <c r="C639" s="330"/>
      <c r="D639" s="330">
        <v>9180</v>
      </c>
      <c r="E639" s="75" t="s">
        <v>105</v>
      </c>
      <c r="F639" s="78">
        <v>240900</v>
      </c>
      <c r="G639" s="76">
        <f>G38+G80+G369+G404+G426+G448+G469+G491+G512+G533</f>
        <v>0</v>
      </c>
      <c r="H639" s="299">
        <f>H38+H80+H369+H404+H426+H448+H469+H491+H512+H533</f>
        <v>150000</v>
      </c>
      <c r="I639" s="76">
        <f>I38+I80+I369+I404+I426+I448+I469+I491+I512+I533</f>
        <v>150000</v>
      </c>
      <c r="J639" s="156"/>
      <c r="N639" s="79"/>
    </row>
    <row r="640" spans="1:14" s="77" customFormat="1" ht="16.5" customHeight="1">
      <c r="A640" s="331"/>
      <c r="B640" s="331"/>
      <c r="C640" s="330"/>
      <c r="D640" s="330">
        <v>100</v>
      </c>
      <c r="E640" s="75" t="s">
        <v>1033</v>
      </c>
      <c r="F640" s="78" t="s">
        <v>479</v>
      </c>
      <c r="G640" s="76">
        <f>G14+G42+G84+G112+G141+G170+G179+G183+G207+G220+G224+G256+G283+G290+G299+G303+G307+G313+G324+G348+G355+G373+G386+G408+G430+G452+G473+G495+G516+G208+G374+G15+G225+G257+G387+G409+G431+G453+G474+G496+G517</f>
        <v>13425765</v>
      </c>
      <c r="H640" s="76">
        <f>H14+H42+H84+H112+H141+H170+H179+H183+H207+H220+H224+H256+H283+H290+H299+H303+H307+H313+H324+H348+H355+H373+H386+H408+H430+H452+H473+H495+H516+H208+H374+H15+H225+H257+H387+H409+H431+H453+H474+H496+H517</f>
        <v>23665680</v>
      </c>
      <c r="I640" s="76">
        <f>I14+I42+I84+I112+I141+I170+I179+I183+I207+I220+I224+I256+I283+I290+I299+I303+I307+I313+I324+I348+I355+I373+I386+I408+I430+I452+I473+I495+I516+I208+I374+I15+I225+I257+I387+I409+I431+I453+I474+I496+I517</f>
        <v>37091445</v>
      </c>
      <c r="J640" s="157"/>
      <c r="N640" s="79"/>
    </row>
    <row r="641" spans="1:14" s="77" customFormat="1" ht="16.5" customHeight="1">
      <c r="A641" s="331"/>
      <c r="B641" s="331"/>
      <c r="C641" s="330"/>
      <c r="D641" s="330">
        <v>8370</v>
      </c>
      <c r="E641" s="75" t="s">
        <v>1063</v>
      </c>
      <c r="F641" s="78">
        <v>250344</v>
      </c>
      <c r="G641" s="76">
        <f>G381</f>
        <v>0</v>
      </c>
      <c r="H641" s="299">
        <f>H381</f>
        <v>0</v>
      </c>
      <c r="I641" s="76">
        <f>I381</f>
        <v>0</v>
      </c>
      <c r="J641" s="156"/>
      <c r="N641" s="79"/>
    </row>
    <row r="642" spans="1:14" s="77" customFormat="1" ht="16.5" customHeight="1">
      <c r="A642" s="331"/>
      <c r="B642" s="331"/>
      <c r="C642" s="330"/>
      <c r="D642" s="330">
        <v>8600</v>
      </c>
      <c r="E642" s="75" t="s">
        <v>92</v>
      </c>
      <c r="F642" s="78">
        <v>250404</v>
      </c>
      <c r="G642" s="185">
        <f>G27+G28+G29+G30+G31+G32+G34+G215+G216+G247+G248+G249+G276+G277+G286+G294+G295+G343+G318+G344+G365+G377+G397+G398+G399+G400+G401+G419+G420+G421+G422+G423+G440+G441+G442+G443+G444+G462+G463+G464+G465+G466+G484+G485+G486+G487+G488+G505+G506+G507+G508+G509+G526+G528+G527+G529+G530+G366+G250+G33+G35</f>
        <v>399751221</v>
      </c>
      <c r="H642" s="185">
        <f>H27+H28+H29+H30+H31+H32+H34+H215+H216+H247+H248+H249+H276+H277+H286+H294+H295+H343+H318+H344+H365+H377+H397+H398+H399+H400+H401+H419+H420+H421+H422+H423+H440+H441+H442+H443+H444+H462+H463+H464+H465+H466+H484+H485+H486+H487+H488+H505+H506+H507+H508+H509+H526+H528+H527+H529+H530+H366+H250+H33+H35</f>
        <v>20241766</v>
      </c>
      <c r="I642" s="185">
        <f>I27+I28+I29+I30+I31+I32+I34+I215+I216+I247+I248+I249+I276+I277+I286+I294+I295+I343+I318+I344+I365+I377+I397+I398+I399+I400+I401+I419+I420+I421+I422+I423+I440+I441+I442+I443+I444+I462+I463+I464+I465+I466+I484+I485+I486+I487+I488+I505+I506+I507+I508+I509+I526+I528+I527+I529+I530+I366+I250+I33+I35</f>
        <v>419992987</v>
      </c>
      <c r="J642" s="156"/>
      <c r="N642" s="79"/>
    </row>
    <row r="643" spans="1:14" s="77" customFormat="1" ht="16.5" customHeight="1">
      <c r="A643" s="331"/>
      <c r="B643" s="331"/>
      <c r="C643" s="330"/>
      <c r="D643" s="330">
        <v>1000</v>
      </c>
      <c r="E643" s="75" t="s">
        <v>595</v>
      </c>
      <c r="F643" s="78">
        <v>70000</v>
      </c>
      <c r="G643" s="299">
        <f>G44+G45+G47+G48+G49+G51+G52+G54+G55+G56+G57+G58+G59+G60+G61+G62+G64+G65+G66+G67+G68+G172+G63+G53+G46+G50</f>
        <v>165570690</v>
      </c>
      <c r="H643" s="299">
        <f>H44+H45+H47+H48+H49+H51+H52+H54+H55+H56+H57+H58+H59+H60+H61+H62+H64+H65+H66+H67+H68+H172+H63+H53+H46+H50</f>
        <v>40123857</v>
      </c>
      <c r="I643" s="299">
        <f>I44+I45+I47+I48+I49+I51+I52+I54+I55+I56+I57+I58+I59+I60+I61+I62+I64+I65+I66+I67+I68+I172+I63+I53+I46+I50</f>
        <v>205694547</v>
      </c>
      <c r="J643" s="157">
        <f>J39</f>
        <v>161193</v>
      </c>
      <c r="K643" s="172">
        <f>H643-J643</f>
        <v>39962664</v>
      </c>
      <c r="L643" s="172"/>
      <c r="N643" s="189">
        <f>K643-38204764</f>
        <v>1757900</v>
      </c>
    </row>
    <row r="644" spans="1:14" s="77" customFormat="1" ht="16.5" customHeight="1">
      <c r="A644" s="331"/>
      <c r="B644" s="331"/>
      <c r="C644" s="330"/>
      <c r="D644" s="330">
        <v>2000</v>
      </c>
      <c r="E644" s="75" t="s">
        <v>667</v>
      </c>
      <c r="F644" s="78">
        <v>80000</v>
      </c>
      <c r="G644" s="76">
        <f>G114+G115+G117+G118+G120+G121+G122+G123+G124+G125+G126+G128+G129+G131+G133+G134</f>
        <v>106065287</v>
      </c>
      <c r="H644" s="299">
        <f>H114+H115+H117+H118+H120+H121+H122+H123+H124+H125+H126+H128+H129+H131+H133+H134+H116+H127+H119</f>
        <v>105149870</v>
      </c>
      <c r="I644" s="299">
        <f>I114+I115+I117+I118+I120+I121+I122+I123+I124+I125+I126+I128+I129+I131+I133+I134+I116+I127+I119</f>
        <v>211215157</v>
      </c>
      <c r="J644" s="157">
        <f>H644-J113</f>
        <v>104025064</v>
      </c>
      <c r="K644" s="172"/>
      <c r="N644" s="189">
        <f>K644-77967004</f>
        <v>-77967004</v>
      </c>
    </row>
    <row r="645" spans="1:14" s="77" customFormat="1" ht="16.5" customHeight="1">
      <c r="A645" s="331"/>
      <c r="B645" s="331"/>
      <c r="C645" s="330"/>
      <c r="D645" s="330">
        <v>5000</v>
      </c>
      <c r="E645" s="75" t="s">
        <v>643</v>
      </c>
      <c r="F645" s="78">
        <v>130000</v>
      </c>
      <c r="G645" s="76">
        <f>G92+G93+G95+G96+G98+G100+G102+G99</f>
        <v>7362357</v>
      </c>
      <c r="H645" s="76">
        <f>H92+H93+H95+H96+H98+H100+H102+H99</f>
        <v>3287920</v>
      </c>
      <c r="I645" s="76">
        <f>I92+I93+I95+I96+I98+I100+I102+I99</f>
        <v>10650277</v>
      </c>
      <c r="J645" s="152">
        <f>H645-J81</f>
        <v>3193820</v>
      </c>
      <c r="K645" s="172"/>
      <c r="N645" s="79"/>
    </row>
    <row r="646" spans="1:14" s="77" customFormat="1" ht="30" customHeight="1">
      <c r="A646" s="331"/>
      <c r="B646" s="331"/>
      <c r="C646" s="330"/>
      <c r="D646" s="330">
        <v>3104</v>
      </c>
      <c r="E646" s="75" t="s">
        <v>1045</v>
      </c>
      <c r="F646" s="78">
        <v>91204</v>
      </c>
      <c r="G646" s="76">
        <f>G152+G153</f>
        <v>32926450</v>
      </c>
      <c r="H646" s="299">
        <f>H152+H153</f>
        <v>94500</v>
      </c>
      <c r="I646" s="76">
        <f>I152+I153</f>
        <v>33020950</v>
      </c>
      <c r="J646" s="156"/>
      <c r="N646" s="79"/>
    </row>
    <row r="647" spans="1:14" s="77" customFormat="1" ht="16.5" customHeight="1">
      <c r="A647" s="331"/>
      <c r="B647" s="331"/>
      <c r="C647" s="330"/>
      <c r="D647" s="330"/>
      <c r="E647" s="75"/>
      <c r="F647" s="78">
        <v>250908</v>
      </c>
      <c r="G647" s="76">
        <f>G107</f>
        <v>8135772</v>
      </c>
      <c r="H647" s="299">
        <f>H107</f>
        <v>264228</v>
      </c>
      <c r="I647" s="76">
        <f>I107</f>
        <v>8400000</v>
      </c>
      <c r="J647" s="156"/>
      <c r="N647" s="79"/>
    </row>
    <row r="648" spans="1:14" s="77" customFormat="1" ht="16.5" customHeight="1">
      <c r="A648" s="331"/>
      <c r="B648" s="331"/>
      <c r="C648" s="330"/>
      <c r="D648" s="330">
        <v>4000</v>
      </c>
      <c r="E648" s="75" t="s">
        <v>753</v>
      </c>
      <c r="F648" s="78">
        <v>110000</v>
      </c>
      <c r="G648" s="299">
        <f>G185+G186+G187+G188+G189+G190+G192+G193+G194+G191</f>
        <v>7162450</v>
      </c>
      <c r="H648" s="299">
        <f>H185+H186+H187+H188+H189+H190+H192+H193+H194+H191</f>
        <v>10741466</v>
      </c>
      <c r="I648" s="299">
        <f>I185+I186+I187+I188+I189+I190+I192+I193+I194+I191</f>
        <v>17903916</v>
      </c>
      <c r="J648" s="157">
        <f>H648-J184</f>
        <v>10615196</v>
      </c>
      <c r="K648" s="172"/>
      <c r="N648" s="79"/>
    </row>
    <row r="649" spans="1:14" s="77" customFormat="1" ht="31.5">
      <c r="A649" s="331"/>
      <c r="B649" s="331"/>
      <c r="C649" s="330"/>
      <c r="D649" s="330">
        <v>9110</v>
      </c>
      <c r="E649" s="75" t="s">
        <v>106</v>
      </c>
      <c r="F649" s="78">
        <v>240601</v>
      </c>
      <c r="G649" s="76">
        <f>G78+G252+G279+G320+G446</f>
        <v>0</v>
      </c>
      <c r="H649" s="299">
        <f>H78+H252+H279+H320+H446</f>
        <v>22250000</v>
      </c>
      <c r="I649" s="76">
        <f>I78+I252+I279+I320+I446</f>
        <v>22250000</v>
      </c>
      <c r="J649" s="156"/>
      <c r="N649" s="79"/>
    </row>
    <row r="650" spans="1:14" s="77" customFormat="1" ht="47.25">
      <c r="A650" s="331"/>
      <c r="B650" s="331"/>
      <c r="C650" s="330"/>
      <c r="D650" s="330">
        <v>6100</v>
      </c>
      <c r="E650" s="75" t="s">
        <v>1064</v>
      </c>
      <c r="F650" s="78">
        <v>100208</v>
      </c>
      <c r="G650" s="76">
        <f>G235</f>
        <v>0</v>
      </c>
      <c r="H650" s="299">
        <f>H235</f>
        <v>4576207</v>
      </c>
      <c r="I650" s="76">
        <f>I235</f>
        <v>4576207</v>
      </c>
      <c r="J650" s="156"/>
      <c r="N650" s="79"/>
    </row>
    <row r="651" spans="1:14" s="77" customFormat="1" ht="16.5" customHeight="1">
      <c r="A651" s="331"/>
      <c r="B651" s="331"/>
      <c r="C651" s="330"/>
      <c r="D651" s="330">
        <v>8800</v>
      </c>
      <c r="E651" s="75" t="s">
        <v>289</v>
      </c>
      <c r="F651" s="78">
        <v>250380</v>
      </c>
      <c r="G651" s="76">
        <f>G382</f>
        <v>0</v>
      </c>
      <c r="H651" s="299">
        <f>H382</f>
        <v>0</v>
      </c>
      <c r="I651" s="76">
        <f>I382</f>
        <v>0</v>
      </c>
      <c r="J651" s="156"/>
      <c r="N651" s="79"/>
    </row>
    <row r="652" spans="1:14" s="77" customFormat="1" ht="23.25" customHeight="1">
      <c r="A652" s="331"/>
      <c r="B652" s="331"/>
      <c r="C652" s="330"/>
      <c r="D652" s="330"/>
      <c r="E652" s="324"/>
      <c r="F652" s="93" t="s">
        <v>434</v>
      </c>
      <c r="G652" s="269">
        <f>SUM(G607:G651)</f>
        <v>1434386600</v>
      </c>
      <c r="H652" s="269">
        <f>SUM(H607:H651)</f>
        <v>1685096239</v>
      </c>
      <c r="I652" s="269">
        <f>SUM(I607:I651)</f>
        <v>3119482839</v>
      </c>
      <c r="J652" s="157"/>
      <c r="N652" s="79"/>
    </row>
    <row r="653" spans="1:14" s="77" customFormat="1" ht="20.25" customHeight="1">
      <c r="A653" s="331"/>
      <c r="B653" s="331"/>
      <c r="C653" s="331"/>
      <c r="D653" s="331"/>
      <c r="E653" s="325"/>
      <c r="F653" s="78" t="s">
        <v>1198</v>
      </c>
      <c r="G653" s="271">
        <f>G534-G652</f>
        <v>0</v>
      </c>
      <c r="H653" s="301">
        <f>H534-H652</f>
        <v>0</v>
      </c>
      <c r="I653" s="271">
        <f>I534-I652</f>
        <v>0</v>
      </c>
      <c r="J653" s="156"/>
      <c r="N653" s="79"/>
    </row>
    <row r="655" ht="15.75">
      <c r="G655" s="94">
        <f>(378805.212+20946.009)*1000</f>
        <v>399751221</v>
      </c>
    </row>
    <row r="656" ht="15.75">
      <c r="G656" s="175">
        <f>G642-G655</f>
        <v>0</v>
      </c>
    </row>
    <row r="657" ht="15.75">
      <c r="G657" s="175"/>
    </row>
    <row r="658" ht="15.75">
      <c r="G658" s="175"/>
    </row>
  </sheetData>
  <sheetProtection/>
  <autoFilter ref="A10:P534"/>
  <mergeCells count="47">
    <mergeCell ref="C67:C68"/>
    <mergeCell ref="E237:E238"/>
    <mergeCell ref="E207:E208"/>
    <mergeCell ref="C162:C164"/>
    <mergeCell ref="C611:C614"/>
    <mergeCell ref="D207:D208"/>
    <mergeCell ref="D391:D392"/>
    <mergeCell ref="D389:D390"/>
    <mergeCell ref="D237:D238"/>
    <mergeCell ref="D264:D265"/>
    <mergeCell ref="D456:D457"/>
    <mergeCell ref="E121:E122"/>
    <mergeCell ref="E118:E120"/>
    <mergeCell ref="E123:E124"/>
    <mergeCell ref="E243:E244"/>
    <mergeCell ref="D243:D244"/>
    <mergeCell ref="D152:D153"/>
    <mergeCell ref="D527:D528"/>
    <mergeCell ref="D499:D500"/>
    <mergeCell ref="D480:D481"/>
    <mergeCell ref="D485:D486"/>
    <mergeCell ref="D506:D507"/>
    <mergeCell ref="D118:D120"/>
    <mergeCell ref="D436:D437"/>
    <mergeCell ref="D477:D478"/>
    <mergeCell ref="D413:D414"/>
    <mergeCell ref="D268:D269"/>
    <mergeCell ref="D54:D55"/>
    <mergeCell ref="C54:C55"/>
    <mergeCell ref="C62:C63"/>
    <mergeCell ref="D56:D57"/>
    <mergeCell ref="E152:E153"/>
    <mergeCell ref="A6:I6"/>
    <mergeCell ref="E54:E55"/>
    <mergeCell ref="D123:D124"/>
    <mergeCell ref="D121:D122"/>
    <mergeCell ref="E67:E68"/>
    <mergeCell ref="C34:C35"/>
    <mergeCell ref="B67:B68"/>
    <mergeCell ref="C136:C137"/>
    <mergeCell ref="A50:A51"/>
    <mergeCell ref="C373:C374"/>
    <mergeCell ref="D67:D68"/>
    <mergeCell ref="C190:C191"/>
    <mergeCell ref="B54:B55"/>
    <mergeCell ref="C44:C47"/>
    <mergeCell ref="C48:C53"/>
  </mergeCells>
  <printOptions/>
  <pageMargins left="1.1811023622047245" right="0.3937007874015748" top="1.1811023622047245" bottom="0.7874015748031497" header="0.1968503937007874" footer="0.1968503937007874"/>
  <pageSetup fitToHeight="26" fitToWidth="1" horizontalDpi="600" verticalDpi="600" orientation="landscape" paperSize="9" scale="59" r:id="rId1"/>
  <headerFooter differentFirst="1" alignWithMargins="0">
    <oddHeader>&amp;C&amp;P</oddHeader>
  </headerFooter>
  <rowBreaks count="1" manualBreakCount="1">
    <brk id="61" max="8" man="1"/>
  </rowBreaks>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421875" style="1" customWidth="1"/>
    <col min="2" max="2" width="35.8515625" style="1" customWidth="1"/>
    <col min="3" max="3" width="62.8515625" style="1" hidden="1" customWidth="1"/>
    <col min="4" max="4" width="12.57421875" style="1" hidden="1" customWidth="1"/>
    <col min="5" max="5" width="62.57421875" style="1" customWidth="1"/>
    <col min="6" max="6" width="13.421875" style="1" hidden="1" customWidth="1"/>
    <col min="7" max="7" width="15.421875" style="1" hidden="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197</v>
      </c>
      <c r="G1" s="13"/>
    </row>
    <row r="2" spans="5:7" ht="28.5" customHeight="1">
      <c r="E2" s="14" t="s">
        <v>198</v>
      </c>
      <c r="G2" s="13"/>
    </row>
    <row r="3" spans="3:7" ht="39.75" customHeight="1">
      <c r="C3" s="8"/>
      <c r="E3" s="14" t="s">
        <v>307</v>
      </c>
      <c r="G3" s="13"/>
    </row>
    <row r="5" spans="1:10" s="6" customFormat="1" ht="28.5" customHeight="1">
      <c r="A5" s="471" t="s">
        <v>335</v>
      </c>
      <c r="B5" s="471"/>
      <c r="C5" s="471"/>
      <c r="D5" s="471"/>
      <c r="E5" s="471"/>
      <c r="F5" s="471"/>
      <c r="G5" s="471"/>
      <c r="H5" s="49"/>
      <c r="J5" s="50"/>
    </row>
    <row r="6" spans="1:4" ht="5.25" customHeight="1">
      <c r="A6" s="63"/>
      <c r="B6" s="63"/>
      <c r="C6" s="63"/>
      <c r="D6" s="63"/>
    </row>
    <row r="7" spans="1:8" ht="16.5" customHeight="1">
      <c r="A7" s="63"/>
      <c r="B7" s="63"/>
      <c r="C7" s="63"/>
      <c r="D7" s="63"/>
      <c r="E7" s="63"/>
      <c r="F7" s="63"/>
      <c r="G7" s="68" t="s">
        <v>65</v>
      </c>
      <c r="H7" s="63"/>
    </row>
    <row r="8" spans="1:8" s="2" customFormat="1" ht="45.75" customHeight="1">
      <c r="A8" s="64" t="s">
        <v>34</v>
      </c>
      <c r="B8" s="463" t="s">
        <v>36</v>
      </c>
      <c r="C8" s="463" t="s">
        <v>60</v>
      </c>
      <c r="D8" s="463"/>
      <c r="E8" s="463" t="s">
        <v>63</v>
      </c>
      <c r="F8" s="463"/>
      <c r="G8" s="4" t="s">
        <v>64</v>
      </c>
      <c r="H8" s="461" t="s">
        <v>12</v>
      </c>
    </row>
    <row r="9" spans="1:8" s="2" customFormat="1" ht="57.75" customHeight="1">
      <c r="A9" s="64" t="s">
        <v>35</v>
      </c>
      <c r="B9" s="463"/>
      <c r="C9" s="4" t="s">
        <v>61</v>
      </c>
      <c r="D9" s="4" t="s">
        <v>62</v>
      </c>
      <c r="E9" s="4" t="s">
        <v>61</v>
      </c>
      <c r="F9" s="4" t="s">
        <v>62</v>
      </c>
      <c r="G9" s="4" t="s">
        <v>62</v>
      </c>
      <c r="H9" s="462"/>
    </row>
    <row r="10" spans="1:8" s="2" customFormat="1" ht="16.5" customHeight="1">
      <c r="A10" s="4">
        <v>1</v>
      </c>
      <c r="B10" s="4">
        <v>2</v>
      </c>
      <c r="C10" s="4">
        <v>3</v>
      </c>
      <c r="D10" s="4">
        <v>4</v>
      </c>
      <c r="E10" s="4">
        <v>5</v>
      </c>
      <c r="F10" s="4">
        <v>6</v>
      </c>
      <c r="G10" s="4">
        <v>7</v>
      </c>
      <c r="H10" s="4"/>
    </row>
    <row r="11" spans="1:9" s="2" customFormat="1" ht="31.5" hidden="1">
      <c r="A11" s="22" t="s">
        <v>133</v>
      </c>
      <c r="B11" s="23" t="s">
        <v>38</v>
      </c>
      <c r="C11" s="4"/>
      <c r="D11" s="24">
        <f>D13+D14+D23+D24+D26+D28+D29+D30</f>
        <v>4344270</v>
      </c>
      <c r="E11" s="4"/>
      <c r="F11" s="28">
        <f>F12+F15+F16+F20+F21+F23+F24+F26+F28+F29+F30+F14</f>
        <v>910383</v>
      </c>
      <c r="G11" s="28">
        <f>D11+F11</f>
        <v>5254653</v>
      </c>
      <c r="H11" s="71"/>
      <c r="I11" s="46"/>
    </row>
    <row r="12" spans="1:9" s="20" customFormat="1" ht="31.5" hidden="1">
      <c r="A12" s="459" t="s">
        <v>165</v>
      </c>
      <c r="B12" s="463" t="s">
        <v>166</v>
      </c>
      <c r="C12" s="4"/>
      <c r="D12" s="17"/>
      <c r="E12" s="4" t="s">
        <v>396</v>
      </c>
      <c r="F12" s="19">
        <v>253199</v>
      </c>
      <c r="G12" s="19">
        <f>D12+F12</f>
        <v>253199</v>
      </c>
      <c r="H12" s="4"/>
      <c r="I12" s="46"/>
    </row>
    <row r="13" spans="1:9" s="20" customFormat="1" ht="68.25" customHeight="1" hidden="1">
      <c r="A13" s="459"/>
      <c r="B13" s="463"/>
      <c r="C13" s="4" t="s">
        <v>365</v>
      </c>
      <c r="D13" s="17">
        <v>1315</v>
      </c>
      <c r="E13" s="4"/>
      <c r="F13" s="19"/>
      <c r="G13" s="19">
        <f aca="true" t="shared" si="0" ref="G13:G31">D13+F13</f>
        <v>1315</v>
      </c>
      <c r="H13" s="4"/>
      <c r="I13" s="46"/>
    </row>
    <row r="14" spans="1:9" s="20" customFormat="1" ht="51" customHeight="1" hidden="1">
      <c r="A14" s="459" t="s">
        <v>78</v>
      </c>
      <c r="B14" s="463" t="s">
        <v>104</v>
      </c>
      <c r="C14" s="4" t="s">
        <v>10</v>
      </c>
      <c r="D14" s="17">
        <v>480000</v>
      </c>
      <c r="E14" s="4"/>
      <c r="F14" s="9"/>
      <c r="G14" s="19">
        <f t="shared" si="0"/>
        <v>480000</v>
      </c>
      <c r="H14" s="4"/>
      <c r="I14" s="46"/>
    </row>
    <row r="15" spans="1:9" s="20" customFormat="1" ht="47.25" hidden="1">
      <c r="A15" s="459"/>
      <c r="B15" s="463"/>
      <c r="C15" s="4"/>
      <c r="D15" s="17"/>
      <c r="E15" s="35" t="s">
        <v>7</v>
      </c>
      <c r="F15" s="36">
        <v>41424</v>
      </c>
      <c r="G15" s="59">
        <f t="shared" si="0"/>
        <v>41424</v>
      </c>
      <c r="H15" s="4"/>
      <c r="I15" s="46"/>
    </row>
    <row r="16" spans="1:9" s="20" customFormat="1" ht="52.5" customHeight="1" hidden="1">
      <c r="A16" s="459" t="s">
        <v>84</v>
      </c>
      <c r="B16" s="463" t="s">
        <v>85</v>
      </c>
      <c r="C16" s="463"/>
      <c r="D16" s="17"/>
      <c r="E16" s="4" t="s">
        <v>389</v>
      </c>
      <c r="F16" s="19">
        <v>415760</v>
      </c>
      <c r="G16" s="19">
        <f t="shared" si="0"/>
        <v>415760</v>
      </c>
      <c r="H16" s="4"/>
      <c r="I16" s="46"/>
    </row>
    <row r="17" spans="1:9" s="20" customFormat="1" ht="44.25" customHeight="1" hidden="1">
      <c r="A17" s="459"/>
      <c r="B17" s="463"/>
      <c r="C17" s="463"/>
      <c r="D17" s="5"/>
      <c r="E17" s="4" t="s">
        <v>128</v>
      </c>
      <c r="F17" s="9"/>
      <c r="G17" s="19">
        <f t="shared" si="0"/>
        <v>0</v>
      </c>
      <c r="H17" s="4"/>
      <c r="I17" s="46"/>
    </row>
    <row r="18" spans="1:9" s="20" customFormat="1" ht="47.25" customHeight="1" hidden="1">
      <c r="A18" s="459"/>
      <c r="B18" s="463"/>
      <c r="C18" s="463"/>
      <c r="D18" s="5"/>
      <c r="E18" s="4" t="s">
        <v>127</v>
      </c>
      <c r="F18" s="19">
        <v>0</v>
      </c>
      <c r="G18" s="19">
        <f t="shared" si="0"/>
        <v>0</v>
      </c>
      <c r="H18" s="4"/>
      <c r="I18" s="46"/>
    </row>
    <row r="19" spans="1:9" s="20" customFormat="1" ht="15.75" hidden="1">
      <c r="A19" s="459"/>
      <c r="B19" s="463"/>
      <c r="C19" s="463"/>
      <c r="D19" s="5"/>
      <c r="E19" s="4"/>
      <c r="F19" s="19">
        <v>0</v>
      </c>
      <c r="G19" s="19">
        <f t="shared" si="0"/>
        <v>0</v>
      </c>
      <c r="H19" s="4"/>
      <c r="I19" s="46"/>
    </row>
    <row r="20" spans="1:9" s="20" customFormat="1" ht="222" customHeight="1" hidden="1">
      <c r="A20" s="18" t="s">
        <v>211</v>
      </c>
      <c r="B20" s="40" t="s">
        <v>212</v>
      </c>
      <c r="C20" s="4"/>
      <c r="D20" s="5"/>
      <c r="E20" s="4" t="s">
        <v>254</v>
      </c>
      <c r="F20" s="19"/>
      <c r="G20" s="19">
        <f t="shared" si="0"/>
        <v>0</v>
      </c>
      <c r="H20" s="4"/>
      <c r="I20" s="46"/>
    </row>
    <row r="21" spans="1:9" s="20" customFormat="1" ht="46.5" customHeight="1" hidden="1">
      <c r="A21" s="26">
        <v>240900</v>
      </c>
      <c r="B21" s="4" t="s">
        <v>105</v>
      </c>
      <c r="C21" s="16"/>
      <c r="D21" s="15"/>
      <c r="E21" s="4" t="s">
        <v>355</v>
      </c>
      <c r="F21" s="19">
        <v>200000</v>
      </c>
      <c r="G21" s="19">
        <f t="shared" si="0"/>
        <v>200000</v>
      </c>
      <c r="H21" s="4"/>
      <c r="I21" s="46"/>
    </row>
    <row r="22" spans="1:9" s="20" customFormat="1" ht="75" customHeight="1" hidden="1">
      <c r="A22" s="26">
        <v>250203</v>
      </c>
      <c r="B22" s="4" t="s">
        <v>192</v>
      </c>
      <c r="C22" s="4"/>
      <c r="D22" s="21">
        <v>0</v>
      </c>
      <c r="E22" s="4"/>
      <c r="F22" s="9"/>
      <c r="G22" s="19">
        <f t="shared" si="0"/>
        <v>0</v>
      </c>
      <c r="H22" s="4"/>
      <c r="I22" s="46"/>
    </row>
    <row r="23" spans="1:9" s="20" customFormat="1" ht="78.75" hidden="1">
      <c r="A23" s="469">
        <v>250404</v>
      </c>
      <c r="B23" s="463" t="s">
        <v>92</v>
      </c>
      <c r="C23" s="4" t="s">
        <v>359</v>
      </c>
      <c r="D23" s="21">
        <v>304955</v>
      </c>
      <c r="E23" s="9"/>
      <c r="F23" s="12"/>
      <c r="G23" s="19">
        <f t="shared" si="0"/>
        <v>304955</v>
      </c>
      <c r="H23" s="4"/>
      <c r="I23" s="46"/>
    </row>
    <row r="24" spans="1:9" s="20" customFormat="1" ht="47.25" hidden="1">
      <c r="A24" s="469"/>
      <c r="B24" s="463"/>
      <c r="C24" s="4" t="s">
        <v>358</v>
      </c>
      <c r="D24" s="17">
        <v>209200</v>
      </c>
      <c r="E24" s="4"/>
      <c r="F24" s="19">
        <v>0</v>
      </c>
      <c r="G24" s="19">
        <f t="shared" si="0"/>
        <v>209200</v>
      </c>
      <c r="H24" s="4"/>
      <c r="I24" s="46"/>
    </row>
    <row r="25" spans="1:9" s="20" customFormat="1" ht="32.25" customHeight="1" hidden="1">
      <c r="A25" s="469"/>
      <c r="B25" s="463"/>
      <c r="C25" s="4" t="s">
        <v>129</v>
      </c>
      <c r="D25" s="17">
        <v>120000</v>
      </c>
      <c r="E25" s="4" t="s">
        <v>129</v>
      </c>
      <c r="F25" s="19">
        <v>0</v>
      </c>
      <c r="G25" s="19">
        <f t="shared" si="0"/>
        <v>120000</v>
      </c>
      <c r="H25" s="4"/>
      <c r="I25" s="46"/>
    </row>
    <row r="26" spans="1:9" s="20" customFormat="1" ht="65.25" customHeight="1" hidden="1">
      <c r="A26" s="469"/>
      <c r="B26" s="463"/>
      <c r="C26" s="4" t="s">
        <v>353</v>
      </c>
      <c r="D26" s="17">
        <v>3348800</v>
      </c>
      <c r="E26" s="4"/>
      <c r="F26" s="19">
        <v>0</v>
      </c>
      <c r="G26" s="19">
        <f t="shared" si="0"/>
        <v>3348800</v>
      </c>
      <c r="H26" s="4"/>
      <c r="I26" s="46"/>
    </row>
    <row r="27" spans="1:9" s="20" customFormat="1" ht="38.25" customHeight="1" hidden="1">
      <c r="A27" s="469"/>
      <c r="B27" s="463"/>
      <c r="C27" s="4" t="s">
        <v>196</v>
      </c>
      <c r="D27" s="17">
        <v>0</v>
      </c>
      <c r="E27" s="4"/>
      <c r="F27" s="19"/>
      <c r="G27" s="19">
        <f t="shared" si="0"/>
        <v>0</v>
      </c>
      <c r="H27" s="4"/>
      <c r="I27" s="46"/>
    </row>
    <row r="28" spans="1:9" s="20" customFormat="1" ht="46.5" customHeight="1" hidden="1">
      <c r="A28" s="469"/>
      <c r="B28" s="463"/>
      <c r="C28" s="35" t="s">
        <v>264</v>
      </c>
      <c r="D28" s="38">
        <v>0</v>
      </c>
      <c r="E28" s="35"/>
      <c r="F28" s="36"/>
      <c r="G28" s="59">
        <f t="shared" si="0"/>
        <v>0</v>
      </c>
      <c r="H28" s="4"/>
      <c r="I28" s="46"/>
    </row>
    <row r="29" spans="1:9" s="20" customFormat="1" ht="62.25" customHeight="1" hidden="1">
      <c r="A29" s="469"/>
      <c r="B29" s="463"/>
      <c r="C29" s="4" t="s">
        <v>312</v>
      </c>
      <c r="D29" s="17"/>
      <c r="E29" s="35"/>
      <c r="F29" s="36"/>
      <c r="G29" s="19">
        <f t="shared" si="0"/>
        <v>0</v>
      </c>
      <c r="H29" s="4"/>
      <c r="I29" s="46"/>
    </row>
    <row r="30" spans="1:9" s="20" customFormat="1" ht="63" hidden="1">
      <c r="A30" s="469"/>
      <c r="B30" s="463"/>
      <c r="C30" s="4" t="s">
        <v>254</v>
      </c>
      <c r="D30" s="17"/>
      <c r="E30" s="4"/>
      <c r="F30" s="19"/>
      <c r="G30" s="19">
        <f t="shared" si="0"/>
        <v>0</v>
      </c>
      <c r="H30" s="4"/>
      <c r="I30" s="46"/>
    </row>
    <row r="31" spans="1:9" s="20" customFormat="1" ht="47.25">
      <c r="A31" s="22" t="s">
        <v>141</v>
      </c>
      <c r="B31" s="23" t="s">
        <v>49</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165</v>
      </c>
      <c r="B32" s="4" t="s">
        <v>166</v>
      </c>
      <c r="C32" s="4" t="s">
        <v>190</v>
      </c>
      <c r="D32" s="17"/>
      <c r="E32" s="4"/>
      <c r="F32" s="19"/>
      <c r="G32" s="9">
        <v>0</v>
      </c>
      <c r="H32" s="4"/>
      <c r="I32" s="46"/>
    </row>
    <row r="33" spans="1:9" s="20" customFormat="1" ht="66" customHeight="1" hidden="1">
      <c r="A33" s="18" t="s">
        <v>165</v>
      </c>
      <c r="B33" s="4" t="s">
        <v>166</v>
      </c>
      <c r="C33" s="4" t="s">
        <v>365</v>
      </c>
      <c r="D33" s="17">
        <v>885</v>
      </c>
      <c r="E33" s="4" t="s">
        <v>396</v>
      </c>
      <c r="F33" s="19">
        <v>14000</v>
      </c>
      <c r="G33" s="19">
        <f>D33+F33</f>
        <v>14885</v>
      </c>
      <c r="H33" s="4"/>
      <c r="I33" s="46"/>
    </row>
    <row r="34" spans="1:9" s="20" customFormat="1" ht="33" customHeight="1">
      <c r="A34" s="459" t="s">
        <v>67</v>
      </c>
      <c r="B34" s="463" t="s">
        <v>107</v>
      </c>
      <c r="C34" s="4" t="s">
        <v>428</v>
      </c>
      <c r="D34" s="17">
        <v>4567066</v>
      </c>
      <c r="E34" s="4" t="s">
        <v>409</v>
      </c>
      <c r="F34" s="19">
        <f>3158108-F35</f>
        <v>2760193</v>
      </c>
      <c r="G34" s="19">
        <f>D34+F34</f>
        <v>7327259</v>
      </c>
      <c r="H34" s="71" t="s">
        <v>13</v>
      </c>
      <c r="I34" s="46"/>
    </row>
    <row r="35" spans="1:9" s="20" customFormat="1" ht="47.25" hidden="1">
      <c r="A35" s="459"/>
      <c r="B35" s="463"/>
      <c r="C35" s="35" t="s">
        <v>7</v>
      </c>
      <c r="D35" s="38">
        <v>24450</v>
      </c>
      <c r="E35" s="35" t="s">
        <v>7</v>
      </c>
      <c r="F35" s="36">
        <v>397915</v>
      </c>
      <c r="G35" s="19">
        <f>D35+F35</f>
        <v>422365</v>
      </c>
      <c r="H35" s="4"/>
      <c r="I35" s="46"/>
    </row>
    <row r="36" spans="1:9" s="20" customFormat="1" ht="71.25" customHeight="1" hidden="1">
      <c r="A36" s="459"/>
      <c r="B36" s="463"/>
      <c r="C36" s="4" t="s">
        <v>365</v>
      </c>
      <c r="D36" s="17">
        <v>209486</v>
      </c>
      <c r="E36" s="35"/>
      <c r="F36" s="36"/>
      <c r="G36" s="19">
        <f>D36+F36</f>
        <v>209486</v>
      </c>
      <c r="H36" s="4"/>
      <c r="I36" s="46"/>
    </row>
    <row r="37" spans="1:9" s="20" customFormat="1" ht="35.25" customHeight="1">
      <c r="A37" s="459" t="s">
        <v>68</v>
      </c>
      <c r="B37" s="459" t="s">
        <v>108</v>
      </c>
      <c r="C37" s="4" t="s">
        <v>428</v>
      </c>
      <c r="D37" s="17">
        <v>6523141</v>
      </c>
      <c r="E37" s="4" t="s">
        <v>409</v>
      </c>
      <c r="F37" s="19">
        <f>5369916-F41</f>
        <v>3882915</v>
      </c>
      <c r="G37" s="19">
        <f>D37+F37</f>
        <v>10406056</v>
      </c>
      <c r="H37" s="71">
        <v>127071</v>
      </c>
      <c r="I37" s="46"/>
    </row>
    <row r="38" spans="1:9" s="20" customFormat="1" ht="32.25" customHeight="1" hidden="1">
      <c r="A38" s="459"/>
      <c r="B38" s="459"/>
      <c r="C38" s="4" t="s">
        <v>227</v>
      </c>
      <c r="D38" s="17"/>
      <c r="E38" s="4" t="s">
        <v>227</v>
      </c>
      <c r="F38" s="19"/>
      <c r="G38" s="19">
        <f aca="true" t="shared" si="1" ref="G38:G48">D38+F38</f>
        <v>0</v>
      </c>
      <c r="H38" s="4"/>
      <c r="I38" s="46"/>
    </row>
    <row r="39" spans="1:9" s="20" customFormat="1" ht="66" customHeight="1" hidden="1">
      <c r="A39" s="459"/>
      <c r="B39" s="459"/>
      <c r="C39" s="4" t="s">
        <v>227</v>
      </c>
      <c r="D39" s="17"/>
      <c r="E39" s="4" t="s">
        <v>227</v>
      </c>
      <c r="F39" s="19"/>
      <c r="G39" s="19">
        <f t="shared" si="1"/>
        <v>0</v>
      </c>
      <c r="H39" s="4"/>
      <c r="I39" s="46"/>
    </row>
    <row r="40" spans="1:9" s="20" customFormat="1" ht="35.25" customHeight="1">
      <c r="A40" s="459"/>
      <c r="B40" s="459"/>
      <c r="C40" s="4" t="s">
        <v>429</v>
      </c>
      <c r="D40" s="17">
        <v>522962</v>
      </c>
      <c r="E40" s="4" t="s">
        <v>429</v>
      </c>
      <c r="F40" s="19">
        <v>127071</v>
      </c>
      <c r="G40" s="19">
        <f t="shared" si="1"/>
        <v>650033</v>
      </c>
      <c r="H40" s="4" t="s">
        <v>13</v>
      </c>
      <c r="I40" s="46"/>
    </row>
    <row r="41" spans="1:9" s="20" customFormat="1" ht="47.25" hidden="1">
      <c r="A41" s="459"/>
      <c r="B41" s="459"/>
      <c r="C41" s="35" t="s">
        <v>7</v>
      </c>
      <c r="D41" s="38">
        <v>99122</v>
      </c>
      <c r="E41" s="35" t="s">
        <v>7</v>
      </c>
      <c r="F41" s="36">
        <v>1487001</v>
      </c>
      <c r="G41" s="19">
        <f>D41+F41</f>
        <v>1586123</v>
      </c>
      <c r="H41" s="4"/>
      <c r="I41" s="46"/>
    </row>
    <row r="42" spans="1:9" s="20" customFormat="1" ht="66" customHeight="1" hidden="1">
      <c r="A42" s="459"/>
      <c r="B42" s="459"/>
      <c r="C42" s="4" t="s">
        <v>365</v>
      </c>
      <c r="D42" s="17">
        <v>322041</v>
      </c>
      <c r="E42" s="35"/>
      <c r="F42" s="36"/>
      <c r="G42" s="19">
        <f t="shared" si="1"/>
        <v>322041</v>
      </c>
      <c r="H42" s="4"/>
      <c r="I42" s="46"/>
    </row>
    <row r="43" spans="1:9" s="20" customFormat="1" ht="35.25" customHeight="1">
      <c r="A43" s="459" t="s">
        <v>69</v>
      </c>
      <c r="B43" s="463" t="s">
        <v>109</v>
      </c>
      <c r="C43" s="4" t="s">
        <v>428</v>
      </c>
      <c r="D43" s="17">
        <v>1636</v>
      </c>
      <c r="E43" s="4" t="s">
        <v>409</v>
      </c>
      <c r="F43" s="19">
        <f>14800-F45</f>
        <v>0</v>
      </c>
      <c r="G43" s="19">
        <f t="shared" si="1"/>
        <v>1636</v>
      </c>
      <c r="H43" s="4"/>
      <c r="I43" s="46"/>
    </row>
    <row r="44" spans="1:9" s="20" customFormat="1" ht="70.5" customHeight="1" hidden="1">
      <c r="A44" s="459"/>
      <c r="B44" s="463"/>
      <c r="C44" s="4" t="s">
        <v>365</v>
      </c>
      <c r="D44" s="17">
        <v>5234</v>
      </c>
      <c r="E44" s="4"/>
      <c r="F44" s="19"/>
      <c r="G44" s="19">
        <f t="shared" si="1"/>
        <v>5234</v>
      </c>
      <c r="H44" s="4"/>
      <c r="I44" s="46"/>
    </row>
    <row r="45" spans="1:9" s="20" customFormat="1" ht="47.25" hidden="1">
      <c r="A45" s="459"/>
      <c r="B45" s="463"/>
      <c r="C45" s="4"/>
      <c r="D45" s="17"/>
      <c r="E45" s="35" t="s">
        <v>7</v>
      </c>
      <c r="F45" s="36">
        <v>14800</v>
      </c>
      <c r="G45" s="19">
        <f t="shared" si="1"/>
        <v>14800</v>
      </c>
      <c r="H45" s="71"/>
      <c r="I45" s="46"/>
    </row>
    <row r="46" spans="1:9" s="20" customFormat="1" ht="39" customHeight="1">
      <c r="A46" s="459" t="s">
        <v>26</v>
      </c>
      <c r="B46" s="463" t="s">
        <v>27</v>
      </c>
      <c r="C46" s="4" t="s">
        <v>430</v>
      </c>
      <c r="D46" s="17">
        <v>29827597</v>
      </c>
      <c r="E46" s="4" t="s">
        <v>410</v>
      </c>
      <c r="F46" s="19">
        <f>151878+393294-F49</f>
        <v>511523</v>
      </c>
      <c r="G46" s="19">
        <f t="shared" si="1"/>
        <v>30339120</v>
      </c>
      <c r="H46" s="4">
        <v>393294</v>
      </c>
      <c r="I46" s="46"/>
    </row>
    <row r="47" spans="1:9" s="20" customFormat="1" ht="46.5" customHeight="1" hidden="1">
      <c r="A47" s="459"/>
      <c r="B47" s="463"/>
      <c r="C47" s="4" t="s">
        <v>305</v>
      </c>
      <c r="D47" s="17">
        <v>0</v>
      </c>
      <c r="E47" s="4" t="s">
        <v>305</v>
      </c>
      <c r="F47" s="19">
        <v>0</v>
      </c>
      <c r="G47" s="19">
        <f t="shared" si="1"/>
        <v>0</v>
      </c>
      <c r="H47" s="4"/>
      <c r="I47" s="46"/>
    </row>
    <row r="48" spans="1:9" s="20" customFormat="1" ht="51.75" customHeight="1" hidden="1">
      <c r="A48" s="459"/>
      <c r="B48" s="463"/>
      <c r="C48" s="4"/>
      <c r="D48" s="21">
        <v>0</v>
      </c>
      <c r="E48" s="26"/>
      <c r="F48" s="16"/>
      <c r="G48" s="19">
        <f t="shared" si="1"/>
        <v>0</v>
      </c>
      <c r="H48" s="4"/>
      <c r="I48" s="46"/>
    </row>
    <row r="49" spans="1:9" s="20" customFormat="1" ht="47.25" hidden="1">
      <c r="A49" s="459"/>
      <c r="B49" s="463"/>
      <c r="C49" s="35" t="s">
        <v>7</v>
      </c>
      <c r="D49" s="36">
        <v>5000</v>
      </c>
      <c r="E49" s="35" t="s">
        <v>7</v>
      </c>
      <c r="F49" s="36">
        <v>33649</v>
      </c>
      <c r="G49" s="19">
        <f>D49+F49</f>
        <v>38649</v>
      </c>
      <c r="H49" s="4"/>
      <c r="I49" s="46"/>
    </row>
    <row r="50" spans="1:9" s="20" customFormat="1" ht="66.75" customHeight="1" hidden="1">
      <c r="A50" s="459"/>
      <c r="B50" s="463"/>
      <c r="C50" s="4" t="s">
        <v>365</v>
      </c>
      <c r="D50" s="19">
        <v>38395</v>
      </c>
      <c r="E50" s="35"/>
      <c r="F50" s="36"/>
      <c r="G50" s="19">
        <f aca="true" t="shared" si="2" ref="G50:G70">D50+F50</f>
        <v>38395</v>
      </c>
      <c r="H50" s="4"/>
      <c r="I50" s="46"/>
    </row>
    <row r="51" spans="1:9" s="20" customFormat="1" ht="63.75" customHeight="1" hidden="1">
      <c r="A51" s="18" t="s">
        <v>276</v>
      </c>
      <c r="B51" s="4" t="s">
        <v>275</v>
      </c>
      <c r="C51" s="4" t="s">
        <v>365</v>
      </c>
      <c r="D51" s="19">
        <v>2108</v>
      </c>
      <c r="E51" s="35"/>
      <c r="F51" s="36"/>
      <c r="G51" s="19">
        <f t="shared" si="2"/>
        <v>2108</v>
      </c>
      <c r="H51" s="4"/>
      <c r="I51" s="46"/>
    </row>
    <row r="52" spans="1:9" s="20" customFormat="1" ht="48" customHeight="1">
      <c r="A52" s="457" t="s">
        <v>367</v>
      </c>
      <c r="B52" s="461" t="s">
        <v>399</v>
      </c>
      <c r="C52" s="4" t="s">
        <v>428</v>
      </c>
      <c r="D52" s="19">
        <v>30000</v>
      </c>
      <c r="E52" s="4" t="s">
        <v>409</v>
      </c>
      <c r="F52" s="19">
        <v>400000</v>
      </c>
      <c r="G52" s="19">
        <f>D52+F52</f>
        <v>430000</v>
      </c>
      <c r="H52" s="4" t="s">
        <v>13</v>
      </c>
      <c r="I52" s="46"/>
    </row>
    <row r="53" spans="1:9" s="20" customFormat="1" ht="63.75" customHeight="1" hidden="1">
      <c r="A53" s="458"/>
      <c r="B53" s="462"/>
      <c r="C53" s="4" t="s">
        <v>365</v>
      </c>
      <c r="D53" s="19">
        <v>1684</v>
      </c>
      <c r="E53" s="4"/>
      <c r="F53" s="19"/>
      <c r="G53" s="19">
        <f>D53+F53</f>
        <v>1684</v>
      </c>
      <c r="H53" s="4"/>
      <c r="I53" s="46"/>
    </row>
    <row r="54" spans="1:9" s="51" customFormat="1" ht="37.5" customHeight="1">
      <c r="A54" s="457" t="s">
        <v>283</v>
      </c>
      <c r="B54" s="461" t="s">
        <v>284</v>
      </c>
      <c r="C54" s="4" t="s">
        <v>428</v>
      </c>
      <c r="D54" s="19">
        <v>60000</v>
      </c>
      <c r="E54" s="4" t="s">
        <v>409</v>
      </c>
      <c r="F54" s="19">
        <v>94430</v>
      </c>
      <c r="G54" s="19">
        <f t="shared" si="2"/>
        <v>154430</v>
      </c>
      <c r="H54" s="71" t="s">
        <v>13</v>
      </c>
      <c r="I54" s="52"/>
    </row>
    <row r="55" spans="1:9" s="51" customFormat="1" ht="46.5" customHeight="1" hidden="1">
      <c r="A55" s="458"/>
      <c r="B55" s="462"/>
      <c r="C55" s="4" t="s">
        <v>365</v>
      </c>
      <c r="D55" s="19">
        <v>10998</v>
      </c>
      <c r="E55" s="4"/>
      <c r="F55" s="19"/>
      <c r="G55" s="19">
        <f>D55</f>
        <v>10998</v>
      </c>
      <c r="H55" s="71"/>
      <c r="I55" s="52"/>
    </row>
    <row r="56" spans="1:9" s="20" customFormat="1" ht="60.75" customHeight="1" hidden="1">
      <c r="A56" s="18" t="s">
        <v>277</v>
      </c>
      <c r="B56" s="4" t="s">
        <v>278</v>
      </c>
      <c r="C56" s="4" t="s">
        <v>365</v>
      </c>
      <c r="D56" s="19">
        <v>8769</v>
      </c>
      <c r="E56" s="35"/>
      <c r="F56" s="36"/>
      <c r="G56" s="19">
        <f t="shared" si="2"/>
        <v>8769</v>
      </c>
      <c r="H56" s="4"/>
      <c r="I56" s="46"/>
    </row>
    <row r="57" spans="1:9" s="20" customFormat="1" ht="47.25" hidden="1">
      <c r="A57" s="25" t="s">
        <v>81</v>
      </c>
      <c r="B57" s="4" t="s">
        <v>28</v>
      </c>
      <c r="C57" s="4" t="s">
        <v>433</v>
      </c>
      <c r="D57" s="21">
        <v>463467</v>
      </c>
      <c r="E57" s="4"/>
      <c r="F57" s="16"/>
      <c r="G57" s="19">
        <f t="shared" si="2"/>
        <v>463467</v>
      </c>
      <c r="H57" s="4"/>
      <c r="I57" s="46"/>
    </row>
    <row r="58" spans="1:9" s="20" customFormat="1" ht="95.25" customHeight="1" hidden="1">
      <c r="A58" s="18" t="s">
        <v>70</v>
      </c>
      <c r="B58" s="4" t="s">
        <v>103</v>
      </c>
      <c r="C58" s="4" t="s">
        <v>431</v>
      </c>
      <c r="D58" s="17">
        <v>4377290</v>
      </c>
      <c r="E58" s="4"/>
      <c r="F58" s="9"/>
      <c r="G58" s="19">
        <f t="shared" si="2"/>
        <v>4377290</v>
      </c>
      <c r="H58" s="4"/>
      <c r="I58" s="46"/>
    </row>
    <row r="59" spans="1:9" s="20" customFormat="1" ht="35.25" customHeight="1" hidden="1">
      <c r="A59" s="18" t="s">
        <v>157</v>
      </c>
      <c r="B59" s="4" t="s">
        <v>158</v>
      </c>
      <c r="C59" s="4" t="s">
        <v>432</v>
      </c>
      <c r="D59" s="17">
        <v>199559</v>
      </c>
      <c r="E59" s="4"/>
      <c r="F59" s="9"/>
      <c r="G59" s="19">
        <f t="shared" si="2"/>
        <v>199559</v>
      </c>
      <c r="H59" s="4"/>
      <c r="I59" s="46"/>
    </row>
    <row r="60" spans="1:9" s="20" customFormat="1" ht="47.25" hidden="1">
      <c r="A60" s="18" t="s">
        <v>238</v>
      </c>
      <c r="B60" s="4" t="s">
        <v>239</v>
      </c>
      <c r="C60" s="4" t="s">
        <v>432</v>
      </c>
      <c r="D60" s="17">
        <v>99067</v>
      </c>
      <c r="E60" s="4"/>
      <c r="F60" s="19"/>
      <c r="G60" s="19">
        <f t="shared" si="2"/>
        <v>99067</v>
      </c>
      <c r="H60" s="4"/>
      <c r="I60" s="46"/>
    </row>
    <row r="61" spans="1:9" s="20" customFormat="1" ht="31.5" customHeight="1">
      <c r="A61" s="459" t="s">
        <v>110</v>
      </c>
      <c r="B61" s="463" t="s">
        <v>191</v>
      </c>
      <c r="C61" s="4" t="s">
        <v>432</v>
      </c>
      <c r="D61" s="17">
        <v>447580</v>
      </c>
      <c r="E61" s="4" t="s">
        <v>411</v>
      </c>
      <c r="F61" s="19">
        <f>39500-F62</f>
        <v>0</v>
      </c>
      <c r="G61" s="19">
        <f t="shared" si="2"/>
        <v>447580</v>
      </c>
      <c r="H61" s="4" t="s">
        <v>13</v>
      </c>
      <c r="I61" s="46"/>
    </row>
    <row r="62" spans="1:9" s="20" customFormat="1" ht="47.25" hidden="1">
      <c r="A62" s="459"/>
      <c r="B62" s="463"/>
      <c r="C62" s="35" t="s">
        <v>7</v>
      </c>
      <c r="D62" s="36">
        <v>1000</v>
      </c>
      <c r="E62" s="35" t="s">
        <v>7</v>
      </c>
      <c r="F62" s="36">
        <v>39500</v>
      </c>
      <c r="G62" s="19">
        <f t="shared" si="2"/>
        <v>40500</v>
      </c>
      <c r="H62" s="71"/>
      <c r="I62" s="46"/>
    </row>
    <row r="63" spans="1:9" s="20" customFormat="1" ht="65.25" customHeight="1" hidden="1">
      <c r="A63" s="459"/>
      <c r="B63" s="463"/>
      <c r="C63" s="4" t="s">
        <v>365</v>
      </c>
      <c r="D63" s="19">
        <v>23788</v>
      </c>
      <c r="E63" s="35"/>
      <c r="F63" s="36"/>
      <c r="G63" s="19">
        <f t="shared" si="2"/>
        <v>23788</v>
      </c>
      <c r="H63" s="4"/>
      <c r="I63" s="46"/>
    </row>
    <row r="64" spans="1:9" s="20" customFormat="1" ht="47.25" hidden="1">
      <c r="A64" s="18" t="s">
        <v>155</v>
      </c>
      <c r="B64" s="4" t="s">
        <v>156</v>
      </c>
      <c r="C64" s="4" t="s">
        <v>0</v>
      </c>
      <c r="D64" s="17">
        <v>733099</v>
      </c>
      <c r="E64" s="4"/>
      <c r="F64" s="19"/>
      <c r="G64" s="19">
        <f t="shared" si="2"/>
        <v>733099</v>
      </c>
      <c r="H64" s="4"/>
      <c r="I64" s="46"/>
    </row>
    <row r="65" spans="1:9" s="20" customFormat="1" ht="63" hidden="1">
      <c r="A65" s="469">
        <v>130112</v>
      </c>
      <c r="B65" s="463" t="s">
        <v>92</v>
      </c>
      <c r="C65" s="4" t="s">
        <v>365</v>
      </c>
      <c r="D65" s="17">
        <v>1046</v>
      </c>
      <c r="E65" s="4"/>
      <c r="F65" s="19"/>
      <c r="G65" s="19">
        <f t="shared" si="2"/>
        <v>1046</v>
      </c>
      <c r="H65" s="4"/>
      <c r="I65" s="46"/>
    </row>
    <row r="66" spans="1:9" s="20" customFormat="1" ht="37.5" customHeight="1">
      <c r="A66" s="469"/>
      <c r="B66" s="463"/>
      <c r="C66" s="4" t="s">
        <v>1</v>
      </c>
      <c r="D66" s="21">
        <v>453294</v>
      </c>
      <c r="E66" s="4" t="s">
        <v>1</v>
      </c>
      <c r="F66" s="12">
        <v>42880</v>
      </c>
      <c r="G66" s="19">
        <f t="shared" si="2"/>
        <v>496174</v>
      </c>
      <c r="H66" s="71">
        <v>42880</v>
      </c>
      <c r="I66" s="46"/>
    </row>
    <row r="67" spans="1:9" s="20" customFormat="1" ht="31.5" hidden="1">
      <c r="A67" s="459" t="s">
        <v>84</v>
      </c>
      <c r="B67" s="463" t="s">
        <v>85</v>
      </c>
      <c r="C67" s="4"/>
      <c r="D67" s="5"/>
      <c r="E67" s="4" t="s">
        <v>412</v>
      </c>
      <c r="F67" s="12">
        <v>8667311</v>
      </c>
      <c r="G67" s="19">
        <f t="shared" si="2"/>
        <v>8667311</v>
      </c>
      <c r="H67" s="71"/>
      <c r="I67" s="46"/>
    </row>
    <row r="68" spans="1:9" s="20" customFormat="1" ht="31.5" hidden="1">
      <c r="A68" s="459"/>
      <c r="B68" s="463"/>
      <c r="C68" s="4"/>
      <c r="D68" s="5"/>
      <c r="E68" s="4" t="s">
        <v>413</v>
      </c>
      <c r="F68" s="12">
        <v>1248451</v>
      </c>
      <c r="G68" s="19">
        <f t="shared" si="2"/>
        <v>1248451</v>
      </c>
      <c r="H68" s="4"/>
      <c r="I68" s="46"/>
    </row>
    <row r="69" spans="1:9" s="20" customFormat="1" ht="31.5" hidden="1">
      <c r="A69" s="459"/>
      <c r="B69" s="463"/>
      <c r="C69" s="4"/>
      <c r="D69" s="5"/>
      <c r="E69" s="4" t="s">
        <v>414</v>
      </c>
      <c r="F69" s="12">
        <v>1065845</v>
      </c>
      <c r="G69" s="19">
        <f t="shared" si="2"/>
        <v>1065845</v>
      </c>
      <c r="H69" s="4"/>
      <c r="I69" s="46"/>
    </row>
    <row r="70" spans="1:9" s="20" customFormat="1" ht="31.5" hidden="1">
      <c r="A70" s="4">
        <v>240601</v>
      </c>
      <c r="B70" s="4" t="s">
        <v>106</v>
      </c>
      <c r="C70" s="4"/>
      <c r="D70" s="5"/>
      <c r="E70" s="4" t="s">
        <v>348</v>
      </c>
      <c r="F70" s="17">
        <v>119053</v>
      </c>
      <c r="G70" s="19">
        <f t="shared" si="2"/>
        <v>119053</v>
      </c>
      <c r="H70" s="71"/>
      <c r="I70" s="46"/>
    </row>
    <row r="71" spans="1:9" s="20" customFormat="1" ht="77.25" customHeight="1" hidden="1">
      <c r="A71" s="25" t="s">
        <v>24</v>
      </c>
      <c r="B71" s="4" t="s">
        <v>25</v>
      </c>
      <c r="C71" s="461" t="s">
        <v>408</v>
      </c>
      <c r="D71" s="15">
        <v>2065077</v>
      </c>
      <c r="E71" s="4" t="s">
        <v>408</v>
      </c>
      <c r="F71" s="16">
        <v>31358</v>
      </c>
      <c r="G71" s="19">
        <f>D71+F71</f>
        <v>2096435</v>
      </c>
      <c r="H71" s="4"/>
      <c r="I71" s="46"/>
    </row>
    <row r="72" spans="1:9" s="20" customFormat="1" ht="94.5" hidden="1">
      <c r="A72" s="25" t="s">
        <v>302</v>
      </c>
      <c r="B72" s="4" t="s">
        <v>303</v>
      </c>
      <c r="C72" s="462"/>
      <c r="D72" s="15">
        <v>50000</v>
      </c>
      <c r="E72" s="4"/>
      <c r="F72" s="16"/>
      <c r="G72" s="19">
        <f>D72+F72</f>
        <v>50000</v>
      </c>
      <c r="H72" s="4"/>
      <c r="I72" s="46"/>
    </row>
    <row r="73" spans="1:9" s="20" customFormat="1" ht="46.5" customHeight="1">
      <c r="A73" s="22" t="s">
        <v>142</v>
      </c>
      <c r="B73" s="23" t="s">
        <v>50</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165</v>
      </c>
      <c r="B74" s="4" t="s">
        <v>166</v>
      </c>
      <c r="C74" s="4" t="s">
        <v>366</v>
      </c>
      <c r="D74" s="17">
        <v>2829</v>
      </c>
      <c r="E74" s="4" t="s">
        <v>396</v>
      </c>
      <c r="F74" s="19">
        <v>7000</v>
      </c>
      <c r="G74" s="19">
        <f>D74+F74</f>
        <v>9829</v>
      </c>
      <c r="H74" s="4"/>
      <c r="I74" s="46"/>
    </row>
    <row r="75" spans="1:9" s="20" customFormat="1" ht="52.5" customHeight="1">
      <c r="A75" s="459" t="s">
        <v>72</v>
      </c>
      <c r="B75" s="463" t="s">
        <v>19</v>
      </c>
      <c r="C75" s="4" t="s">
        <v>292</v>
      </c>
      <c r="D75" s="17">
        <v>0</v>
      </c>
      <c r="E75" s="4" t="s">
        <v>292</v>
      </c>
      <c r="F75" s="19">
        <v>4059683</v>
      </c>
      <c r="G75" s="19">
        <f>D75+F75</f>
        <v>4059683</v>
      </c>
      <c r="H75" s="71">
        <v>299733</v>
      </c>
      <c r="I75" s="46"/>
    </row>
    <row r="76" spans="1:9" s="20" customFormat="1" ht="51.75" customHeight="1" hidden="1">
      <c r="A76" s="459"/>
      <c r="B76" s="463"/>
      <c r="C76" s="4"/>
      <c r="D76" s="17">
        <v>0</v>
      </c>
      <c r="E76" s="4"/>
      <c r="F76" s="19">
        <v>0</v>
      </c>
      <c r="G76" s="19">
        <f aca="true" t="shared" si="3" ref="G76:G94">D76+F76</f>
        <v>0</v>
      </c>
      <c r="H76" s="4"/>
      <c r="I76" s="46"/>
    </row>
    <row r="77" spans="1:9" s="20" customFormat="1" ht="54.75" customHeight="1" hidden="1">
      <c r="A77" s="459"/>
      <c r="B77" s="463"/>
      <c r="C77" s="4" t="s">
        <v>293</v>
      </c>
      <c r="D77" s="17">
        <v>406050</v>
      </c>
      <c r="E77" s="4"/>
      <c r="F77" s="19"/>
      <c r="G77" s="19">
        <f t="shared" si="3"/>
        <v>406050</v>
      </c>
      <c r="H77" s="4"/>
      <c r="I77" s="46"/>
    </row>
    <row r="78" spans="1:9" s="20" customFormat="1" ht="47.25" hidden="1">
      <c r="A78" s="459"/>
      <c r="B78" s="463"/>
      <c r="C78" s="35" t="s">
        <v>7</v>
      </c>
      <c r="D78" s="38">
        <v>38750</v>
      </c>
      <c r="E78" s="35" t="s">
        <v>7</v>
      </c>
      <c r="F78" s="36">
        <v>473495</v>
      </c>
      <c r="G78" s="19">
        <f t="shared" si="3"/>
        <v>512245</v>
      </c>
      <c r="H78" s="4"/>
      <c r="I78" s="46"/>
    </row>
    <row r="79" spans="1:9" s="20" customFormat="1" ht="63" hidden="1">
      <c r="A79" s="459"/>
      <c r="B79" s="463"/>
      <c r="C79" s="4" t="s">
        <v>366</v>
      </c>
      <c r="D79" s="17">
        <v>9003</v>
      </c>
      <c r="E79" s="35"/>
      <c r="F79" s="36"/>
      <c r="G79" s="19">
        <f t="shared" si="3"/>
        <v>9003</v>
      </c>
      <c r="H79" s="4"/>
      <c r="I79" s="46"/>
    </row>
    <row r="80" spans="1:9" s="20" customFormat="1" ht="50.25" customHeight="1">
      <c r="A80" s="459" t="s">
        <v>111</v>
      </c>
      <c r="B80" s="463" t="s">
        <v>229</v>
      </c>
      <c r="C80" s="4" t="s">
        <v>292</v>
      </c>
      <c r="D80" s="17">
        <v>0</v>
      </c>
      <c r="E80" s="4" t="s">
        <v>292</v>
      </c>
      <c r="F80" s="19">
        <v>699466</v>
      </c>
      <c r="G80" s="19">
        <f t="shared" si="3"/>
        <v>699466</v>
      </c>
      <c r="H80" s="71" t="s">
        <v>13</v>
      </c>
      <c r="I80" s="46"/>
    </row>
    <row r="81" spans="1:9" s="20" customFormat="1" ht="47.25" hidden="1">
      <c r="A81" s="459"/>
      <c r="B81" s="463"/>
      <c r="C81" s="35" t="s">
        <v>7</v>
      </c>
      <c r="D81" s="36">
        <v>0</v>
      </c>
      <c r="E81" s="35" t="s">
        <v>7</v>
      </c>
      <c r="F81" s="36">
        <v>96920</v>
      </c>
      <c r="G81" s="19">
        <f t="shared" si="3"/>
        <v>96920</v>
      </c>
      <c r="H81" s="4"/>
      <c r="I81" s="46"/>
    </row>
    <row r="82" spans="1:9" s="20" customFormat="1" ht="15.75" hidden="1">
      <c r="A82" s="459"/>
      <c r="B82" s="463"/>
      <c r="C82" s="4"/>
      <c r="D82" s="19">
        <v>0</v>
      </c>
      <c r="E82" s="35"/>
      <c r="F82" s="36"/>
      <c r="G82" s="19">
        <f t="shared" si="3"/>
        <v>0</v>
      </c>
      <c r="H82" s="4"/>
      <c r="I82" s="46"/>
    </row>
    <row r="83" spans="1:9" s="20" customFormat="1" ht="47.25">
      <c r="A83" s="459" t="s">
        <v>73</v>
      </c>
      <c r="B83" s="463" t="s">
        <v>20</v>
      </c>
      <c r="C83" s="4" t="s">
        <v>292</v>
      </c>
      <c r="D83" s="17">
        <v>0</v>
      </c>
      <c r="E83" s="4" t="s">
        <v>292</v>
      </c>
      <c r="F83" s="19">
        <v>668216</v>
      </c>
      <c r="G83" s="19">
        <f t="shared" si="3"/>
        <v>668216</v>
      </c>
      <c r="H83" s="71" t="s">
        <v>13</v>
      </c>
      <c r="I83" s="46"/>
    </row>
    <row r="84" spans="1:9" s="20" customFormat="1" ht="47.25" hidden="1">
      <c r="A84" s="459"/>
      <c r="B84" s="463"/>
      <c r="C84" s="35" t="s">
        <v>7</v>
      </c>
      <c r="D84" s="36">
        <v>28156</v>
      </c>
      <c r="E84" s="35" t="s">
        <v>7</v>
      </c>
      <c r="F84" s="36">
        <v>10000</v>
      </c>
      <c r="G84" s="19">
        <f t="shared" si="3"/>
        <v>38156</v>
      </c>
      <c r="H84" s="4"/>
      <c r="I84" s="46"/>
    </row>
    <row r="85" spans="1:9" s="20" customFormat="1" ht="15.75" hidden="1">
      <c r="A85" s="459"/>
      <c r="B85" s="463"/>
      <c r="C85" s="4"/>
      <c r="D85" s="19">
        <v>0</v>
      </c>
      <c r="E85" s="35"/>
      <c r="F85" s="36"/>
      <c r="G85" s="19">
        <f t="shared" si="3"/>
        <v>0</v>
      </c>
      <c r="H85" s="4"/>
      <c r="I85" s="46"/>
    </row>
    <row r="86" spans="1:9" s="20" customFormat="1" ht="47.25" customHeight="1">
      <c r="A86" s="459" t="s">
        <v>74</v>
      </c>
      <c r="B86" s="463" t="s">
        <v>21</v>
      </c>
      <c r="C86" s="4" t="s">
        <v>292</v>
      </c>
      <c r="D86" s="17">
        <v>0</v>
      </c>
      <c r="E86" s="4" t="s">
        <v>292</v>
      </c>
      <c r="F86" s="19">
        <v>6000</v>
      </c>
      <c r="G86" s="19">
        <f t="shared" si="3"/>
        <v>6000</v>
      </c>
      <c r="H86" s="71">
        <v>265928</v>
      </c>
      <c r="I86" s="46"/>
    </row>
    <row r="87" spans="1:9" s="20" customFormat="1" ht="47.25" hidden="1">
      <c r="A87" s="459"/>
      <c r="B87" s="463"/>
      <c r="C87" s="4"/>
      <c r="D87" s="17"/>
      <c r="E87" s="35" t="s">
        <v>7</v>
      </c>
      <c r="F87" s="36">
        <v>6000</v>
      </c>
      <c r="G87" s="19">
        <f t="shared" si="3"/>
        <v>6000</v>
      </c>
      <c r="H87" s="4"/>
      <c r="I87" s="46"/>
    </row>
    <row r="88" spans="1:9" s="20" customFormat="1" ht="66" customHeight="1" hidden="1">
      <c r="A88" s="459"/>
      <c r="B88" s="463"/>
      <c r="C88" s="4"/>
      <c r="D88" s="17">
        <v>0</v>
      </c>
      <c r="E88" s="35"/>
      <c r="F88" s="36"/>
      <c r="G88" s="19">
        <f t="shared" si="3"/>
        <v>0</v>
      </c>
      <c r="H88" s="4"/>
      <c r="I88" s="46"/>
    </row>
    <row r="89" spans="1:9" s="53" customFormat="1" ht="50.25" customHeight="1">
      <c r="A89" s="457" t="s">
        <v>285</v>
      </c>
      <c r="B89" s="461" t="s">
        <v>286</v>
      </c>
      <c r="C89" s="4" t="s">
        <v>292</v>
      </c>
      <c r="D89" s="17">
        <v>0</v>
      </c>
      <c r="E89" s="4" t="s">
        <v>292</v>
      </c>
      <c r="F89" s="19">
        <v>5905334</v>
      </c>
      <c r="G89" s="19">
        <f t="shared" si="3"/>
        <v>5905334</v>
      </c>
      <c r="H89" s="71">
        <v>19555</v>
      </c>
      <c r="I89" s="46"/>
    </row>
    <row r="90" spans="1:9" s="53" customFormat="1" ht="60" customHeight="1" hidden="1">
      <c r="A90" s="458"/>
      <c r="B90" s="462"/>
      <c r="C90" s="4" t="s">
        <v>366</v>
      </c>
      <c r="D90" s="17">
        <v>4380</v>
      </c>
      <c r="E90" s="4"/>
      <c r="F90" s="19"/>
      <c r="G90" s="19">
        <f>D90+F90</f>
        <v>4380</v>
      </c>
      <c r="H90" s="71"/>
      <c r="I90" s="46"/>
    </row>
    <row r="91" spans="1:9" s="20" customFormat="1" ht="47.25" hidden="1">
      <c r="A91" s="18" t="s">
        <v>112</v>
      </c>
      <c r="B91" s="4" t="s">
        <v>113</v>
      </c>
      <c r="C91" s="4" t="s">
        <v>242</v>
      </c>
      <c r="D91" s="17">
        <v>9209185</v>
      </c>
      <c r="E91" s="4"/>
      <c r="F91" s="9"/>
      <c r="G91" s="19">
        <f t="shared" si="3"/>
        <v>9209185</v>
      </c>
      <c r="H91" s="4"/>
      <c r="I91" s="46"/>
    </row>
    <row r="92" spans="1:9" s="20" customFormat="1" ht="63.75" customHeight="1" hidden="1">
      <c r="A92" s="18" t="s">
        <v>398</v>
      </c>
      <c r="B92" s="4" t="s">
        <v>399</v>
      </c>
      <c r="C92" s="4"/>
      <c r="D92" s="17"/>
      <c r="E92" s="4" t="s">
        <v>397</v>
      </c>
      <c r="F92" s="19">
        <v>35000</v>
      </c>
      <c r="G92" s="19">
        <f t="shared" si="3"/>
        <v>35000</v>
      </c>
      <c r="H92" s="4"/>
      <c r="I92" s="46"/>
    </row>
    <row r="93" spans="1:9" s="20" customFormat="1" ht="46.5" customHeight="1" hidden="1">
      <c r="A93" s="18" t="s">
        <v>76</v>
      </c>
      <c r="B93" s="4" t="s">
        <v>230</v>
      </c>
      <c r="C93" s="4" t="s">
        <v>9</v>
      </c>
      <c r="D93" s="17">
        <v>3146037</v>
      </c>
      <c r="E93" s="4"/>
      <c r="F93" s="9"/>
      <c r="G93" s="19">
        <f t="shared" si="3"/>
        <v>3146037</v>
      </c>
      <c r="H93" s="4"/>
      <c r="I93" s="46"/>
    </row>
    <row r="94" spans="1:9" s="20" customFormat="1" ht="52.5" customHeight="1" hidden="1">
      <c r="A94" s="18" t="s">
        <v>84</v>
      </c>
      <c r="B94" s="4" t="s">
        <v>85</v>
      </c>
      <c r="C94" s="4"/>
      <c r="D94" s="5"/>
      <c r="E94" s="4" t="s">
        <v>397</v>
      </c>
      <c r="F94" s="19">
        <v>11179599</v>
      </c>
      <c r="G94" s="19">
        <f t="shared" si="3"/>
        <v>11179599</v>
      </c>
      <c r="H94" s="71"/>
      <c r="I94" s="46"/>
    </row>
    <row r="95" spans="1:9" s="20" customFormat="1" ht="36" customHeight="1" hidden="1">
      <c r="A95" s="459" t="s">
        <v>71</v>
      </c>
      <c r="B95" s="463" t="s">
        <v>105</v>
      </c>
      <c r="C95" s="4"/>
      <c r="D95" s="5"/>
      <c r="E95" s="4" t="s">
        <v>130</v>
      </c>
      <c r="F95" s="12"/>
      <c r="G95" s="9">
        <v>0</v>
      </c>
      <c r="H95" s="4"/>
      <c r="I95" s="46"/>
    </row>
    <row r="96" spans="1:9" s="20" customFormat="1" ht="33" customHeight="1" hidden="1">
      <c r="A96" s="459"/>
      <c r="B96" s="463"/>
      <c r="C96" s="4"/>
      <c r="D96" s="5"/>
      <c r="E96" s="4" t="s">
        <v>131</v>
      </c>
      <c r="F96" s="12"/>
      <c r="G96" s="9">
        <v>0</v>
      </c>
      <c r="H96" s="4"/>
      <c r="I96" s="46"/>
    </row>
    <row r="97" spans="1:9" s="20" customFormat="1" ht="49.5" customHeight="1" hidden="1">
      <c r="A97" s="22" t="s">
        <v>143</v>
      </c>
      <c r="B97" s="23" t="s">
        <v>51</v>
      </c>
      <c r="C97" s="4"/>
      <c r="D97" s="28">
        <f>D100+D103+D105+D106+D108+D109+D110+D111+D112+D113+D117+D119+D120+D101</f>
        <v>13820054</v>
      </c>
      <c r="E97" s="9"/>
      <c r="F97" s="28">
        <f>F98+F101+F105+F106+F108+F111+F114+F115</f>
        <v>4962683</v>
      </c>
      <c r="G97" s="28">
        <f>D97+F97</f>
        <v>18782737</v>
      </c>
      <c r="H97" s="71"/>
      <c r="I97" s="46"/>
    </row>
    <row r="98" spans="1:9" s="20" customFormat="1" ht="31.5" hidden="1">
      <c r="A98" s="459" t="s">
        <v>165</v>
      </c>
      <c r="B98" s="463" t="s">
        <v>166</v>
      </c>
      <c r="C98" s="4"/>
      <c r="D98" s="19"/>
      <c r="E98" s="4" t="s">
        <v>396</v>
      </c>
      <c r="F98" s="19">
        <v>523900</v>
      </c>
      <c r="G98" s="19">
        <f>D98+F98</f>
        <v>523900</v>
      </c>
      <c r="H98" s="4"/>
      <c r="I98" s="46"/>
    </row>
    <row r="99" spans="1:9" s="20" customFormat="1" ht="96.75" customHeight="1" hidden="1">
      <c r="A99" s="459"/>
      <c r="B99" s="463"/>
      <c r="C99" s="4" t="s">
        <v>228</v>
      </c>
      <c r="D99" s="17">
        <v>0</v>
      </c>
      <c r="E99" s="4"/>
      <c r="F99" s="9"/>
      <c r="G99" s="19">
        <f aca="true" t="shared" si="4" ref="G99:G120">D99+F99</f>
        <v>0</v>
      </c>
      <c r="H99" s="4"/>
      <c r="I99" s="46"/>
    </row>
    <row r="100" spans="1:9" s="20" customFormat="1" ht="64.5" customHeight="1" hidden="1">
      <c r="A100" s="459"/>
      <c r="B100" s="463"/>
      <c r="C100" s="4" t="s">
        <v>366</v>
      </c>
      <c r="D100" s="19">
        <v>5519</v>
      </c>
      <c r="E100" s="4"/>
      <c r="F100" s="9"/>
      <c r="G100" s="19">
        <f t="shared" si="4"/>
        <v>5519</v>
      </c>
      <c r="H100" s="4"/>
      <c r="I100" s="46"/>
    </row>
    <row r="101" spans="1:9" s="20" customFormat="1" ht="51.75" customHeight="1" hidden="1">
      <c r="A101" s="459" t="s">
        <v>79</v>
      </c>
      <c r="B101" s="463" t="s">
        <v>234</v>
      </c>
      <c r="C101" s="4" t="s">
        <v>366</v>
      </c>
      <c r="D101" s="19">
        <v>239</v>
      </c>
      <c r="E101" s="4" t="s">
        <v>415</v>
      </c>
      <c r="F101" s="19">
        <v>119850</v>
      </c>
      <c r="G101" s="19">
        <f t="shared" si="4"/>
        <v>120089</v>
      </c>
      <c r="H101" s="4"/>
      <c r="I101" s="46"/>
    </row>
    <row r="102" spans="1:9" s="20" customFormat="1" ht="63" hidden="1">
      <c r="A102" s="459"/>
      <c r="B102" s="463"/>
      <c r="C102" s="4" t="s">
        <v>282</v>
      </c>
      <c r="D102" s="17">
        <v>0</v>
      </c>
      <c r="E102" s="4"/>
      <c r="F102" s="19"/>
      <c r="G102" s="19">
        <f t="shared" si="4"/>
        <v>0</v>
      </c>
      <c r="H102" s="4"/>
      <c r="I102" s="46"/>
    </row>
    <row r="103" spans="1:9" s="20" customFormat="1" ht="47.25" hidden="1">
      <c r="A103" s="18" t="s">
        <v>80</v>
      </c>
      <c r="B103" s="4" t="s">
        <v>235</v>
      </c>
      <c r="C103" s="4" t="s">
        <v>415</v>
      </c>
      <c r="D103" s="17">
        <v>201763</v>
      </c>
      <c r="E103" s="4"/>
      <c r="F103" s="9"/>
      <c r="G103" s="19">
        <f t="shared" si="4"/>
        <v>201763</v>
      </c>
      <c r="H103" s="4"/>
      <c r="I103" s="46"/>
    </row>
    <row r="104" spans="1:9" s="20" customFormat="1" ht="47.25" hidden="1">
      <c r="A104" s="18" t="s">
        <v>81</v>
      </c>
      <c r="B104" s="4" t="s">
        <v>236</v>
      </c>
      <c r="C104" s="4"/>
      <c r="D104" s="17"/>
      <c r="E104" s="4"/>
      <c r="F104" s="9"/>
      <c r="G104" s="19">
        <f t="shared" si="4"/>
        <v>0</v>
      </c>
      <c r="H104" s="4"/>
      <c r="I104" s="46"/>
    </row>
    <row r="105" spans="1:9" s="20" customFormat="1" ht="47.25" customHeight="1" hidden="1">
      <c r="A105" s="459" t="s">
        <v>163</v>
      </c>
      <c r="B105" s="463" t="s">
        <v>164</v>
      </c>
      <c r="C105" s="4" t="s">
        <v>391</v>
      </c>
      <c r="D105" s="17">
        <v>3925134</v>
      </c>
      <c r="E105" s="4" t="s">
        <v>416</v>
      </c>
      <c r="F105" s="19">
        <v>53060</v>
      </c>
      <c r="G105" s="19">
        <f t="shared" si="4"/>
        <v>3978194</v>
      </c>
      <c r="H105" s="4"/>
      <c r="I105" s="46"/>
    </row>
    <row r="106" spans="1:9" s="20" customFormat="1" ht="50.25" customHeight="1" hidden="1">
      <c r="A106" s="459"/>
      <c r="B106" s="463"/>
      <c r="C106" s="4" t="s">
        <v>340</v>
      </c>
      <c r="D106" s="17">
        <v>24192</v>
      </c>
      <c r="E106" s="4" t="s">
        <v>340</v>
      </c>
      <c r="F106" s="19">
        <v>24192</v>
      </c>
      <c r="G106" s="19">
        <f t="shared" si="4"/>
        <v>48384</v>
      </c>
      <c r="H106" s="4"/>
      <c r="I106" s="46"/>
    </row>
    <row r="107" spans="1:9" s="20" customFormat="1" ht="110.25" customHeight="1" hidden="1">
      <c r="A107" s="459"/>
      <c r="B107" s="463"/>
      <c r="C107" s="4"/>
      <c r="D107" s="17"/>
      <c r="E107" s="4"/>
      <c r="F107" s="9"/>
      <c r="G107" s="19">
        <f t="shared" si="4"/>
        <v>0</v>
      </c>
      <c r="H107" s="4"/>
      <c r="I107" s="46"/>
    </row>
    <row r="108" spans="1:9" s="20" customFormat="1" ht="51" customHeight="1" hidden="1">
      <c r="A108" s="459"/>
      <c r="B108" s="463"/>
      <c r="C108" s="35" t="s">
        <v>7</v>
      </c>
      <c r="D108" s="37">
        <v>3500</v>
      </c>
      <c r="E108" s="35" t="s">
        <v>7</v>
      </c>
      <c r="F108" s="37">
        <v>23400</v>
      </c>
      <c r="G108" s="19">
        <f t="shared" si="4"/>
        <v>26900</v>
      </c>
      <c r="H108" s="4"/>
      <c r="I108" s="46"/>
    </row>
    <row r="109" spans="1:9" s="20" customFormat="1" ht="63" hidden="1">
      <c r="A109" s="459"/>
      <c r="B109" s="463"/>
      <c r="C109" s="4" t="s">
        <v>366</v>
      </c>
      <c r="D109" s="9">
        <v>8307</v>
      </c>
      <c r="E109" s="35"/>
      <c r="F109" s="37"/>
      <c r="G109" s="19">
        <f t="shared" si="4"/>
        <v>8307</v>
      </c>
      <c r="H109" s="4"/>
      <c r="I109" s="46"/>
    </row>
    <row r="110" spans="1:9" s="20" customFormat="1" ht="49.5" customHeight="1" hidden="1">
      <c r="A110" s="459" t="s">
        <v>23</v>
      </c>
      <c r="B110" s="463" t="s">
        <v>17</v>
      </c>
      <c r="C110" s="4" t="s">
        <v>392</v>
      </c>
      <c r="D110" s="17">
        <v>972100</v>
      </c>
      <c r="E110" s="4"/>
      <c r="F110" s="9"/>
      <c r="G110" s="19">
        <f t="shared" si="4"/>
        <v>972100</v>
      </c>
      <c r="H110" s="4"/>
      <c r="I110" s="46"/>
    </row>
    <row r="111" spans="1:9" s="20" customFormat="1" ht="47.25" hidden="1">
      <c r="A111" s="459"/>
      <c r="B111" s="463"/>
      <c r="C111" s="35" t="s">
        <v>264</v>
      </c>
      <c r="D111" s="37">
        <v>0</v>
      </c>
      <c r="E111" s="35" t="s">
        <v>264</v>
      </c>
      <c r="F111" s="37">
        <v>0</v>
      </c>
      <c r="G111" s="19">
        <f t="shared" si="4"/>
        <v>0</v>
      </c>
      <c r="H111" s="4"/>
      <c r="I111" s="46"/>
    </row>
    <row r="112" spans="1:9" s="20" customFormat="1" ht="48" customHeight="1" hidden="1">
      <c r="A112" s="459" t="s">
        <v>86</v>
      </c>
      <c r="B112" s="463" t="s">
        <v>93</v>
      </c>
      <c r="C112" s="4" t="s">
        <v>392</v>
      </c>
      <c r="D112" s="17">
        <v>7134400</v>
      </c>
      <c r="E112" s="4"/>
      <c r="F112" s="9"/>
      <c r="G112" s="19">
        <f>D112+F112</f>
        <v>7134400</v>
      </c>
      <c r="H112" s="4"/>
      <c r="I112" s="46"/>
    </row>
    <row r="113" spans="1:9" s="20" customFormat="1" ht="47.25" hidden="1">
      <c r="A113" s="459"/>
      <c r="B113" s="463"/>
      <c r="C113" s="35" t="s">
        <v>264</v>
      </c>
      <c r="D113" s="38">
        <v>0</v>
      </c>
      <c r="E113" s="35"/>
      <c r="F113" s="37"/>
      <c r="G113" s="19">
        <f t="shared" si="4"/>
        <v>0</v>
      </c>
      <c r="H113" s="4"/>
      <c r="I113" s="46"/>
    </row>
    <row r="114" spans="1:9" s="20" customFormat="1" ht="48" customHeight="1" hidden="1">
      <c r="A114" s="459" t="s">
        <v>84</v>
      </c>
      <c r="B114" s="463" t="s">
        <v>85</v>
      </c>
      <c r="C114" s="4"/>
      <c r="D114" s="17"/>
      <c r="E114" s="4" t="s">
        <v>269</v>
      </c>
      <c r="F114" s="12">
        <v>0</v>
      </c>
      <c r="G114" s="19">
        <f t="shared" si="4"/>
        <v>0</v>
      </c>
      <c r="H114" s="4"/>
      <c r="I114" s="46"/>
    </row>
    <row r="115" spans="1:9" s="20" customFormat="1" ht="45.75" customHeight="1" hidden="1">
      <c r="A115" s="459"/>
      <c r="B115" s="463"/>
      <c r="C115" s="4"/>
      <c r="D115" s="5"/>
      <c r="E115" s="4" t="s">
        <v>417</v>
      </c>
      <c r="F115" s="12">
        <v>4218281</v>
      </c>
      <c r="G115" s="19">
        <f t="shared" si="4"/>
        <v>4218281</v>
      </c>
      <c r="H115" s="4"/>
      <c r="I115" s="46"/>
    </row>
    <row r="116" spans="1:9" s="20" customFormat="1" ht="52.5" customHeight="1" hidden="1">
      <c r="A116" s="18" t="s">
        <v>33</v>
      </c>
      <c r="B116" s="463" t="s">
        <v>232</v>
      </c>
      <c r="C116" s="4" t="s">
        <v>132</v>
      </c>
      <c r="D116" s="17"/>
      <c r="E116" s="4"/>
      <c r="F116" s="16"/>
      <c r="G116" s="19">
        <f t="shared" si="4"/>
        <v>0</v>
      </c>
      <c r="H116" s="4"/>
      <c r="I116" s="46"/>
    </row>
    <row r="117" spans="1:9" s="20" customFormat="1" ht="53.25" customHeight="1" hidden="1">
      <c r="A117" s="459" t="s">
        <v>33</v>
      </c>
      <c r="B117" s="463"/>
      <c r="C117" s="4" t="s">
        <v>392</v>
      </c>
      <c r="D117" s="17">
        <v>174150</v>
      </c>
      <c r="E117" s="4"/>
      <c r="F117" s="16"/>
      <c r="G117" s="19">
        <f t="shared" si="4"/>
        <v>174150</v>
      </c>
      <c r="H117" s="4"/>
      <c r="I117" s="46"/>
    </row>
    <row r="118" spans="1:9" s="20" customFormat="1" ht="62.25" customHeight="1" hidden="1">
      <c r="A118" s="459"/>
      <c r="B118" s="463"/>
      <c r="C118" s="4" t="s">
        <v>228</v>
      </c>
      <c r="D118" s="17"/>
      <c r="E118" s="4"/>
      <c r="F118" s="16"/>
      <c r="G118" s="19">
        <f t="shared" si="4"/>
        <v>0</v>
      </c>
      <c r="H118" s="4"/>
      <c r="I118" s="46"/>
    </row>
    <row r="119" spans="1:9" s="20" customFormat="1" ht="57" customHeight="1" hidden="1">
      <c r="A119" s="18" t="s">
        <v>87</v>
      </c>
      <c r="B119" s="4" t="s">
        <v>233</v>
      </c>
      <c r="C119" s="4" t="s">
        <v>392</v>
      </c>
      <c r="D119" s="17">
        <v>500000</v>
      </c>
      <c r="E119" s="4"/>
      <c r="F119" s="16"/>
      <c r="G119" s="19">
        <f t="shared" si="4"/>
        <v>500000</v>
      </c>
      <c r="H119" s="4"/>
      <c r="I119" s="46"/>
    </row>
    <row r="120" spans="1:9" s="20" customFormat="1" ht="51" customHeight="1" hidden="1">
      <c r="A120" s="18" t="s">
        <v>117</v>
      </c>
      <c r="B120" s="4" t="s">
        <v>220</v>
      </c>
      <c r="C120" s="4" t="s">
        <v>392</v>
      </c>
      <c r="D120" s="17">
        <v>870750</v>
      </c>
      <c r="E120" s="4"/>
      <c r="F120" s="16"/>
      <c r="G120" s="19">
        <f t="shared" si="4"/>
        <v>870750</v>
      </c>
      <c r="H120" s="4"/>
      <c r="I120" s="46"/>
    </row>
    <row r="121" spans="1:9" s="20" customFormat="1" ht="68.25" customHeight="1" hidden="1">
      <c r="A121" s="22" t="s">
        <v>176</v>
      </c>
      <c r="B121" s="23" t="s">
        <v>180</v>
      </c>
      <c r="C121" s="4"/>
      <c r="D121" s="24">
        <v>0</v>
      </c>
      <c r="E121" s="4"/>
      <c r="F121" s="24">
        <v>0</v>
      </c>
      <c r="G121" s="24">
        <v>0</v>
      </c>
      <c r="H121" s="4"/>
      <c r="I121" s="46"/>
    </row>
    <row r="122" spans="1:9" s="20" customFormat="1" ht="31.5" hidden="1">
      <c r="A122" s="18" t="s">
        <v>165</v>
      </c>
      <c r="B122" s="4" t="s">
        <v>166</v>
      </c>
      <c r="C122" s="4" t="s">
        <v>177</v>
      </c>
      <c r="D122" s="17"/>
      <c r="E122" s="4" t="s">
        <v>177</v>
      </c>
      <c r="F122" s="12"/>
      <c r="G122" s="9">
        <v>0</v>
      </c>
      <c r="H122" s="4"/>
      <c r="I122" s="46"/>
    </row>
    <row r="123" spans="1:9" s="20" customFormat="1" ht="63" hidden="1">
      <c r="A123" s="22" t="s">
        <v>187</v>
      </c>
      <c r="B123" s="23" t="s">
        <v>188</v>
      </c>
      <c r="C123" s="4"/>
      <c r="D123" s="24">
        <f>D124</f>
        <v>0</v>
      </c>
      <c r="E123" s="4"/>
      <c r="F123" s="24">
        <f>F124</f>
        <v>7000</v>
      </c>
      <c r="G123" s="24">
        <f>D123+F123</f>
        <v>7000</v>
      </c>
      <c r="H123" s="4"/>
      <c r="I123" s="46"/>
    </row>
    <row r="124" spans="1:9" s="20" customFormat="1" ht="31.5" hidden="1">
      <c r="A124" s="18" t="s">
        <v>165</v>
      </c>
      <c r="B124" s="4" t="s">
        <v>166</v>
      </c>
      <c r="C124" s="4"/>
      <c r="D124" s="17"/>
      <c r="E124" s="4" t="s">
        <v>396</v>
      </c>
      <c r="F124" s="12">
        <v>7000</v>
      </c>
      <c r="G124" s="19">
        <f>D124+F124</f>
        <v>7000</v>
      </c>
      <c r="H124" s="4"/>
      <c r="I124" s="46"/>
    </row>
    <row r="125" spans="1:9" s="20" customFormat="1" ht="35.25" customHeight="1">
      <c r="A125" s="22" t="s">
        <v>148</v>
      </c>
      <c r="B125" s="23" t="s">
        <v>54</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165</v>
      </c>
      <c r="B126" s="4" t="s">
        <v>166</v>
      </c>
      <c r="C126" s="4" t="s">
        <v>179</v>
      </c>
      <c r="D126" s="17"/>
      <c r="E126" s="4"/>
      <c r="F126" s="19"/>
      <c r="G126" s="16">
        <v>0</v>
      </c>
      <c r="H126" s="4"/>
      <c r="I126" s="46"/>
    </row>
    <row r="127" spans="1:9" s="20" customFormat="1" ht="54" customHeight="1">
      <c r="A127" s="459" t="s">
        <v>159</v>
      </c>
      <c r="B127" s="463" t="s">
        <v>160</v>
      </c>
      <c r="C127" s="4" t="s">
        <v>6</v>
      </c>
      <c r="D127" s="17">
        <v>599140</v>
      </c>
      <c r="E127" s="4" t="s">
        <v>6</v>
      </c>
      <c r="F127" s="19">
        <v>1321</v>
      </c>
      <c r="G127" s="12">
        <f>D127+F127</f>
        <v>600461</v>
      </c>
      <c r="H127" s="71">
        <v>0</v>
      </c>
      <c r="I127" s="46"/>
    </row>
    <row r="128" spans="1:9" s="20" customFormat="1" ht="65.25" customHeight="1" hidden="1">
      <c r="A128" s="459"/>
      <c r="B128" s="463"/>
      <c r="C128" s="4" t="s">
        <v>366</v>
      </c>
      <c r="D128" s="17">
        <v>279</v>
      </c>
      <c r="E128" s="4"/>
      <c r="F128" s="19"/>
      <c r="G128" s="12">
        <f aca="true" t="shared" si="5" ref="G128:G144">D128+F128</f>
        <v>279</v>
      </c>
      <c r="H128" s="4"/>
      <c r="I128" s="46"/>
    </row>
    <row r="129" spans="1:9" s="20" customFormat="1" ht="54" customHeight="1">
      <c r="A129" s="459" t="s">
        <v>161</v>
      </c>
      <c r="B129" s="463" t="s">
        <v>162</v>
      </c>
      <c r="C129" s="4" t="s">
        <v>6</v>
      </c>
      <c r="D129" s="17">
        <v>2188093</v>
      </c>
      <c r="E129" s="4" t="s">
        <v>6</v>
      </c>
      <c r="F129" s="19">
        <v>207061</v>
      </c>
      <c r="G129" s="12">
        <f t="shared" si="5"/>
        <v>2395154</v>
      </c>
      <c r="H129" s="71">
        <v>0</v>
      </c>
      <c r="I129" s="46"/>
    </row>
    <row r="130" spans="1:9" s="20" customFormat="1" ht="47.25" hidden="1">
      <c r="A130" s="459"/>
      <c r="B130" s="463"/>
      <c r="C130" s="35" t="s">
        <v>7</v>
      </c>
      <c r="D130" s="36">
        <v>500</v>
      </c>
      <c r="E130" s="35" t="s">
        <v>7</v>
      </c>
      <c r="F130" s="36">
        <v>59018</v>
      </c>
      <c r="G130" s="12">
        <f t="shared" si="5"/>
        <v>59518</v>
      </c>
      <c r="H130" s="4"/>
      <c r="I130" s="46"/>
    </row>
    <row r="131" spans="1:9" s="20" customFormat="1" ht="66.75" customHeight="1" hidden="1">
      <c r="A131" s="459"/>
      <c r="B131" s="463"/>
      <c r="C131" s="4" t="s">
        <v>366</v>
      </c>
      <c r="D131" s="19">
        <v>2511</v>
      </c>
      <c r="E131" s="35"/>
      <c r="F131" s="36"/>
      <c r="G131" s="12">
        <f t="shared" si="5"/>
        <v>2511</v>
      </c>
      <c r="H131" s="4"/>
      <c r="I131" s="46"/>
    </row>
    <row r="132" spans="1:9" s="20" customFormat="1" ht="54" customHeight="1">
      <c r="A132" s="457" t="s">
        <v>169</v>
      </c>
      <c r="B132" s="461" t="s">
        <v>170</v>
      </c>
      <c r="C132" s="4" t="s">
        <v>6</v>
      </c>
      <c r="D132" s="17">
        <v>1255924</v>
      </c>
      <c r="E132" s="4" t="s">
        <v>6</v>
      </c>
      <c r="F132" s="19">
        <v>1931965</v>
      </c>
      <c r="G132" s="12">
        <f t="shared" si="5"/>
        <v>3187889</v>
      </c>
      <c r="H132" s="73">
        <f>149214+58070+7900+19790+167074+132486</f>
        <v>534534</v>
      </c>
      <c r="I132" s="72"/>
    </row>
    <row r="133" spans="1:9" s="20" customFormat="1" ht="47.25" hidden="1">
      <c r="A133" s="467"/>
      <c r="B133" s="468"/>
      <c r="C133" s="35" t="s">
        <v>7</v>
      </c>
      <c r="D133" s="36">
        <v>0</v>
      </c>
      <c r="E133" s="35" t="s">
        <v>7</v>
      </c>
      <c r="F133" s="36">
        <v>4920</v>
      </c>
      <c r="G133" s="12">
        <f t="shared" si="5"/>
        <v>4920</v>
      </c>
      <c r="H133" s="4"/>
      <c r="I133" s="46"/>
    </row>
    <row r="134" spans="1:9" s="20" customFormat="1" ht="63" hidden="1">
      <c r="A134" s="458"/>
      <c r="B134" s="462"/>
      <c r="C134" s="4" t="s">
        <v>366</v>
      </c>
      <c r="D134" s="19">
        <v>5829</v>
      </c>
      <c r="E134" s="35"/>
      <c r="F134" s="36"/>
      <c r="G134" s="12">
        <f>D134+F134</f>
        <v>5829</v>
      </c>
      <c r="H134" s="4"/>
      <c r="I134" s="46"/>
    </row>
    <row r="135" spans="1:9" s="20" customFormat="1" ht="51" customHeight="1">
      <c r="A135" s="459" t="s">
        <v>167</v>
      </c>
      <c r="B135" s="463" t="s">
        <v>168</v>
      </c>
      <c r="C135" s="4" t="s">
        <v>6</v>
      </c>
      <c r="D135" s="17">
        <v>536069</v>
      </c>
      <c r="E135" s="4" t="s">
        <v>6</v>
      </c>
      <c r="F135" s="19">
        <v>1820736</v>
      </c>
      <c r="G135" s="12">
        <f t="shared" si="5"/>
        <v>2356805</v>
      </c>
      <c r="H135" s="71">
        <v>321482</v>
      </c>
      <c r="I135" s="46"/>
    </row>
    <row r="136" spans="1:9" s="20" customFormat="1" ht="63" hidden="1">
      <c r="A136" s="459"/>
      <c r="B136" s="463"/>
      <c r="C136" s="4" t="s">
        <v>366</v>
      </c>
      <c r="D136" s="17">
        <v>2232</v>
      </c>
      <c r="E136" s="35"/>
      <c r="F136" s="36"/>
      <c r="G136" s="12">
        <f t="shared" si="5"/>
        <v>2232</v>
      </c>
      <c r="H136" s="4"/>
      <c r="I136" s="46"/>
    </row>
    <row r="137" spans="1:9" s="20" customFormat="1" ht="66" customHeight="1" hidden="1">
      <c r="A137" s="459"/>
      <c r="B137" s="463"/>
      <c r="C137" s="4"/>
      <c r="D137" s="17"/>
      <c r="E137" s="35" t="s">
        <v>7</v>
      </c>
      <c r="F137" s="36">
        <v>3000</v>
      </c>
      <c r="G137" s="12">
        <f t="shared" si="5"/>
        <v>3000</v>
      </c>
      <c r="H137" s="4"/>
      <c r="I137" s="46"/>
    </row>
    <row r="138" spans="1:9" s="20" customFormat="1" ht="47.25" hidden="1">
      <c r="A138" s="464">
        <v>110300</v>
      </c>
      <c r="B138" s="461" t="s">
        <v>30</v>
      </c>
      <c r="C138" s="4" t="s">
        <v>8</v>
      </c>
      <c r="D138" s="21">
        <v>1114809</v>
      </c>
      <c r="E138" s="4"/>
      <c r="F138" s="36"/>
      <c r="G138" s="12">
        <f t="shared" si="5"/>
        <v>1114809</v>
      </c>
      <c r="H138" s="4"/>
      <c r="I138" s="46"/>
    </row>
    <row r="139" spans="1:9" s="20" customFormat="1" ht="63" hidden="1">
      <c r="A139" s="465"/>
      <c r="B139" s="462"/>
      <c r="C139" s="4" t="s">
        <v>366</v>
      </c>
      <c r="D139" s="21">
        <v>13116</v>
      </c>
      <c r="E139" s="4"/>
      <c r="F139" s="36"/>
      <c r="G139" s="12">
        <f t="shared" si="5"/>
        <v>13116</v>
      </c>
      <c r="H139" s="4"/>
      <c r="I139" s="46"/>
    </row>
    <row r="140" spans="1:9" s="20" customFormat="1" ht="31.5">
      <c r="A140" s="469">
        <v>110502</v>
      </c>
      <c r="B140" s="463" t="s">
        <v>18</v>
      </c>
      <c r="C140" s="4" t="s">
        <v>3</v>
      </c>
      <c r="D140" s="15">
        <v>1693819</v>
      </c>
      <c r="E140" s="4" t="s">
        <v>418</v>
      </c>
      <c r="F140" s="16">
        <v>42020</v>
      </c>
      <c r="G140" s="12">
        <f t="shared" si="5"/>
        <v>1735839</v>
      </c>
      <c r="H140" s="71"/>
      <c r="I140" s="46"/>
    </row>
    <row r="141" spans="1:9" s="20" customFormat="1" ht="51" customHeight="1">
      <c r="A141" s="469"/>
      <c r="B141" s="463"/>
      <c r="C141" s="4" t="s">
        <v>6</v>
      </c>
      <c r="D141" s="15">
        <v>925412</v>
      </c>
      <c r="E141" s="4" t="s">
        <v>6</v>
      </c>
      <c r="F141" s="12">
        <v>39696</v>
      </c>
      <c r="G141" s="12">
        <f t="shared" si="5"/>
        <v>965108</v>
      </c>
      <c r="H141" s="4"/>
      <c r="I141" s="46"/>
    </row>
    <row r="142" spans="1:9" s="20" customFormat="1" ht="55.5" customHeight="1" hidden="1">
      <c r="A142" s="469"/>
      <c r="B142" s="463"/>
      <c r="C142" s="4" t="s">
        <v>2</v>
      </c>
      <c r="D142" s="15">
        <v>20000</v>
      </c>
      <c r="E142" s="35"/>
      <c r="F142" s="16"/>
      <c r="G142" s="12">
        <f t="shared" si="5"/>
        <v>20000</v>
      </c>
      <c r="H142" s="4"/>
      <c r="I142" s="46"/>
    </row>
    <row r="143" spans="1:9" s="20" customFormat="1" ht="68.25" customHeight="1" hidden="1">
      <c r="A143" s="469"/>
      <c r="B143" s="463"/>
      <c r="C143" s="4" t="s">
        <v>366</v>
      </c>
      <c r="D143" s="15">
        <v>5280</v>
      </c>
      <c r="E143" s="4"/>
      <c r="F143" s="16"/>
      <c r="G143" s="12">
        <f t="shared" si="5"/>
        <v>5280</v>
      </c>
      <c r="H143" s="4"/>
      <c r="I143" s="46"/>
    </row>
    <row r="144" spans="1:9" s="20" customFormat="1" ht="47.25" hidden="1">
      <c r="A144" s="469"/>
      <c r="B144" s="463"/>
      <c r="C144" s="4"/>
      <c r="D144" s="15"/>
      <c r="E144" s="35" t="s">
        <v>264</v>
      </c>
      <c r="F144" s="36"/>
      <c r="G144" s="12">
        <f t="shared" si="5"/>
        <v>0</v>
      </c>
      <c r="H144" s="4"/>
      <c r="I144" s="46"/>
    </row>
    <row r="145" spans="1:9" s="20" customFormat="1" ht="47.25" hidden="1">
      <c r="A145" s="18" t="s">
        <v>84</v>
      </c>
      <c r="B145" s="4" t="s">
        <v>85</v>
      </c>
      <c r="C145" s="4"/>
      <c r="D145" s="5"/>
      <c r="E145" s="4" t="s">
        <v>6</v>
      </c>
      <c r="F145" s="19">
        <v>136523</v>
      </c>
      <c r="G145" s="12">
        <f>D145+F145</f>
        <v>136523</v>
      </c>
      <c r="H145" s="71"/>
      <c r="I145" s="46"/>
    </row>
    <row r="146" spans="1:9" s="20" customFormat="1" ht="47.25" hidden="1">
      <c r="A146" s="22" t="s">
        <v>294</v>
      </c>
      <c r="B146" s="23" t="s">
        <v>295</v>
      </c>
      <c r="C146" s="4"/>
      <c r="D146" s="24">
        <v>0</v>
      </c>
      <c r="E146" s="5"/>
      <c r="F146" s="28">
        <v>0</v>
      </c>
      <c r="G146" s="27">
        <v>0</v>
      </c>
      <c r="H146" s="71"/>
      <c r="I146" s="46"/>
    </row>
    <row r="147" spans="1:9" s="20" customFormat="1" ht="47.25" hidden="1">
      <c r="A147" s="18" t="s">
        <v>165</v>
      </c>
      <c r="B147" s="4" t="s">
        <v>166</v>
      </c>
      <c r="C147" s="4"/>
      <c r="D147" s="5"/>
      <c r="E147" s="55" t="s">
        <v>267</v>
      </c>
      <c r="F147" s="56">
        <v>0</v>
      </c>
      <c r="G147" s="9">
        <v>0</v>
      </c>
      <c r="H147" s="71"/>
      <c r="I147" s="46"/>
    </row>
    <row r="148" spans="1:9" s="20" customFormat="1" ht="54" customHeight="1" hidden="1">
      <c r="A148" s="22" t="s">
        <v>147</v>
      </c>
      <c r="B148" s="23" t="s">
        <v>173</v>
      </c>
      <c r="C148" s="4"/>
      <c r="D148" s="24">
        <f>D149+D150+D151+D152</f>
        <v>228711</v>
      </c>
      <c r="E148" s="5"/>
      <c r="F148" s="28">
        <f>F149+F150</f>
        <v>1000201</v>
      </c>
      <c r="G148" s="28">
        <f aca="true" t="shared" si="6" ref="G148:G178">D148+F148</f>
        <v>1228912</v>
      </c>
      <c r="H148" s="71"/>
      <c r="I148" s="46"/>
    </row>
    <row r="149" spans="1:9" s="20" customFormat="1" ht="31.5" hidden="1">
      <c r="A149" s="18" t="s">
        <v>165</v>
      </c>
      <c r="B149" s="4" t="s">
        <v>166</v>
      </c>
      <c r="C149" s="4"/>
      <c r="D149" s="17"/>
      <c r="E149" s="4" t="s">
        <v>396</v>
      </c>
      <c r="F149" s="19">
        <v>14000</v>
      </c>
      <c r="G149" s="19">
        <f t="shared" si="6"/>
        <v>14000</v>
      </c>
      <c r="H149" s="4"/>
      <c r="I149" s="46"/>
    </row>
    <row r="150" spans="1:9" s="20" customFormat="1" ht="47.25" hidden="1">
      <c r="A150" s="18" t="s">
        <v>84</v>
      </c>
      <c r="B150" s="4" t="s">
        <v>85</v>
      </c>
      <c r="C150" s="4"/>
      <c r="D150" s="5"/>
      <c r="E150" s="4" t="s">
        <v>393</v>
      </c>
      <c r="F150" s="19">
        <v>986201</v>
      </c>
      <c r="G150" s="19">
        <f t="shared" si="6"/>
        <v>986201</v>
      </c>
      <c r="H150" s="4"/>
      <c r="I150" s="46"/>
    </row>
    <row r="151" spans="1:9" s="20" customFormat="1" ht="66" customHeight="1" hidden="1">
      <c r="A151" s="18" t="s">
        <v>77</v>
      </c>
      <c r="B151" s="4" t="s">
        <v>92</v>
      </c>
      <c r="C151" s="4" t="s">
        <v>339</v>
      </c>
      <c r="D151" s="17">
        <v>120711</v>
      </c>
      <c r="E151" s="4"/>
      <c r="F151" s="9"/>
      <c r="G151" s="19">
        <f t="shared" si="6"/>
        <v>120711</v>
      </c>
      <c r="H151" s="4"/>
      <c r="I151" s="46"/>
    </row>
    <row r="152" spans="1:9" s="20" customFormat="1" ht="47.25" hidden="1">
      <c r="A152" s="18" t="s">
        <v>102</v>
      </c>
      <c r="B152" s="4" t="s">
        <v>218</v>
      </c>
      <c r="C152" s="4" t="s">
        <v>331</v>
      </c>
      <c r="D152" s="17">
        <v>108000</v>
      </c>
      <c r="E152" s="4"/>
      <c r="F152" s="9"/>
      <c r="G152" s="19">
        <f t="shared" si="6"/>
        <v>108000</v>
      </c>
      <c r="H152" s="4"/>
      <c r="I152" s="46"/>
    </row>
    <row r="153" spans="1:9" s="20" customFormat="1" ht="47.25" hidden="1">
      <c r="A153" s="22" t="s">
        <v>182</v>
      </c>
      <c r="B153" s="23" t="s">
        <v>183</v>
      </c>
      <c r="C153" s="4"/>
      <c r="D153" s="24">
        <f>D154</f>
        <v>0</v>
      </c>
      <c r="E153" s="5"/>
      <c r="F153" s="24">
        <f>F154</f>
        <v>0</v>
      </c>
      <c r="G153" s="24">
        <f t="shared" si="6"/>
        <v>0</v>
      </c>
      <c r="H153" s="71"/>
      <c r="I153" s="46"/>
    </row>
    <row r="154" spans="1:9" s="20" customFormat="1" ht="48.75" customHeight="1" hidden="1">
      <c r="A154" s="18" t="s">
        <v>165</v>
      </c>
      <c r="B154" s="4" t="s">
        <v>166</v>
      </c>
      <c r="C154" s="4"/>
      <c r="D154" s="17"/>
      <c r="E154" s="4"/>
      <c r="F154" s="19">
        <v>0</v>
      </c>
      <c r="G154" s="24">
        <f t="shared" si="6"/>
        <v>0</v>
      </c>
      <c r="H154" s="4"/>
      <c r="I154" s="46"/>
    </row>
    <row r="155" spans="1:9" s="20" customFormat="1" ht="45.75" customHeight="1" hidden="1">
      <c r="A155" s="22" t="s">
        <v>145</v>
      </c>
      <c r="B155" s="23" t="s">
        <v>225</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459" t="s">
        <v>165</v>
      </c>
      <c r="B156" s="463" t="s">
        <v>166</v>
      </c>
      <c r="C156" s="4"/>
      <c r="D156" s="24"/>
      <c r="E156" s="4" t="s">
        <v>396</v>
      </c>
      <c r="F156" s="19">
        <v>35000</v>
      </c>
      <c r="G156" s="19">
        <f t="shared" si="6"/>
        <v>35000</v>
      </c>
      <c r="H156" s="71"/>
      <c r="I156" s="46"/>
    </row>
    <row r="157" spans="1:9" s="20" customFormat="1" ht="61.5" customHeight="1" hidden="1">
      <c r="A157" s="459"/>
      <c r="B157" s="463"/>
      <c r="C157" s="4" t="s">
        <v>366</v>
      </c>
      <c r="D157" s="17">
        <v>746</v>
      </c>
      <c r="E157" s="4"/>
      <c r="F157" s="19"/>
      <c r="G157" s="19">
        <f t="shared" si="6"/>
        <v>746</v>
      </c>
      <c r="H157" s="4"/>
      <c r="I157" s="46"/>
    </row>
    <row r="158" spans="1:9" s="20" customFormat="1" ht="47.25" hidden="1">
      <c r="A158" s="18" t="s">
        <v>86</v>
      </c>
      <c r="B158" s="4" t="s">
        <v>93</v>
      </c>
      <c r="C158" s="4" t="s">
        <v>419</v>
      </c>
      <c r="D158" s="17">
        <v>131000</v>
      </c>
      <c r="E158" s="4"/>
      <c r="F158" s="9"/>
      <c r="G158" s="19">
        <f t="shared" si="6"/>
        <v>131000</v>
      </c>
      <c r="H158" s="4"/>
      <c r="I158" s="46"/>
    </row>
    <row r="159" spans="1:9" s="20" customFormat="1" ht="47.25" hidden="1">
      <c r="A159" s="459" t="s">
        <v>216</v>
      </c>
      <c r="B159" s="463" t="s">
        <v>217</v>
      </c>
      <c r="C159" s="4" t="s">
        <v>419</v>
      </c>
      <c r="D159" s="17">
        <v>10566800</v>
      </c>
      <c r="E159" s="4"/>
      <c r="F159" s="9"/>
      <c r="G159" s="19">
        <f t="shared" si="6"/>
        <v>10566800</v>
      </c>
      <c r="H159" s="4"/>
      <c r="I159" s="46"/>
    </row>
    <row r="160" spans="1:9" s="20" customFormat="1" ht="47.25" hidden="1">
      <c r="A160" s="459"/>
      <c r="B160" s="463"/>
      <c r="C160" s="35" t="s">
        <v>7</v>
      </c>
      <c r="D160" s="37">
        <v>64035</v>
      </c>
      <c r="E160" s="4"/>
      <c r="F160" s="9"/>
      <c r="G160" s="19">
        <f t="shared" si="6"/>
        <v>64035</v>
      </c>
      <c r="H160" s="4"/>
      <c r="I160" s="46"/>
    </row>
    <row r="161" spans="1:9" s="20" customFormat="1" ht="47.25" hidden="1">
      <c r="A161" s="459" t="s">
        <v>114</v>
      </c>
      <c r="B161" s="463" t="s">
        <v>115</v>
      </c>
      <c r="C161" s="4"/>
      <c r="D161" s="17"/>
      <c r="E161" s="4" t="s">
        <v>420</v>
      </c>
      <c r="F161" s="19">
        <v>33149648</v>
      </c>
      <c r="G161" s="19">
        <f t="shared" si="6"/>
        <v>33149648</v>
      </c>
      <c r="H161" s="4"/>
      <c r="I161" s="46"/>
    </row>
    <row r="162" spans="1:9" s="20" customFormat="1" ht="47.25" customHeight="1" hidden="1">
      <c r="A162" s="459"/>
      <c r="B162" s="463"/>
      <c r="C162" s="4" t="s">
        <v>270</v>
      </c>
      <c r="D162" s="17">
        <v>0</v>
      </c>
      <c r="E162" s="4" t="s">
        <v>270</v>
      </c>
      <c r="F162" s="9"/>
      <c r="G162" s="19">
        <f t="shared" si="6"/>
        <v>0</v>
      </c>
      <c r="H162" s="4"/>
      <c r="I162" s="46"/>
    </row>
    <row r="163" spans="1:9" s="20" customFormat="1" ht="47.25" hidden="1">
      <c r="A163" s="459"/>
      <c r="B163" s="463"/>
      <c r="C163" s="4"/>
      <c r="D163" s="17"/>
      <c r="E163" s="35" t="s">
        <v>7</v>
      </c>
      <c r="F163" s="37">
        <v>66475</v>
      </c>
      <c r="G163" s="19">
        <f t="shared" si="6"/>
        <v>66475</v>
      </c>
      <c r="H163" s="4"/>
      <c r="I163" s="46"/>
    </row>
    <row r="164" spans="1:9" s="20" customFormat="1" ht="47.25" hidden="1">
      <c r="A164" s="18" t="s">
        <v>401</v>
      </c>
      <c r="B164" s="4" t="s">
        <v>402</v>
      </c>
      <c r="C164" s="4" t="s">
        <v>421</v>
      </c>
      <c r="D164" s="17">
        <v>449300</v>
      </c>
      <c r="E164" s="35"/>
      <c r="F164" s="37"/>
      <c r="G164" s="19">
        <f>D164+F164</f>
        <v>449300</v>
      </c>
      <c r="H164" s="4"/>
      <c r="I164" s="46"/>
    </row>
    <row r="165" spans="1:9" s="20" customFormat="1" ht="56.25" customHeight="1" hidden="1">
      <c r="A165" s="18" t="s">
        <v>260</v>
      </c>
      <c r="B165" s="4" t="s">
        <v>261</v>
      </c>
      <c r="C165" s="4"/>
      <c r="D165" s="17"/>
      <c r="E165" s="4" t="s">
        <v>421</v>
      </c>
      <c r="F165" s="19">
        <v>780803</v>
      </c>
      <c r="G165" s="19">
        <f t="shared" si="6"/>
        <v>780803</v>
      </c>
      <c r="H165" s="4"/>
      <c r="I165" s="46"/>
    </row>
    <row r="166" spans="1:9" s="20" customFormat="1" ht="51.75" customHeight="1" hidden="1">
      <c r="A166" s="459" t="s">
        <v>94</v>
      </c>
      <c r="B166" s="463" t="s">
        <v>116</v>
      </c>
      <c r="C166" s="4" t="s">
        <v>423</v>
      </c>
      <c r="D166" s="17">
        <v>82050000</v>
      </c>
      <c r="E166" s="4" t="s">
        <v>422</v>
      </c>
      <c r="F166" s="19">
        <v>672751</v>
      </c>
      <c r="G166" s="19">
        <f t="shared" si="6"/>
        <v>82722751</v>
      </c>
      <c r="H166" s="4"/>
      <c r="I166" s="46"/>
    </row>
    <row r="167" spans="1:9" s="20" customFormat="1" ht="47.25" hidden="1">
      <c r="A167" s="459"/>
      <c r="B167" s="463"/>
      <c r="C167" s="35" t="s">
        <v>7</v>
      </c>
      <c r="D167" s="37">
        <v>0</v>
      </c>
      <c r="E167" s="35" t="s">
        <v>7</v>
      </c>
      <c r="F167" s="37">
        <v>30000</v>
      </c>
      <c r="G167" s="19">
        <f t="shared" si="6"/>
        <v>30000</v>
      </c>
      <c r="H167" s="4"/>
      <c r="I167" s="46"/>
    </row>
    <row r="168" spans="1:9" s="20" customFormat="1" ht="47.25" hidden="1">
      <c r="A168" s="18" t="s">
        <v>287</v>
      </c>
      <c r="B168" s="4" t="s">
        <v>288</v>
      </c>
      <c r="C168" s="35"/>
      <c r="D168" s="37"/>
      <c r="E168" s="4" t="s">
        <v>270</v>
      </c>
      <c r="F168" s="36">
        <v>0</v>
      </c>
      <c r="G168" s="19">
        <f t="shared" si="6"/>
        <v>0</v>
      </c>
      <c r="H168" s="4"/>
      <c r="I168" s="46"/>
    </row>
    <row r="169" spans="1:9" s="20" customFormat="1" ht="51" customHeight="1" hidden="1">
      <c r="A169" s="459" t="s">
        <v>84</v>
      </c>
      <c r="B169" s="463" t="s">
        <v>85</v>
      </c>
      <c r="C169" s="4"/>
      <c r="D169" s="5"/>
      <c r="E169" s="4" t="s">
        <v>424</v>
      </c>
      <c r="F169" s="12">
        <v>31435500</v>
      </c>
      <c r="G169" s="19">
        <f t="shared" si="6"/>
        <v>31435500</v>
      </c>
      <c r="H169" s="4"/>
      <c r="I169" s="46"/>
    </row>
    <row r="170" spans="1:9" s="20" customFormat="1" ht="47.25" hidden="1">
      <c r="A170" s="459"/>
      <c r="B170" s="463"/>
      <c r="C170" s="4"/>
      <c r="D170" s="5"/>
      <c r="E170" s="35" t="s">
        <v>7</v>
      </c>
      <c r="F170" s="37">
        <v>17235</v>
      </c>
      <c r="G170" s="19">
        <f t="shared" si="6"/>
        <v>17235</v>
      </c>
      <c r="H170" s="4"/>
      <c r="I170" s="46"/>
    </row>
    <row r="171" spans="1:9" s="51" customFormat="1" ht="46.5" customHeight="1" hidden="1">
      <c r="A171" s="457" t="s">
        <v>39</v>
      </c>
      <c r="B171" s="461" t="s">
        <v>204</v>
      </c>
      <c r="C171" s="4"/>
      <c r="D171" s="5"/>
      <c r="E171" s="4" t="s">
        <v>270</v>
      </c>
      <c r="F171" s="19">
        <v>0</v>
      </c>
      <c r="G171" s="19">
        <f t="shared" si="6"/>
        <v>0</v>
      </c>
      <c r="H171" s="4"/>
      <c r="I171" s="52"/>
    </row>
    <row r="172" spans="1:9" s="51" customFormat="1" ht="69.75" customHeight="1" hidden="1">
      <c r="A172" s="467"/>
      <c r="B172" s="468"/>
      <c r="C172" s="4"/>
      <c r="D172" s="5"/>
      <c r="E172" s="4" t="s">
        <v>425</v>
      </c>
      <c r="F172" s="19">
        <v>1529939</v>
      </c>
      <c r="G172" s="19">
        <f t="shared" si="6"/>
        <v>1529939</v>
      </c>
      <c r="H172" s="4"/>
      <c r="I172" s="52"/>
    </row>
    <row r="173" spans="1:9" s="51" customFormat="1" ht="87" customHeight="1" hidden="1">
      <c r="A173" s="458"/>
      <c r="B173" s="462"/>
      <c r="C173" s="4"/>
      <c r="D173" s="5"/>
      <c r="E173" s="4" t="s">
        <v>403</v>
      </c>
      <c r="F173" s="19">
        <v>187691</v>
      </c>
      <c r="G173" s="19">
        <f t="shared" si="6"/>
        <v>187691</v>
      </c>
      <c r="H173" s="4"/>
      <c r="I173" s="52"/>
    </row>
    <row r="174" spans="1:9" s="20" customFormat="1" ht="69.75" customHeight="1" hidden="1">
      <c r="A174" s="18" t="s">
        <v>96</v>
      </c>
      <c r="B174" s="4" t="s">
        <v>97</v>
      </c>
      <c r="C174" s="4"/>
      <c r="D174" s="5"/>
      <c r="E174" s="4" t="s">
        <v>400</v>
      </c>
      <c r="F174" s="19">
        <v>31540500</v>
      </c>
      <c r="G174" s="19">
        <f t="shared" si="6"/>
        <v>31540500</v>
      </c>
      <c r="H174" s="4"/>
      <c r="I174" s="46"/>
    </row>
    <row r="175" spans="1:9" s="20" customFormat="1" ht="27.75" customHeight="1" hidden="1">
      <c r="A175" s="4">
        <v>180107</v>
      </c>
      <c r="B175" s="4" t="s">
        <v>213</v>
      </c>
      <c r="C175" s="4"/>
      <c r="D175" s="17"/>
      <c r="E175" s="4" t="s">
        <v>231</v>
      </c>
      <c r="F175" s="19">
        <v>0</v>
      </c>
      <c r="G175" s="19">
        <f t="shared" si="6"/>
        <v>0</v>
      </c>
      <c r="H175" s="4"/>
      <c r="I175" s="46"/>
    </row>
    <row r="176" spans="1:9" s="20" customFormat="1" ht="63" customHeight="1" hidden="1">
      <c r="A176" s="463">
        <v>180409</v>
      </c>
      <c r="B176" s="463" t="s">
        <v>224</v>
      </c>
      <c r="C176" s="4"/>
      <c r="D176" s="17"/>
      <c r="E176" s="4" t="s">
        <v>426</v>
      </c>
      <c r="F176" s="19">
        <v>6226733</v>
      </c>
      <c r="G176" s="19">
        <f t="shared" si="6"/>
        <v>6226733</v>
      </c>
      <c r="H176" s="4"/>
      <c r="I176" s="46"/>
    </row>
    <row r="177" spans="1:9" s="20" customFormat="1" ht="63" hidden="1">
      <c r="A177" s="463"/>
      <c r="B177" s="463"/>
      <c r="C177" s="4"/>
      <c r="D177" s="17"/>
      <c r="E177" s="4" t="s">
        <v>394</v>
      </c>
      <c r="F177" s="19">
        <v>2688100</v>
      </c>
      <c r="G177" s="19">
        <f t="shared" si="6"/>
        <v>2688100</v>
      </c>
      <c r="H177" s="4"/>
      <c r="I177" s="46"/>
    </row>
    <row r="178" spans="1:9" s="20" customFormat="1" ht="31.5" hidden="1">
      <c r="A178" s="18" t="s">
        <v>29</v>
      </c>
      <c r="B178" s="4" t="s">
        <v>106</v>
      </c>
      <c r="C178" s="4"/>
      <c r="D178" s="5"/>
      <c r="E178" s="4" t="s">
        <v>348</v>
      </c>
      <c r="F178" s="19">
        <v>2250578</v>
      </c>
      <c r="G178" s="19">
        <f t="shared" si="6"/>
        <v>2250578</v>
      </c>
      <c r="H178" s="4"/>
      <c r="I178" s="46"/>
    </row>
    <row r="179" spans="1:9" s="20" customFormat="1" ht="39.75" customHeight="1" hidden="1">
      <c r="A179" s="457" t="s">
        <v>77</v>
      </c>
      <c r="B179" s="461" t="s">
        <v>92</v>
      </c>
      <c r="C179" s="4" t="s">
        <v>427</v>
      </c>
      <c r="D179" s="17">
        <v>5627420</v>
      </c>
      <c r="E179" s="4" t="s">
        <v>427</v>
      </c>
      <c r="F179" s="12">
        <v>1287772</v>
      </c>
      <c r="G179" s="19">
        <f>D179+F179</f>
        <v>6915192</v>
      </c>
      <c r="H179" s="4"/>
      <c r="I179" s="46"/>
    </row>
    <row r="180" spans="1:9" s="20" customFormat="1" ht="45.75" customHeight="1" hidden="1">
      <c r="A180" s="458"/>
      <c r="B180" s="462"/>
      <c r="C180" s="4" t="s">
        <v>340</v>
      </c>
      <c r="D180" s="17">
        <v>655808</v>
      </c>
      <c r="E180" s="4"/>
      <c r="F180" s="12"/>
      <c r="G180" s="19">
        <f>D180+F180</f>
        <v>655808</v>
      </c>
      <c r="H180" s="4"/>
      <c r="I180" s="46"/>
    </row>
    <row r="181" spans="1:9" s="20" customFormat="1" ht="38.25" hidden="1">
      <c r="A181" s="18" t="s">
        <v>39</v>
      </c>
      <c r="B181" s="29" t="s">
        <v>204</v>
      </c>
      <c r="C181" s="4"/>
      <c r="D181" s="5"/>
      <c r="E181" s="4" t="s">
        <v>209</v>
      </c>
      <c r="F181" s="12">
        <v>0</v>
      </c>
      <c r="G181" s="9">
        <v>0</v>
      </c>
      <c r="H181" s="4"/>
      <c r="I181" s="46"/>
    </row>
    <row r="182" spans="1:9" s="20" customFormat="1" ht="70.5" customHeight="1" hidden="1">
      <c r="A182" s="22" t="s">
        <v>223</v>
      </c>
      <c r="B182" s="23" t="s">
        <v>222</v>
      </c>
      <c r="C182" s="23"/>
      <c r="D182" s="24">
        <v>0</v>
      </c>
      <c r="E182" s="23"/>
      <c r="F182" s="30"/>
      <c r="G182" s="27">
        <v>0</v>
      </c>
      <c r="H182" s="4"/>
      <c r="I182" s="46"/>
    </row>
    <row r="183" spans="1:9" s="20" customFormat="1" ht="36" customHeight="1" hidden="1">
      <c r="A183" s="18" t="s">
        <v>86</v>
      </c>
      <c r="B183" s="4" t="s">
        <v>93</v>
      </c>
      <c r="C183" s="4" t="s">
        <v>118</v>
      </c>
      <c r="D183" s="17">
        <v>0</v>
      </c>
      <c r="E183" s="4"/>
      <c r="F183" s="12"/>
      <c r="G183" s="9">
        <v>0</v>
      </c>
      <c r="H183" s="4"/>
      <c r="I183" s="46"/>
    </row>
    <row r="184" spans="1:9" s="20" customFormat="1" ht="47.25" customHeight="1" hidden="1">
      <c r="A184" s="18" t="s">
        <v>94</v>
      </c>
      <c r="B184" s="4" t="s">
        <v>116</v>
      </c>
      <c r="C184" s="4" t="s">
        <v>202</v>
      </c>
      <c r="D184" s="17">
        <v>0</v>
      </c>
      <c r="E184" s="4"/>
      <c r="F184" s="12"/>
      <c r="G184" s="9">
        <v>0</v>
      </c>
      <c r="H184" s="4"/>
      <c r="I184" s="46"/>
    </row>
    <row r="185" spans="1:9" s="20" customFormat="1" ht="47.25" hidden="1">
      <c r="A185" s="22" t="s">
        <v>146</v>
      </c>
      <c r="B185" s="23" t="s">
        <v>53</v>
      </c>
      <c r="C185" s="4"/>
      <c r="D185" s="24">
        <f>D187</f>
        <v>40159</v>
      </c>
      <c r="E185" s="5"/>
      <c r="F185" s="24">
        <f>F186</f>
        <v>61915</v>
      </c>
      <c r="G185" s="28">
        <f aca="true" t="shared" si="7" ref="G185:G192">D185+F185</f>
        <v>102074</v>
      </c>
      <c r="H185" s="71"/>
      <c r="I185" s="46"/>
    </row>
    <row r="186" spans="1:9" s="20" customFormat="1" ht="48" customHeight="1" hidden="1">
      <c r="A186" s="18" t="s">
        <v>165</v>
      </c>
      <c r="B186" s="4" t="s">
        <v>166</v>
      </c>
      <c r="C186" s="4"/>
      <c r="D186" s="17"/>
      <c r="E186" s="4" t="s">
        <v>396</v>
      </c>
      <c r="F186" s="19">
        <v>61915</v>
      </c>
      <c r="G186" s="19">
        <f t="shared" si="7"/>
        <v>61915</v>
      </c>
      <c r="H186" s="4"/>
      <c r="I186" s="46"/>
    </row>
    <row r="187" spans="1:9" s="20" customFormat="1" ht="63" hidden="1">
      <c r="A187" s="18" t="s">
        <v>77</v>
      </c>
      <c r="B187" s="4" t="s">
        <v>92</v>
      </c>
      <c r="C187" s="4" t="s">
        <v>366</v>
      </c>
      <c r="D187" s="17">
        <v>40159</v>
      </c>
      <c r="E187" s="4"/>
      <c r="F187" s="9"/>
      <c r="G187" s="19">
        <f t="shared" si="7"/>
        <v>40159</v>
      </c>
      <c r="H187" s="4"/>
      <c r="I187" s="46"/>
    </row>
    <row r="188" spans="1:9" s="20" customFormat="1" ht="47.25" hidden="1">
      <c r="A188" s="22" t="s">
        <v>150</v>
      </c>
      <c r="B188" s="23" t="s">
        <v>55</v>
      </c>
      <c r="C188" s="4"/>
      <c r="D188" s="24">
        <f>D189+D191+D192+D193+D190</f>
        <v>2934703</v>
      </c>
      <c r="E188" s="5"/>
      <c r="F188" s="28">
        <f>F189+F193+F191+F190</f>
        <v>1664951</v>
      </c>
      <c r="G188" s="28">
        <f>D188+F188</f>
        <v>4599654</v>
      </c>
      <c r="H188" s="4"/>
      <c r="I188" s="46"/>
    </row>
    <row r="189" spans="1:9" s="20" customFormat="1" ht="53.25" customHeight="1" hidden="1">
      <c r="A189" s="18" t="s">
        <v>165</v>
      </c>
      <c r="B189" s="4" t="s">
        <v>166</v>
      </c>
      <c r="C189" s="4"/>
      <c r="D189" s="17"/>
      <c r="E189" s="4" t="s">
        <v>396</v>
      </c>
      <c r="F189" s="19">
        <v>14000</v>
      </c>
      <c r="G189" s="19">
        <f t="shared" si="7"/>
        <v>14000</v>
      </c>
      <c r="H189" s="4"/>
      <c r="I189" s="46"/>
    </row>
    <row r="190" spans="1:9" s="20" customFormat="1" ht="63" customHeight="1" hidden="1">
      <c r="A190" s="18" t="s">
        <v>390</v>
      </c>
      <c r="B190" s="4" t="s">
        <v>395</v>
      </c>
      <c r="C190" s="4" t="s">
        <v>5</v>
      </c>
      <c r="D190" s="17">
        <v>24055</v>
      </c>
      <c r="E190" s="4" t="s">
        <v>5</v>
      </c>
      <c r="F190" s="9">
        <v>1550464</v>
      </c>
      <c r="G190" s="19">
        <f>D190+F190</f>
        <v>1574519</v>
      </c>
      <c r="H190" s="4"/>
      <c r="I190" s="46"/>
    </row>
    <row r="191" spans="1:9" s="20" customFormat="1" ht="47.25" hidden="1">
      <c r="A191" s="469">
        <v>250404</v>
      </c>
      <c r="B191" s="469" t="s">
        <v>92</v>
      </c>
      <c r="C191" s="4"/>
      <c r="D191" s="21"/>
      <c r="E191" s="4" t="s">
        <v>11</v>
      </c>
      <c r="F191" s="12">
        <v>100487</v>
      </c>
      <c r="G191" s="19">
        <f t="shared" si="7"/>
        <v>100487</v>
      </c>
      <c r="H191" s="4"/>
      <c r="I191" s="46"/>
    </row>
    <row r="192" spans="1:9" s="20" customFormat="1" ht="51" customHeight="1" hidden="1">
      <c r="A192" s="469"/>
      <c r="B192" s="469"/>
      <c r="C192" s="4" t="s">
        <v>4</v>
      </c>
      <c r="D192" s="21">
        <v>2910648</v>
      </c>
      <c r="E192" s="4"/>
      <c r="F192" s="31"/>
      <c r="G192" s="19">
        <f t="shared" si="7"/>
        <v>2910648</v>
      </c>
      <c r="H192" s="4"/>
      <c r="I192" s="46"/>
    </row>
    <row r="193" spans="1:9" s="20" customFormat="1" ht="66" customHeight="1" hidden="1">
      <c r="A193" s="470"/>
      <c r="B193" s="469"/>
      <c r="D193" s="21"/>
      <c r="E193" s="4"/>
      <c r="F193" s="9"/>
      <c r="G193" s="19">
        <f>D193+F193</f>
        <v>0</v>
      </c>
      <c r="H193" s="4"/>
      <c r="I193" s="46"/>
    </row>
    <row r="194" spans="1:9" s="20" customFormat="1" ht="31.5" hidden="1">
      <c r="A194" s="22">
        <v>50</v>
      </c>
      <c r="B194" s="23" t="s">
        <v>186</v>
      </c>
      <c r="C194" s="4"/>
      <c r="D194" s="24">
        <v>0</v>
      </c>
      <c r="E194" s="5"/>
      <c r="F194" s="27">
        <v>0</v>
      </c>
      <c r="G194" s="27">
        <v>0</v>
      </c>
      <c r="H194" s="4"/>
      <c r="I194" s="46"/>
    </row>
    <row r="195" spans="1:9" s="20" customFormat="1" ht="48.75" customHeight="1" hidden="1">
      <c r="A195" s="18" t="s">
        <v>165</v>
      </c>
      <c r="B195" s="4" t="s">
        <v>166</v>
      </c>
      <c r="C195" s="4" t="s">
        <v>178</v>
      </c>
      <c r="D195" s="21"/>
      <c r="E195" s="4"/>
      <c r="F195" s="9"/>
      <c r="G195" s="9">
        <v>0</v>
      </c>
      <c r="H195" s="4"/>
      <c r="I195" s="46"/>
    </row>
    <row r="196" spans="1:9" s="20" customFormat="1" ht="47.25" hidden="1">
      <c r="A196" s="22" t="s">
        <v>154</v>
      </c>
      <c r="B196" s="23" t="s">
        <v>59</v>
      </c>
      <c r="C196" s="23"/>
      <c r="D196" s="24">
        <v>0</v>
      </c>
      <c r="E196" s="32"/>
      <c r="F196" s="24">
        <f>F197+F198</f>
        <v>41720</v>
      </c>
      <c r="G196" s="24">
        <f aca="true" t="shared" si="8" ref="G196:G203">D196+F196</f>
        <v>41720</v>
      </c>
      <c r="H196" s="71"/>
      <c r="I196" s="46"/>
    </row>
    <row r="197" spans="1:9" s="20" customFormat="1" ht="31.5" hidden="1">
      <c r="A197" s="18" t="s">
        <v>165</v>
      </c>
      <c r="B197" s="4" t="s">
        <v>166</v>
      </c>
      <c r="C197" s="4"/>
      <c r="D197" s="17"/>
      <c r="E197" s="4" t="s">
        <v>396</v>
      </c>
      <c r="F197" s="17">
        <v>41720</v>
      </c>
      <c r="G197" s="17">
        <f t="shared" si="8"/>
        <v>41720</v>
      </c>
      <c r="H197" s="4"/>
      <c r="I197" s="46"/>
    </row>
    <row r="198" spans="1:9" s="20" customFormat="1" ht="47.25" hidden="1">
      <c r="A198" s="18" t="s">
        <v>41</v>
      </c>
      <c r="B198" s="4" t="s">
        <v>42</v>
      </c>
      <c r="C198" s="4"/>
      <c r="D198" s="17"/>
      <c r="E198" s="70" t="s">
        <v>301</v>
      </c>
      <c r="F198" s="19">
        <v>0</v>
      </c>
      <c r="G198" s="17">
        <f t="shared" si="8"/>
        <v>0</v>
      </c>
      <c r="H198" s="4"/>
      <c r="I198" s="46"/>
    </row>
    <row r="199" spans="1:9" s="20" customFormat="1" ht="53.25" customHeight="1" hidden="1">
      <c r="A199" s="22" t="s">
        <v>151</v>
      </c>
      <c r="B199" s="23" t="s">
        <v>56</v>
      </c>
      <c r="C199" s="4"/>
      <c r="D199" s="24">
        <f>D203+D200+D201</f>
        <v>0</v>
      </c>
      <c r="E199" s="5"/>
      <c r="F199" s="24">
        <f>F201+F202+F200</f>
        <v>14491369</v>
      </c>
      <c r="G199" s="24">
        <f t="shared" si="8"/>
        <v>14491369</v>
      </c>
      <c r="H199" s="71"/>
      <c r="I199" s="46"/>
    </row>
    <row r="200" spans="1:9" s="20" customFormat="1" ht="33" customHeight="1" hidden="1">
      <c r="A200" s="18" t="s">
        <v>165</v>
      </c>
      <c r="B200" s="4" t="s">
        <v>166</v>
      </c>
      <c r="C200" s="4"/>
      <c r="D200" s="17"/>
      <c r="E200" s="4" t="s">
        <v>396</v>
      </c>
      <c r="F200" s="19">
        <v>21000</v>
      </c>
      <c r="G200" s="17">
        <f>D200+F200</f>
        <v>21000</v>
      </c>
      <c r="H200" s="4"/>
      <c r="I200" s="46"/>
    </row>
    <row r="201" spans="1:9" s="20" customFormat="1" ht="32.25" customHeight="1" hidden="1">
      <c r="A201" s="4">
        <v>240601</v>
      </c>
      <c r="B201" s="4" t="s">
        <v>106</v>
      </c>
      <c r="C201" s="4"/>
      <c r="D201" s="5"/>
      <c r="E201" s="4" t="s">
        <v>348</v>
      </c>
      <c r="F201" s="19">
        <v>14470369</v>
      </c>
      <c r="G201" s="17">
        <f t="shared" si="8"/>
        <v>14470369</v>
      </c>
      <c r="H201" s="4"/>
      <c r="I201" s="46"/>
    </row>
    <row r="202" spans="1:9" s="20" customFormat="1" ht="72" customHeight="1" hidden="1">
      <c r="A202" s="4">
        <v>240900</v>
      </c>
      <c r="B202" s="4" t="s">
        <v>221</v>
      </c>
      <c r="C202" s="4"/>
      <c r="D202" s="5"/>
      <c r="E202" s="70" t="s">
        <v>355</v>
      </c>
      <c r="F202" s="19">
        <v>0</v>
      </c>
      <c r="G202" s="17">
        <f t="shared" si="8"/>
        <v>0</v>
      </c>
      <c r="H202" s="4"/>
      <c r="I202" s="46"/>
    </row>
    <row r="203" spans="1:9" s="20" customFormat="1" ht="54" customHeight="1" hidden="1">
      <c r="A203" s="4">
        <v>250404</v>
      </c>
      <c r="B203" s="4" t="s">
        <v>210</v>
      </c>
      <c r="C203" s="4" t="s">
        <v>308</v>
      </c>
      <c r="D203" s="17">
        <v>0</v>
      </c>
      <c r="E203" s="4"/>
      <c r="F203" s="19"/>
      <c r="G203" s="17">
        <f t="shared" si="8"/>
        <v>0</v>
      </c>
      <c r="H203" s="4"/>
      <c r="I203" s="46"/>
    </row>
    <row r="204" spans="1:9" s="20" customFormat="1" ht="47.25" hidden="1">
      <c r="A204" s="22" t="s">
        <v>149</v>
      </c>
      <c r="B204" s="23" t="s">
        <v>57</v>
      </c>
      <c r="C204" s="4"/>
      <c r="D204" s="24">
        <f>D206+D207+D213+D215+D214</f>
        <v>14847723</v>
      </c>
      <c r="E204" s="5"/>
      <c r="F204" s="24">
        <f>F205+F206+F208+F209+F210+F211+F213</f>
        <v>3804223</v>
      </c>
      <c r="G204" s="24">
        <f>D204+F204</f>
        <v>18651946</v>
      </c>
      <c r="H204" s="71"/>
      <c r="I204" s="46"/>
    </row>
    <row r="205" spans="1:9" s="20" customFormat="1" ht="48" customHeight="1" hidden="1">
      <c r="A205" s="18" t="s">
        <v>165</v>
      </c>
      <c r="B205" s="4" t="s">
        <v>166</v>
      </c>
      <c r="C205" s="4"/>
      <c r="D205" s="17"/>
      <c r="E205" s="4" t="s">
        <v>396</v>
      </c>
      <c r="F205" s="9">
        <v>7000</v>
      </c>
      <c r="G205" s="17">
        <f>D205+F205</f>
        <v>7000</v>
      </c>
      <c r="H205" s="4"/>
      <c r="I205" s="46"/>
    </row>
    <row r="206" spans="1:9" s="20" customFormat="1" ht="84.75" customHeight="1" hidden="1">
      <c r="A206" s="18" t="s">
        <v>31</v>
      </c>
      <c r="B206" s="4" t="s">
        <v>32</v>
      </c>
      <c r="C206" s="4" t="s">
        <v>388</v>
      </c>
      <c r="D206" s="17">
        <v>2300000</v>
      </c>
      <c r="E206" s="4" t="s">
        <v>388</v>
      </c>
      <c r="F206" s="19">
        <v>296214</v>
      </c>
      <c r="G206" s="17">
        <f>D206+F206</f>
        <v>2596214</v>
      </c>
      <c r="H206" s="4"/>
      <c r="I206" s="46"/>
    </row>
    <row r="207" spans="1:9" s="20" customFormat="1" ht="72.75" customHeight="1" hidden="1">
      <c r="A207" s="18" t="s">
        <v>82</v>
      </c>
      <c r="B207" s="4" t="s">
        <v>83</v>
      </c>
      <c r="C207" s="4" t="s">
        <v>404</v>
      </c>
      <c r="D207" s="17">
        <v>10000000</v>
      </c>
      <c r="E207" s="4"/>
      <c r="F207" s="9"/>
      <c r="G207" s="17">
        <f>D207+F207</f>
        <v>10000000</v>
      </c>
      <c r="H207" s="4"/>
      <c r="I207" s="46"/>
    </row>
    <row r="208" spans="1:9" s="20" customFormat="1" ht="78.75" hidden="1">
      <c r="A208" s="457" t="s">
        <v>84</v>
      </c>
      <c r="B208" s="461" t="s">
        <v>85</v>
      </c>
      <c r="C208" s="4"/>
      <c r="D208" s="17"/>
      <c r="E208" s="4" t="s">
        <v>404</v>
      </c>
      <c r="F208" s="19">
        <v>1355142</v>
      </c>
      <c r="G208" s="17">
        <f aca="true" t="shared" si="9" ref="G208:G215">D208+F208</f>
        <v>1355142</v>
      </c>
      <c r="H208" s="4"/>
      <c r="I208" s="46"/>
    </row>
    <row r="209" spans="1:9" s="20" customFormat="1" ht="47.25" hidden="1">
      <c r="A209" s="458"/>
      <c r="B209" s="462"/>
      <c r="C209" s="4"/>
      <c r="D209" s="17"/>
      <c r="E209" s="4" t="s">
        <v>358</v>
      </c>
      <c r="F209" s="19">
        <v>25880</v>
      </c>
      <c r="G209" s="17">
        <f t="shared" si="9"/>
        <v>25880</v>
      </c>
      <c r="H209" s="4"/>
      <c r="I209" s="46"/>
    </row>
    <row r="210" spans="1:9" s="20" customFormat="1" ht="62.25" customHeight="1" hidden="1">
      <c r="A210" s="459" t="s">
        <v>98</v>
      </c>
      <c r="B210" s="463" t="s">
        <v>224</v>
      </c>
      <c r="C210" s="463"/>
      <c r="D210" s="17"/>
      <c r="E210" s="4" t="s">
        <v>404</v>
      </c>
      <c r="F210" s="19">
        <v>66000</v>
      </c>
      <c r="G210" s="17">
        <f t="shared" si="9"/>
        <v>66000</v>
      </c>
      <c r="H210" s="4"/>
      <c r="I210" s="46"/>
    </row>
    <row r="211" spans="1:9" s="20" customFormat="1" ht="63" hidden="1">
      <c r="A211" s="459"/>
      <c r="B211" s="463"/>
      <c r="C211" s="463"/>
      <c r="D211" s="466"/>
      <c r="E211" s="4" t="s">
        <v>405</v>
      </c>
      <c r="F211" s="19">
        <v>1573041</v>
      </c>
      <c r="G211" s="17">
        <f t="shared" si="9"/>
        <v>1573041</v>
      </c>
      <c r="H211" s="4"/>
      <c r="I211" s="46"/>
    </row>
    <row r="212" spans="1:9" s="20" customFormat="1" ht="47.25" hidden="1">
      <c r="A212" s="459"/>
      <c r="B212" s="463"/>
      <c r="C212" s="463"/>
      <c r="D212" s="466"/>
      <c r="E212" s="4" t="s">
        <v>304</v>
      </c>
      <c r="F212" s="9">
        <v>0</v>
      </c>
      <c r="G212" s="17">
        <f t="shared" si="9"/>
        <v>0</v>
      </c>
      <c r="H212" s="4"/>
      <c r="I212" s="46"/>
    </row>
    <row r="213" spans="1:9" s="20" customFormat="1" ht="69" customHeight="1" hidden="1">
      <c r="A213" s="18" t="s">
        <v>214</v>
      </c>
      <c r="B213" s="4" t="s">
        <v>215</v>
      </c>
      <c r="C213" s="4" t="s">
        <v>404</v>
      </c>
      <c r="D213" s="17">
        <v>122723</v>
      </c>
      <c r="E213" s="4" t="s">
        <v>405</v>
      </c>
      <c r="F213" s="19">
        <v>480946</v>
      </c>
      <c r="G213" s="17">
        <f t="shared" si="9"/>
        <v>603669</v>
      </c>
      <c r="H213" s="4"/>
      <c r="I213" s="46"/>
    </row>
    <row r="214" spans="1:9" s="20" customFormat="1" ht="63" hidden="1">
      <c r="A214" s="459" t="s">
        <v>77</v>
      </c>
      <c r="B214" s="463" t="s">
        <v>92</v>
      </c>
      <c r="C214" s="4" t="s">
        <v>405</v>
      </c>
      <c r="D214" s="17">
        <v>2425000</v>
      </c>
      <c r="E214" s="4"/>
      <c r="F214" s="9"/>
      <c r="G214" s="17">
        <f t="shared" si="9"/>
        <v>2425000</v>
      </c>
      <c r="H214" s="4"/>
      <c r="I214" s="46"/>
    </row>
    <row r="215" spans="1:9" s="20" customFormat="1" ht="63" hidden="1">
      <c r="A215" s="459"/>
      <c r="B215" s="463"/>
      <c r="C215" s="4" t="s">
        <v>306</v>
      </c>
      <c r="D215" s="17">
        <v>0</v>
      </c>
      <c r="E215" s="4" t="s">
        <v>306</v>
      </c>
      <c r="F215" s="19">
        <v>0</v>
      </c>
      <c r="G215" s="17">
        <f t="shared" si="9"/>
        <v>0</v>
      </c>
      <c r="H215" s="4"/>
      <c r="I215" s="46"/>
    </row>
    <row r="216" spans="1:9" s="20" customFormat="1" ht="78.75" customHeight="1">
      <c r="A216" s="22" t="s">
        <v>144</v>
      </c>
      <c r="B216" s="23" t="s">
        <v>52</v>
      </c>
      <c r="C216" s="4"/>
      <c r="D216" s="24">
        <f>D218+D219+D220</f>
        <v>6262527</v>
      </c>
      <c r="E216" s="5"/>
      <c r="F216" s="28">
        <f>F218+F219+F217</f>
        <v>6501142</v>
      </c>
      <c r="G216" s="28">
        <f>D216+F216</f>
        <v>12763669</v>
      </c>
      <c r="H216" s="71"/>
      <c r="I216" s="46"/>
    </row>
    <row r="217" spans="1:9" s="20" customFormat="1" ht="42" customHeight="1" hidden="1">
      <c r="A217" s="18" t="s">
        <v>165</v>
      </c>
      <c r="B217" s="4" t="s">
        <v>166</v>
      </c>
      <c r="C217" s="4"/>
      <c r="D217" s="17"/>
      <c r="E217" s="4" t="s">
        <v>396</v>
      </c>
      <c r="F217" s="12">
        <v>7000</v>
      </c>
      <c r="G217" s="19">
        <f aca="true" t="shared" si="10" ref="G217:G233">D217+F217</f>
        <v>7000</v>
      </c>
      <c r="H217" s="4"/>
      <c r="I217" s="46"/>
    </row>
    <row r="218" spans="1:9" s="20" customFormat="1" ht="69.75" customHeight="1">
      <c r="A218" s="18" t="s">
        <v>88</v>
      </c>
      <c r="B218" s="4" t="s">
        <v>89</v>
      </c>
      <c r="C218" s="4" t="s">
        <v>406</v>
      </c>
      <c r="D218" s="17">
        <v>3201442</v>
      </c>
      <c r="E218" s="4" t="s">
        <v>406</v>
      </c>
      <c r="F218" s="12">
        <v>6203691</v>
      </c>
      <c r="G218" s="19">
        <f>D218+F218</f>
        <v>9405133</v>
      </c>
      <c r="H218" s="71">
        <v>82552</v>
      </c>
      <c r="I218" s="46"/>
    </row>
    <row r="219" spans="1:9" s="20" customFormat="1" ht="63">
      <c r="A219" s="459" t="s">
        <v>90</v>
      </c>
      <c r="B219" s="463" t="s">
        <v>91</v>
      </c>
      <c r="C219" s="4" t="s">
        <v>406</v>
      </c>
      <c r="D219" s="17">
        <v>3059895</v>
      </c>
      <c r="E219" s="4" t="s">
        <v>406</v>
      </c>
      <c r="F219" s="12">
        <v>290451</v>
      </c>
      <c r="G219" s="19">
        <f>D219+F219</f>
        <v>3350346</v>
      </c>
      <c r="H219" s="71">
        <v>64182</v>
      </c>
      <c r="I219" s="46"/>
    </row>
    <row r="220" spans="1:9" s="20" customFormat="1" ht="68.25" customHeight="1" hidden="1">
      <c r="A220" s="459"/>
      <c r="B220" s="463"/>
      <c r="C220" s="4" t="s">
        <v>366</v>
      </c>
      <c r="D220" s="17">
        <v>1190</v>
      </c>
      <c r="E220" s="4"/>
      <c r="F220" s="12"/>
      <c r="G220" s="19">
        <f t="shared" si="10"/>
        <v>1190</v>
      </c>
      <c r="H220" s="4"/>
      <c r="I220" s="46"/>
    </row>
    <row r="221" spans="1:9" s="20" customFormat="1" ht="47.25" hidden="1">
      <c r="A221" s="22" t="s">
        <v>153</v>
      </c>
      <c r="B221" s="23" t="s">
        <v>58</v>
      </c>
      <c r="C221" s="4"/>
      <c r="D221" s="24">
        <f>D226</f>
        <v>0</v>
      </c>
      <c r="E221" s="5"/>
      <c r="F221" s="24">
        <f>F222+F223+F224</f>
        <v>7046384</v>
      </c>
      <c r="G221" s="24">
        <f>D221+F221</f>
        <v>7046384</v>
      </c>
      <c r="H221" s="71"/>
      <c r="I221" s="46"/>
    </row>
    <row r="222" spans="1:9" s="20" customFormat="1" ht="31.5" hidden="1">
      <c r="A222" s="18" t="s">
        <v>165</v>
      </c>
      <c r="B222" s="4" t="s">
        <v>166</v>
      </c>
      <c r="C222" s="4"/>
      <c r="D222" s="17"/>
      <c r="E222" s="4" t="s">
        <v>396</v>
      </c>
      <c r="F222" s="17">
        <v>35000</v>
      </c>
      <c r="G222" s="17">
        <f t="shared" si="10"/>
        <v>35000</v>
      </c>
      <c r="H222" s="4"/>
      <c r="I222" s="46"/>
    </row>
    <row r="223" spans="1:9" s="20" customFormat="1" ht="47.25" hidden="1">
      <c r="A223" s="18" t="s">
        <v>84</v>
      </c>
      <c r="B223" s="4" t="s">
        <v>85</v>
      </c>
      <c r="C223" s="4"/>
      <c r="D223" s="5"/>
      <c r="E223" s="4" t="s">
        <v>407</v>
      </c>
      <c r="F223" s="12">
        <v>3511384</v>
      </c>
      <c r="G223" s="17">
        <f t="shared" si="10"/>
        <v>3511384</v>
      </c>
      <c r="H223" s="4"/>
      <c r="I223" s="46"/>
    </row>
    <row r="224" spans="1:9" s="20" customFormat="1" ht="79.5" customHeight="1" hidden="1">
      <c r="A224" s="18" t="s">
        <v>99</v>
      </c>
      <c r="B224" s="4" t="s">
        <v>100</v>
      </c>
      <c r="C224" s="4"/>
      <c r="D224" s="5"/>
      <c r="E224" s="4" t="s">
        <v>407</v>
      </c>
      <c r="F224" s="19">
        <v>3500000</v>
      </c>
      <c r="G224" s="17">
        <f t="shared" si="10"/>
        <v>3500000</v>
      </c>
      <c r="H224" s="4"/>
      <c r="I224" s="46"/>
    </row>
    <row r="225" spans="1:9" s="20" customFormat="1" ht="78.75" hidden="1">
      <c r="A225" s="18" t="s">
        <v>88</v>
      </c>
      <c r="B225" s="4" t="s">
        <v>219</v>
      </c>
      <c r="C225" s="4"/>
      <c r="D225" s="17"/>
      <c r="E225" s="4" t="s">
        <v>271</v>
      </c>
      <c r="F225" s="19">
        <v>0</v>
      </c>
      <c r="G225" s="24">
        <f t="shared" si="10"/>
        <v>0</v>
      </c>
      <c r="H225" s="4"/>
      <c r="I225" s="46"/>
    </row>
    <row r="226" spans="1:9" s="20" customFormat="1" ht="53.25" customHeight="1" hidden="1">
      <c r="A226" s="18" t="s">
        <v>77</v>
      </c>
      <c r="B226" s="4" t="s">
        <v>92</v>
      </c>
      <c r="C226" s="4" t="s">
        <v>256</v>
      </c>
      <c r="D226" s="17">
        <v>0</v>
      </c>
      <c r="E226" s="4"/>
      <c r="F226" s="19"/>
      <c r="G226" s="17">
        <f t="shared" si="10"/>
        <v>0</v>
      </c>
      <c r="H226" s="4"/>
      <c r="I226" s="46"/>
    </row>
    <row r="227" spans="1:9" s="20" customFormat="1" ht="46.5" customHeight="1" hidden="1">
      <c r="A227" s="22" t="s">
        <v>152</v>
      </c>
      <c r="B227" s="23" t="s">
        <v>37</v>
      </c>
      <c r="C227" s="4"/>
      <c r="D227" s="24">
        <f>D229+D230+D232</f>
        <v>35602</v>
      </c>
      <c r="E227" s="5"/>
      <c r="F227" s="28">
        <f>F229</f>
        <v>70000</v>
      </c>
      <c r="G227" s="28">
        <f t="shared" si="10"/>
        <v>105602</v>
      </c>
      <c r="H227" s="4"/>
      <c r="I227" s="46"/>
    </row>
    <row r="228" spans="1:9" s="20" customFormat="1" ht="46.5" customHeight="1" hidden="1">
      <c r="A228" s="26" t="s">
        <v>165</v>
      </c>
      <c r="B228" s="4" t="s">
        <v>166</v>
      </c>
      <c r="C228" s="4" t="s">
        <v>185</v>
      </c>
      <c r="D228" s="21"/>
      <c r="E228" s="5"/>
      <c r="F228" s="19"/>
      <c r="G228" s="28">
        <f t="shared" si="10"/>
        <v>0</v>
      </c>
      <c r="H228" s="4"/>
      <c r="I228" s="46"/>
    </row>
    <row r="229" spans="1:9" s="20" customFormat="1" ht="70.5" customHeight="1" hidden="1">
      <c r="A229" s="18" t="s">
        <v>165</v>
      </c>
      <c r="B229" s="4" t="s">
        <v>166</v>
      </c>
      <c r="C229" s="4" t="s">
        <v>366</v>
      </c>
      <c r="D229" s="21">
        <v>2602</v>
      </c>
      <c r="E229" s="4" t="s">
        <v>396</v>
      </c>
      <c r="F229" s="19">
        <v>70000</v>
      </c>
      <c r="G229" s="19">
        <f>D229+F229</f>
        <v>72602</v>
      </c>
      <c r="H229" s="4"/>
      <c r="I229" s="46"/>
    </row>
    <row r="230" spans="1:9" s="20" customFormat="1" ht="15.75" hidden="1">
      <c r="A230" s="26">
        <v>230000</v>
      </c>
      <c r="B230" s="4" t="s">
        <v>194</v>
      </c>
      <c r="C230" s="463" t="s">
        <v>347</v>
      </c>
      <c r="D230" s="21">
        <v>0</v>
      </c>
      <c r="E230" s="5"/>
      <c r="F230" s="27"/>
      <c r="G230" s="19">
        <f t="shared" si="10"/>
        <v>0</v>
      </c>
      <c r="H230" s="4"/>
      <c r="I230" s="46"/>
    </row>
    <row r="231" spans="1:9" s="20" customFormat="1" ht="48" customHeight="1" hidden="1">
      <c r="A231" s="26">
        <v>210105</v>
      </c>
      <c r="B231" s="4"/>
      <c r="C231" s="463"/>
      <c r="D231" s="21">
        <v>0</v>
      </c>
      <c r="E231" s="5"/>
      <c r="F231" s="19">
        <v>0</v>
      </c>
      <c r="G231" s="19">
        <f t="shared" si="10"/>
        <v>0</v>
      </c>
      <c r="H231" s="4"/>
      <c r="I231" s="46"/>
    </row>
    <row r="232" spans="1:9" s="20" customFormat="1" ht="33" customHeight="1" hidden="1">
      <c r="A232" s="18" t="s">
        <v>77</v>
      </c>
      <c r="B232" s="4" t="s">
        <v>92</v>
      </c>
      <c r="C232" s="463"/>
      <c r="D232" s="17">
        <v>33000</v>
      </c>
      <c r="E232" s="4"/>
      <c r="F232" s="9"/>
      <c r="G232" s="19">
        <f t="shared" si="10"/>
        <v>33000</v>
      </c>
      <c r="H232" s="4"/>
      <c r="I232" s="46"/>
    </row>
    <row r="233" spans="1:9" s="20" customFormat="1" ht="47.25" hidden="1">
      <c r="A233" s="22" t="s">
        <v>193</v>
      </c>
      <c r="B233" s="23" t="s">
        <v>37</v>
      </c>
      <c r="C233" s="4"/>
      <c r="D233" s="32">
        <v>0</v>
      </c>
      <c r="E233" s="4"/>
      <c r="F233" s="24">
        <f>F235+F236</f>
        <v>0</v>
      </c>
      <c r="G233" s="24">
        <f t="shared" si="10"/>
        <v>0</v>
      </c>
      <c r="H233" s="71"/>
      <c r="I233" s="46"/>
    </row>
    <row r="234" spans="1:9" s="20" customFormat="1" ht="45" customHeight="1" hidden="1">
      <c r="A234" s="18" t="s">
        <v>101</v>
      </c>
      <c r="B234" s="4" t="s">
        <v>195</v>
      </c>
      <c r="C234" s="4"/>
      <c r="D234" s="5"/>
      <c r="E234" s="4" t="s">
        <v>203</v>
      </c>
      <c r="F234" s="12">
        <v>0</v>
      </c>
      <c r="G234" s="9">
        <v>0</v>
      </c>
      <c r="H234" s="4"/>
      <c r="I234" s="46"/>
    </row>
    <row r="235" spans="1:9" s="20" customFormat="1" ht="51.75" customHeight="1" hidden="1">
      <c r="A235" s="464">
        <v>250380</v>
      </c>
      <c r="B235" s="461" t="s">
        <v>289</v>
      </c>
      <c r="C235" s="4"/>
      <c r="D235" s="5"/>
      <c r="E235" s="4" t="s">
        <v>270</v>
      </c>
      <c r="F235" s="19">
        <v>0</v>
      </c>
      <c r="G235" s="19">
        <f>F235</f>
        <v>0</v>
      </c>
      <c r="H235" s="4"/>
      <c r="I235" s="46"/>
    </row>
    <row r="236" spans="1:9" s="20" customFormat="1" ht="51.75" customHeight="1" hidden="1">
      <c r="A236" s="465"/>
      <c r="B236" s="462"/>
      <c r="C236" s="4"/>
      <c r="D236" s="5"/>
      <c r="E236" s="4" t="s">
        <v>292</v>
      </c>
      <c r="F236" s="19">
        <v>0</v>
      </c>
      <c r="G236" s="19">
        <f>F236</f>
        <v>0</v>
      </c>
      <c r="H236" s="4"/>
      <c r="I236" s="46"/>
    </row>
    <row r="237" spans="1:9" s="20" customFormat="1" ht="47.25" hidden="1">
      <c r="A237" s="22" t="s">
        <v>134</v>
      </c>
      <c r="B237" s="23" t="s">
        <v>40</v>
      </c>
      <c r="C237" s="4"/>
      <c r="D237" s="24">
        <f>D241+D244+D245+D246+D247+D250+D251</f>
        <v>996508</v>
      </c>
      <c r="E237" s="4"/>
      <c r="F237" s="24">
        <f>F240+F243</f>
        <v>68812</v>
      </c>
      <c r="G237" s="24">
        <f>D237+F237</f>
        <v>1065320</v>
      </c>
      <c r="H237" s="71"/>
      <c r="I237" s="46"/>
    </row>
    <row r="238" spans="1:9" s="20" customFormat="1" ht="49.5" customHeight="1" hidden="1">
      <c r="A238" s="18" t="s">
        <v>165</v>
      </c>
      <c r="B238" s="4" t="s">
        <v>166</v>
      </c>
      <c r="C238" s="4" t="s">
        <v>171</v>
      </c>
      <c r="D238" s="17"/>
      <c r="E238" s="4" t="s">
        <v>171</v>
      </c>
      <c r="F238" s="19"/>
      <c r="G238" s="9">
        <v>0</v>
      </c>
      <c r="H238" s="4"/>
      <c r="I238" s="46"/>
    </row>
    <row r="239" spans="1:9" s="20" customFormat="1" ht="72" customHeight="1" hidden="1">
      <c r="A239" s="459" t="s">
        <v>165</v>
      </c>
      <c r="B239" s="463" t="s">
        <v>166</v>
      </c>
      <c r="C239" s="4" t="s">
        <v>282</v>
      </c>
      <c r="D239" s="17">
        <v>0</v>
      </c>
      <c r="E239" s="4"/>
      <c r="F239" s="19"/>
      <c r="G239" s="19">
        <v>0</v>
      </c>
      <c r="H239" s="4"/>
      <c r="I239" s="46"/>
    </row>
    <row r="240" spans="1:9" s="20" customFormat="1" ht="53.25" customHeight="1" hidden="1">
      <c r="A240" s="459"/>
      <c r="B240" s="463"/>
      <c r="C240" s="4"/>
      <c r="D240" s="17"/>
      <c r="E240" s="4" t="s">
        <v>396</v>
      </c>
      <c r="F240" s="19">
        <v>68812</v>
      </c>
      <c r="G240" s="19">
        <f>F240</f>
        <v>68812</v>
      </c>
      <c r="H240" s="4"/>
      <c r="I240" s="46"/>
    </row>
    <row r="241" spans="1:9" s="20" customFormat="1" ht="47.25" customHeight="1" hidden="1">
      <c r="A241" s="18" t="s">
        <v>94</v>
      </c>
      <c r="B241" s="4" t="s">
        <v>95</v>
      </c>
      <c r="C241" s="4" t="s">
        <v>400</v>
      </c>
      <c r="D241" s="17">
        <v>510000</v>
      </c>
      <c r="E241" s="4"/>
      <c r="F241" s="19"/>
      <c r="G241" s="19">
        <f>D241</f>
        <v>510000</v>
      </c>
      <c r="H241" s="4"/>
      <c r="I241" s="46"/>
    </row>
    <row r="242" spans="1:9" s="20" customFormat="1" ht="42.75" customHeight="1" hidden="1">
      <c r="A242" s="18" t="s">
        <v>84</v>
      </c>
      <c r="B242" s="4" t="s">
        <v>85</v>
      </c>
      <c r="C242" s="4"/>
      <c r="D242" s="17"/>
      <c r="E242" s="4" t="s">
        <v>199</v>
      </c>
      <c r="F242" s="19">
        <v>0</v>
      </c>
      <c r="G242" s="9">
        <v>0</v>
      </c>
      <c r="H242" s="4"/>
      <c r="I242" s="46"/>
    </row>
    <row r="243" spans="1:9" s="20" customFormat="1" ht="95.25" customHeight="1" hidden="1">
      <c r="A243" s="18" t="s">
        <v>71</v>
      </c>
      <c r="B243" s="4" t="s">
        <v>221</v>
      </c>
      <c r="C243" s="4"/>
      <c r="D243" s="17"/>
      <c r="E243" s="70" t="s">
        <v>280</v>
      </c>
      <c r="F243" s="19">
        <v>0</v>
      </c>
      <c r="G243" s="19">
        <f>F243</f>
        <v>0</v>
      </c>
      <c r="H243" s="4"/>
      <c r="I243" s="46"/>
    </row>
    <row r="244" spans="1:9" s="20" customFormat="1" ht="47.25" hidden="1">
      <c r="A244" s="459" t="s">
        <v>77</v>
      </c>
      <c r="B244" s="463" t="s">
        <v>92</v>
      </c>
      <c r="C244" s="4" t="s">
        <v>337</v>
      </c>
      <c r="D244" s="17">
        <v>155037</v>
      </c>
      <c r="E244" s="4"/>
      <c r="F244" s="9"/>
      <c r="G244" s="19">
        <f>D244</f>
        <v>155037</v>
      </c>
      <c r="H244" s="4"/>
      <c r="I244" s="46"/>
    </row>
    <row r="245" spans="1:9" s="20" customFormat="1" ht="47.25" hidden="1">
      <c r="A245" s="459"/>
      <c r="B245" s="463"/>
      <c r="C245" s="4" t="s">
        <v>400</v>
      </c>
      <c r="D245" s="17">
        <v>66308</v>
      </c>
      <c r="E245" s="4"/>
      <c r="F245" s="9"/>
      <c r="G245" s="19">
        <f aca="true" t="shared" si="11" ref="G245:G251">D245</f>
        <v>66308</v>
      </c>
      <c r="H245" s="4"/>
      <c r="I245" s="46"/>
    </row>
    <row r="246" spans="1:9" s="20" customFormat="1" ht="47.25" hidden="1">
      <c r="A246" s="459"/>
      <c r="B246" s="463"/>
      <c r="C246" s="4" t="s">
        <v>371</v>
      </c>
      <c r="D246" s="17">
        <v>233800</v>
      </c>
      <c r="E246" s="4"/>
      <c r="F246" s="9"/>
      <c r="G246" s="19">
        <f t="shared" si="11"/>
        <v>233800</v>
      </c>
      <c r="H246" s="4"/>
      <c r="I246" s="46"/>
    </row>
    <row r="247" spans="1:9" s="20" customFormat="1" ht="66" customHeight="1" hidden="1">
      <c r="A247" s="459"/>
      <c r="B247" s="463"/>
      <c r="C247" s="4" t="s">
        <v>338</v>
      </c>
      <c r="D247" s="17">
        <v>5100</v>
      </c>
      <c r="E247" s="4"/>
      <c r="F247" s="9"/>
      <c r="G247" s="19">
        <f t="shared" si="11"/>
        <v>5100</v>
      </c>
      <c r="H247" s="4"/>
      <c r="I247" s="46"/>
    </row>
    <row r="248" spans="1:9" s="20" customFormat="1" ht="45.75" customHeight="1" hidden="1">
      <c r="A248" s="459"/>
      <c r="B248" s="463"/>
      <c r="C248" s="4"/>
      <c r="D248" s="5"/>
      <c r="E248" s="4"/>
      <c r="F248" s="9"/>
      <c r="G248" s="19">
        <f t="shared" si="11"/>
        <v>0</v>
      </c>
      <c r="H248" s="4"/>
      <c r="I248" s="46"/>
    </row>
    <row r="249" spans="1:9" s="20" customFormat="1" ht="56.25" customHeight="1" hidden="1">
      <c r="A249" s="459"/>
      <c r="B249" s="463"/>
      <c r="C249" s="4"/>
      <c r="D249" s="5"/>
      <c r="E249" s="4"/>
      <c r="F249" s="9"/>
      <c r="G249" s="19">
        <f t="shared" si="11"/>
        <v>0</v>
      </c>
      <c r="H249" s="4"/>
      <c r="I249" s="46"/>
    </row>
    <row r="250" spans="1:9" s="20" customFormat="1" ht="47.25" hidden="1">
      <c r="A250" s="459"/>
      <c r="B250" s="463"/>
      <c r="C250" s="4" t="s">
        <v>336</v>
      </c>
      <c r="D250" s="17">
        <v>25298</v>
      </c>
      <c r="E250" s="4"/>
      <c r="F250" s="9"/>
      <c r="G250" s="19">
        <f t="shared" si="11"/>
        <v>25298</v>
      </c>
      <c r="H250" s="4"/>
      <c r="I250" s="46"/>
    </row>
    <row r="251" spans="1:9" s="20" customFormat="1" ht="63.75" customHeight="1" hidden="1">
      <c r="A251" s="459"/>
      <c r="B251" s="463"/>
      <c r="C251" s="4" t="s">
        <v>366</v>
      </c>
      <c r="D251" s="17">
        <v>965</v>
      </c>
      <c r="E251" s="4"/>
      <c r="F251" s="9"/>
      <c r="G251" s="19">
        <f t="shared" si="11"/>
        <v>965</v>
      </c>
      <c r="H251" s="4"/>
      <c r="I251" s="46"/>
    </row>
    <row r="252" spans="1:9" s="20" customFormat="1" ht="47.25">
      <c r="A252" s="22" t="s">
        <v>135</v>
      </c>
      <c r="B252" s="23" t="s">
        <v>43</v>
      </c>
      <c r="C252" s="4"/>
      <c r="D252" s="24">
        <f>D254+D258+D260+D261+D262+D263</f>
        <v>509258</v>
      </c>
      <c r="E252" s="23"/>
      <c r="F252" s="24">
        <f>F253+F254+F255+F257</f>
        <v>33765</v>
      </c>
      <c r="G252" s="24">
        <f>D252+F252</f>
        <v>543023</v>
      </c>
      <c r="H252" s="71"/>
      <c r="I252" s="46"/>
    </row>
    <row r="253" spans="1:9" s="20" customFormat="1" ht="43.5" customHeight="1" hidden="1">
      <c r="A253" s="18" t="s">
        <v>165</v>
      </c>
      <c r="B253" s="4" t="s">
        <v>166</v>
      </c>
      <c r="C253" s="4"/>
      <c r="D253" s="17"/>
      <c r="E253" s="4" t="s">
        <v>396</v>
      </c>
      <c r="F253" s="19">
        <v>27827</v>
      </c>
      <c r="G253" s="19">
        <f>F253</f>
        <v>27827</v>
      </c>
      <c r="H253" s="4"/>
      <c r="I253" s="46"/>
    </row>
    <row r="254" spans="1:9" s="20" customFormat="1" ht="50.25" customHeight="1">
      <c r="A254" s="459" t="s">
        <v>94</v>
      </c>
      <c r="B254" s="463" t="s">
        <v>95</v>
      </c>
      <c r="C254" s="4" t="s">
        <v>400</v>
      </c>
      <c r="D254" s="17">
        <v>440000</v>
      </c>
      <c r="E254" s="4" t="s">
        <v>400</v>
      </c>
      <c r="F254" s="19">
        <v>5542</v>
      </c>
      <c r="G254" s="19">
        <f>D254+F254</f>
        <v>445542</v>
      </c>
      <c r="H254" s="4">
        <v>5146</v>
      </c>
      <c r="I254" s="46"/>
    </row>
    <row r="255" spans="1:9" s="20" customFormat="1" ht="47.25" hidden="1">
      <c r="A255" s="459"/>
      <c r="B255" s="463"/>
      <c r="C255" s="4"/>
      <c r="D255" s="17"/>
      <c r="E255" s="35" t="s">
        <v>7</v>
      </c>
      <c r="F255" s="39">
        <v>396</v>
      </c>
      <c r="G255" s="39">
        <f>F255</f>
        <v>396</v>
      </c>
      <c r="H255" s="4"/>
      <c r="I255" s="46"/>
    </row>
    <row r="256" spans="1:9" s="20" customFormat="1" ht="21.75" customHeight="1" hidden="1">
      <c r="A256" s="18" t="s">
        <v>84</v>
      </c>
      <c r="B256" s="4" t="s">
        <v>85</v>
      </c>
      <c r="C256" s="4"/>
      <c r="D256" s="17"/>
      <c r="E256" s="4"/>
      <c r="F256" s="19"/>
      <c r="G256" s="19">
        <v>0</v>
      </c>
      <c r="H256" s="4"/>
      <c r="I256" s="46"/>
    </row>
    <row r="257" spans="1:9" s="20" customFormat="1" ht="99.75" customHeight="1" hidden="1">
      <c r="A257" s="18" t="s">
        <v>71</v>
      </c>
      <c r="B257" s="4" t="s">
        <v>221</v>
      </c>
      <c r="C257" s="4"/>
      <c r="D257" s="17"/>
      <c r="E257" s="70" t="s">
        <v>280</v>
      </c>
      <c r="F257" s="19">
        <v>0</v>
      </c>
      <c r="G257" s="19">
        <f>F257</f>
        <v>0</v>
      </c>
      <c r="H257" s="4"/>
      <c r="I257" s="46"/>
    </row>
    <row r="258" spans="1:9" s="20" customFormat="1" ht="47.25" hidden="1">
      <c r="A258" s="459" t="s">
        <v>77</v>
      </c>
      <c r="B258" s="463" t="s">
        <v>92</v>
      </c>
      <c r="C258" s="4" t="s">
        <v>337</v>
      </c>
      <c r="D258" s="17">
        <v>10800</v>
      </c>
      <c r="E258" s="4"/>
      <c r="F258" s="9"/>
      <c r="G258" s="19">
        <f aca="true" t="shared" si="12" ref="G258:G263">D258</f>
        <v>10800</v>
      </c>
      <c r="H258" s="4"/>
      <c r="I258" s="46"/>
    </row>
    <row r="259" spans="1:9" s="20" customFormat="1" ht="34.5" customHeight="1" hidden="1">
      <c r="A259" s="459"/>
      <c r="B259" s="463"/>
      <c r="C259" s="4"/>
      <c r="D259" s="17"/>
      <c r="E259" s="4"/>
      <c r="F259" s="9"/>
      <c r="G259" s="19">
        <f t="shared" si="12"/>
        <v>0</v>
      </c>
      <c r="H259" s="4"/>
      <c r="I259" s="46"/>
    </row>
    <row r="260" spans="1:9" s="20" customFormat="1" ht="52.5" customHeight="1" hidden="1">
      <c r="A260" s="459"/>
      <c r="B260" s="463"/>
      <c r="C260" s="4" t="s">
        <v>371</v>
      </c>
      <c r="D260" s="17">
        <v>31950</v>
      </c>
      <c r="E260" s="4"/>
      <c r="F260" s="9"/>
      <c r="G260" s="19">
        <f t="shared" si="12"/>
        <v>31950</v>
      </c>
      <c r="H260" s="4"/>
      <c r="I260" s="46"/>
    </row>
    <row r="261" spans="1:9" s="20" customFormat="1" ht="63" hidden="1">
      <c r="A261" s="459"/>
      <c r="B261" s="463"/>
      <c r="C261" s="4" t="s">
        <v>338</v>
      </c>
      <c r="D261" s="17">
        <v>5100</v>
      </c>
      <c r="E261" s="4"/>
      <c r="F261" s="9"/>
      <c r="G261" s="19">
        <f t="shared" si="12"/>
        <v>5100</v>
      </c>
      <c r="H261" s="4"/>
      <c r="I261" s="46"/>
    </row>
    <row r="262" spans="1:9" s="20" customFormat="1" ht="47.25" hidden="1">
      <c r="A262" s="459"/>
      <c r="B262" s="463"/>
      <c r="C262" s="4" t="s">
        <v>400</v>
      </c>
      <c r="D262" s="17">
        <v>0</v>
      </c>
      <c r="E262" s="4"/>
      <c r="F262" s="9"/>
      <c r="G262" s="19">
        <f t="shared" si="12"/>
        <v>0</v>
      </c>
      <c r="H262" s="4"/>
      <c r="I262" s="46"/>
    </row>
    <row r="263" spans="1:9" s="20" customFormat="1" ht="47.25" hidden="1">
      <c r="A263" s="459"/>
      <c r="B263" s="463"/>
      <c r="C263" s="4" t="s">
        <v>336</v>
      </c>
      <c r="D263" s="17">
        <v>21408</v>
      </c>
      <c r="E263" s="4"/>
      <c r="F263" s="9"/>
      <c r="G263" s="19">
        <f t="shared" si="12"/>
        <v>21408</v>
      </c>
      <c r="H263" s="4"/>
      <c r="I263" s="46"/>
    </row>
    <row r="264" spans="1:9" s="20" customFormat="1" ht="47.25">
      <c r="A264" s="22" t="s">
        <v>136</v>
      </c>
      <c r="B264" s="23" t="s">
        <v>44</v>
      </c>
      <c r="C264" s="4"/>
      <c r="D264" s="24">
        <f>D265+D266+D269+D270+D271+D272+D274+D275</f>
        <v>970596</v>
      </c>
      <c r="E264" s="23"/>
      <c r="F264" s="24">
        <f>F265+F266+F267+F268</f>
        <v>4568094</v>
      </c>
      <c r="G264" s="24">
        <f>D264+F264</f>
        <v>5538690</v>
      </c>
      <c r="H264" s="71"/>
      <c r="I264" s="46"/>
    </row>
    <row r="265" spans="1:9" s="20" customFormat="1" ht="45" customHeight="1" hidden="1">
      <c r="A265" s="18" t="s">
        <v>165</v>
      </c>
      <c r="B265" s="4" t="s">
        <v>166</v>
      </c>
      <c r="C265" s="4"/>
      <c r="D265" s="17"/>
      <c r="E265" s="4" t="s">
        <v>396</v>
      </c>
      <c r="F265" s="19">
        <v>27975</v>
      </c>
      <c r="G265" s="19">
        <f>F265</f>
        <v>27975</v>
      </c>
      <c r="H265" s="4"/>
      <c r="I265" s="46"/>
    </row>
    <row r="266" spans="1:9" s="20" customFormat="1" ht="56.25" customHeight="1">
      <c r="A266" s="18" t="s">
        <v>94</v>
      </c>
      <c r="B266" s="4" t="s">
        <v>95</v>
      </c>
      <c r="C266" s="4" t="s">
        <v>400</v>
      </c>
      <c r="D266" s="17">
        <v>710000</v>
      </c>
      <c r="E266" s="4" t="s">
        <v>400</v>
      </c>
      <c r="F266" s="19">
        <v>132173</v>
      </c>
      <c r="G266" s="19">
        <f>D266+F266</f>
        <v>842173</v>
      </c>
      <c r="H266" s="4">
        <v>132173</v>
      </c>
      <c r="I266" s="46"/>
    </row>
    <row r="267" spans="1:9" s="20" customFormat="1" ht="47.25" hidden="1">
      <c r="A267" s="18" t="s">
        <v>84</v>
      </c>
      <c r="B267" s="4" t="s">
        <v>85</v>
      </c>
      <c r="C267" s="4"/>
      <c r="D267" s="17"/>
      <c r="E267" s="4" t="s">
        <v>400</v>
      </c>
      <c r="F267" s="19">
        <v>4407946</v>
      </c>
      <c r="G267" s="19">
        <f>F267</f>
        <v>4407946</v>
      </c>
      <c r="H267" s="4"/>
      <c r="I267" s="46"/>
    </row>
    <row r="268" spans="1:9" s="20" customFormat="1" ht="99.75" customHeight="1" hidden="1">
      <c r="A268" s="18" t="s">
        <v>71</v>
      </c>
      <c r="B268" s="4" t="s">
        <v>221</v>
      </c>
      <c r="C268" s="4"/>
      <c r="D268" s="17"/>
      <c r="E268" s="70" t="s">
        <v>280</v>
      </c>
      <c r="F268" s="19">
        <v>0</v>
      </c>
      <c r="G268" s="19">
        <f>F268</f>
        <v>0</v>
      </c>
      <c r="H268" s="4"/>
      <c r="I268" s="46"/>
    </row>
    <row r="269" spans="1:9" s="20" customFormat="1" ht="47.25" hidden="1">
      <c r="A269" s="459" t="s">
        <v>77</v>
      </c>
      <c r="B269" s="463" t="s">
        <v>92</v>
      </c>
      <c r="C269" s="4" t="s">
        <v>337</v>
      </c>
      <c r="D269" s="17">
        <v>108138</v>
      </c>
      <c r="E269" s="4"/>
      <c r="F269" s="9"/>
      <c r="G269" s="19">
        <f>D269</f>
        <v>108138</v>
      </c>
      <c r="H269" s="4"/>
      <c r="I269" s="46"/>
    </row>
    <row r="270" spans="1:9" s="20" customFormat="1" ht="47.25" hidden="1">
      <c r="A270" s="459"/>
      <c r="B270" s="463"/>
      <c r="C270" s="4" t="s">
        <v>400</v>
      </c>
      <c r="D270" s="17">
        <v>66600</v>
      </c>
      <c r="E270" s="4"/>
      <c r="F270" s="9"/>
      <c r="G270" s="19">
        <f aca="true" t="shared" si="13" ref="G270:G275">D270</f>
        <v>66600</v>
      </c>
      <c r="H270" s="4"/>
      <c r="I270" s="46"/>
    </row>
    <row r="271" spans="1:9" s="20" customFormat="1" ht="47.25" hidden="1">
      <c r="A271" s="459"/>
      <c r="B271" s="463"/>
      <c r="C271" s="4" t="s">
        <v>371</v>
      </c>
      <c r="D271" s="17">
        <v>38505</v>
      </c>
      <c r="E271" s="4"/>
      <c r="F271" s="9"/>
      <c r="G271" s="19">
        <f t="shared" si="13"/>
        <v>38505</v>
      </c>
      <c r="H271" s="4"/>
      <c r="I271" s="46"/>
    </row>
    <row r="272" spans="1:9" s="20" customFormat="1" ht="63" hidden="1">
      <c r="A272" s="459"/>
      <c r="B272" s="463"/>
      <c r="C272" s="4" t="s">
        <v>338</v>
      </c>
      <c r="D272" s="17">
        <v>2756</v>
      </c>
      <c r="E272" s="4"/>
      <c r="F272" s="9"/>
      <c r="G272" s="19">
        <f t="shared" si="13"/>
        <v>2756</v>
      </c>
      <c r="H272" s="4"/>
      <c r="I272" s="46"/>
    </row>
    <row r="273" spans="1:9" s="20" customFormat="1" ht="21.75" customHeight="1" hidden="1">
      <c r="A273" s="459"/>
      <c r="B273" s="463"/>
      <c r="C273" s="4"/>
      <c r="D273" s="5"/>
      <c r="E273" s="4"/>
      <c r="F273" s="9"/>
      <c r="G273" s="19">
        <f t="shared" si="13"/>
        <v>0</v>
      </c>
      <c r="H273" s="4"/>
      <c r="I273" s="46"/>
    </row>
    <row r="274" spans="1:9" s="20" customFormat="1" ht="47.25" hidden="1">
      <c r="A274" s="459"/>
      <c r="B274" s="463"/>
      <c r="C274" s="4" t="s">
        <v>336</v>
      </c>
      <c r="D274" s="17">
        <f>18932+14100</f>
        <v>33032</v>
      </c>
      <c r="E274" s="4"/>
      <c r="F274" s="9"/>
      <c r="G274" s="19">
        <f t="shared" si="13"/>
        <v>33032</v>
      </c>
      <c r="H274" s="4"/>
      <c r="I274" s="46"/>
    </row>
    <row r="275" spans="1:9" s="20" customFormat="1" ht="66.75" customHeight="1" hidden="1">
      <c r="A275" s="459"/>
      <c r="B275" s="463"/>
      <c r="C275" s="4" t="s">
        <v>366</v>
      </c>
      <c r="D275" s="17">
        <v>11565</v>
      </c>
      <c r="E275" s="4"/>
      <c r="F275" s="9"/>
      <c r="G275" s="19">
        <f t="shared" si="13"/>
        <v>11565</v>
      </c>
      <c r="H275" s="4"/>
      <c r="I275" s="46"/>
    </row>
    <row r="276" spans="1:9" s="20" customFormat="1" ht="47.25">
      <c r="A276" s="22" t="s">
        <v>137</v>
      </c>
      <c r="B276" s="23" t="s">
        <v>45</v>
      </c>
      <c r="C276" s="4"/>
      <c r="D276" s="24">
        <f>D278+D280+D281+D282+D283+D284+D285</f>
        <v>663789</v>
      </c>
      <c r="E276" s="23"/>
      <c r="F276" s="24">
        <f>F277+F278+F279</f>
        <v>273375</v>
      </c>
      <c r="G276" s="28">
        <f>D276+F276</f>
        <v>937164</v>
      </c>
      <c r="H276" s="74"/>
      <c r="I276" s="46"/>
    </row>
    <row r="277" spans="1:9" s="20" customFormat="1" ht="31.5" hidden="1">
      <c r="A277" s="18" t="s">
        <v>165</v>
      </c>
      <c r="B277" s="4" t="s">
        <v>166</v>
      </c>
      <c r="C277" s="4"/>
      <c r="D277" s="17"/>
      <c r="E277" s="4" t="s">
        <v>396</v>
      </c>
      <c r="F277" s="19">
        <v>42375</v>
      </c>
      <c r="G277" s="19">
        <f>F277</f>
        <v>42375</v>
      </c>
      <c r="H277" s="23"/>
      <c r="I277" s="46"/>
    </row>
    <row r="278" spans="1:9" s="20" customFormat="1" ht="66" customHeight="1">
      <c r="A278" s="18" t="s">
        <v>94</v>
      </c>
      <c r="B278" s="4" t="s">
        <v>95</v>
      </c>
      <c r="C278" s="4" t="s">
        <v>400</v>
      </c>
      <c r="D278" s="17">
        <v>480000</v>
      </c>
      <c r="E278" s="4" t="s">
        <v>400</v>
      </c>
      <c r="F278" s="19">
        <v>10000</v>
      </c>
      <c r="G278" s="19">
        <f>D278+F278</f>
        <v>490000</v>
      </c>
      <c r="H278" s="4">
        <v>10000</v>
      </c>
      <c r="I278" s="46"/>
    </row>
    <row r="279" spans="1:9" s="20" customFormat="1" ht="55.5" customHeight="1" hidden="1">
      <c r="A279" s="18" t="s">
        <v>84</v>
      </c>
      <c r="B279" s="4" t="s">
        <v>85</v>
      </c>
      <c r="C279" s="4"/>
      <c r="D279" s="17"/>
      <c r="E279" s="4" t="s">
        <v>400</v>
      </c>
      <c r="F279" s="19">
        <v>221000</v>
      </c>
      <c r="G279" s="19">
        <f>F279</f>
        <v>221000</v>
      </c>
      <c r="H279" s="4"/>
      <c r="I279" s="46"/>
    </row>
    <row r="280" spans="1:9" s="20" customFormat="1" ht="47.25" hidden="1">
      <c r="A280" s="459" t="s">
        <v>77</v>
      </c>
      <c r="B280" s="463" t="s">
        <v>92</v>
      </c>
      <c r="C280" s="4" t="s">
        <v>337</v>
      </c>
      <c r="D280" s="17">
        <v>111797</v>
      </c>
      <c r="E280" s="4"/>
      <c r="F280" s="9"/>
      <c r="G280" s="19">
        <f aca="true" t="shared" si="14" ref="G280:G285">D280</f>
        <v>111797</v>
      </c>
      <c r="H280" s="4"/>
      <c r="I280" s="46"/>
    </row>
    <row r="281" spans="1:9" s="20" customFormat="1" ht="47.25" hidden="1">
      <c r="A281" s="459"/>
      <c r="B281" s="463"/>
      <c r="C281" s="4" t="s">
        <v>400</v>
      </c>
      <c r="D281" s="17">
        <v>16686</v>
      </c>
      <c r="E281" s="4"/>
      <c r="F281" s="9"/>
      <c r="G281" s="19">
        <f t="shared" si="14"/>
        <v>16686</v>
      </c>
      <c r="H281" s="4"/>
      <c r="I281" s="46"/>
    </row>
    <row r="282" spans="1:9" s="20" customFormat="1" ht="47.25" hidden="1">
      <c r="A282" s="459"/>
      <c r="B282" s="463"/>
      <c r="C282" s="4" t="s">
        <v>371</v>
      </c>
      <c r="D282" s="17">
        <v>26015</v>
      </c>
      <c r="E282" s="4"/>
      <c r="F282" s="9"/>
      <c r="G282" s="19">
        <f t="shared" si="14"/>
        <v>26015</v>
      </c>
      <c r="H282" s="4"/>
      <c r="I282" s="46"/>
    </row>
    <row r="283" spans="1:9" s="20" customFormat="1" ht="63" hidden="1">
      <c r="A283" s="459"/>
      <c r="B283" s="463"/>
      <c r="C283" s="4" t="s">
        <v>338</v>
      </c>
      <c r="D283" s="17">
        <v>4133</v>
      </c>
      <c r="E283" s="4"/>
      <c r="F283" s="9"/>
      <c r="G283" s="19">
        <f t="shared" si="14"/>
        <v>4133</v>
      </c>
      <c r="H283" s="4"/>
      <c r="I283" s="46"/>
    </row>
    <row r="284" spans="1:9" s="20" customFormat="1" ht="47.25" hidden="1">
      <c r="A284" s="459"/>
      <c r="B284" s="463"/>
      <c r="C284" s="4" t="s">
        <v>336</v>
      </c>
      <c r="D284" s="17">
        <v>23096</v>
      </c>
      <c r="E284" s="4"/>
      <c r="F284" s="9"/>
      <c r="G284" s="19">
        <f t="shared" si="14"/>
        <v>23096</v>
      </c>
      <c r="H284" s="4"/>
      <c r="I284" s="46"/>
    </row>
    <row r="285" spans="1:9" s="20" customFormat="1" ht="63.75" customHeight="1" hidden="1">
      <c r="A285" s="459"/>
      <c r="B285" s="463"/>
      <c r="C285" s="4" t="s">
        <v>366</v>
      </c>
      <c r="D285" s="17">
        <v>2062</v>
      </c>
      <c r="E285" s="4"/>
      <c r="F285" s="9"/>
      <c r="G285" s="19">
        <f t="shared" si="14"/>
        <v>2062</v>
      </c>
      <c r="H285" s="4"/>
      <c r="I285" s="46"/>
    </row>
    <row r="286" spans="1:9" s="33" customFormat="1" ht="47.25" hidden="1">
      <c r="A286" s="22" t="s">
        <v>138</v>
      </c>
      <c r="B286" s="23" t="s">
        <v>46</v>
      </c>
      <c r="C286" s="23"/>
      <c r="D286" s="24">
        <f>D288+D290+D292+D294+D296+D297+D298+D299+D300+D301</f>
        <v>1140260</v>
      </c>
      <c r="E286" s="23"/>
      <c r="F286" s="24">
        <f>F289+F293</f>
        <v>77975</v>
      </c>
      <c r="G286" s="24">
        <f>D286+F286</f>
        <v>1218235</v>
      </c>
      <c r="H286" s="74"/>
      <c r="I286" s="46"/>
    </row>
    <row r="287" spans="1:9" s="33" customFormat="1" ht="55.5" customHeight="1" hidden="1">
      <c r="A287" s="18" t="s">
        <v>165</v>
      </c>
      <c r="B287" s="4" t="s">
        <v>166</v>
      </c>
      <c r="C287" s="4" t="s">
        <v>172</v>
      </c>
      <c r="D287" s="17"/>
      <c r="E287" s="4" t="s">
        <v>172</v>
      </c>
      <c r="F287" s="19"/>
      <c r="G287" s="19">
        <v>0</v>
      </c>
      <c r="H287" s="23"/>
      <c r="I287" s="46"/>
    </row>
    <row r="288" spans="1:9" s="33" customFormat="1" ht="69" customHeight="1" hidden="1">
      <c r="A288" s="457" t="s">
        <v>165</v>
      </c>
      <c r="B288" s="461" t="s">
        <v>166</v>
      </c>
      <c r="C288" s="4" t="s">
        <v>366</v>
      </c>
      <c r="D288" s="17">
        <v>7791</v>
      </c>
      <c r="E288" s="4"/>
      <c r="F288" s="19"/>
      <c r="G288" s="19">
        <f>D288</f>
        <v>7791</v>
      </c>
      <c r="H288" s="23"/>
      <c r="I288" s="46"/>
    </row>
    <row r="289" spans="1:9" s="33" customFormat="1" ht="54.75" customHeight="1" hidden="1">
      <c r="A289" s="458"/>
      <c r="B289" s="462"/>
      <c r="C289" s="4"/>
      <c r="D289" s="17"/>
      <c r="E289" s="4" t="s">
        <v>396</v>
      </c>
      <c r="F289" s="19">
        <v>27975</v>
      </c>
      <c r="G289" s="19">
        <f>F289</f>
        <v>27975</v>
      </c>
      <c r="H289" s="23"/>
      <c r="I289" s="46"/>
    </row>
    <row r="290" spans="1:9" s="20" customFormat="1" ht="49.5" customHeight="1" hidden="1">
      <c r="A290" s="459" t="s">
        <v>94</v>
      </c>
      <c r="B290" s="463" t="s">
        <v>95</v>
      </c>
      <c r="C290" s="4" t="s">
        <v>400</v>
      </c>
      <c r="D290" s="17">
        <v>768655</v>
      </c>
      <c r="E290" s="4"/>
      <c r="F290" s="19"/>
      <c r="G290" s="19">
        <f>D290</f>
        <v>768655</v>
      </c>
      <c r="H290" s="4"/>
      <c r="I290" s="46"/>
    </row>
    <row r="291" spans="1:9" s="20" customFormat="1" ht="47.25" hidden="1">
      <c r="A291" s="459"/>
      <c r="B291" s="463"/>
      <c r="C291" s="4"/>
      <c r="D291" s="17"/>
      <c r="E291" s="35" t="s">
        <v>264</v>
      </c>
      <c r="F291" s="39">
        <v>0</v>
      </c>
      <c r="G291" s="39">
        <v>0</v>
      </c>
      <c r="H291" s="4"/>
      <c r="I291" s="46"/>
    </row>
    <row r="292" spans="1:9" s="20" customFormat="1" ht="47.25" hidden="1">
      <c r="A292" s="18" t="s">
        <v>237</v>
      </c>
      <c r="B292" s="4" t="s">
        <v>92</v>
      </c>
      <c r="C292" s="4" t="s">
        <v>259</v>
      </c>
      <c r="D292" s="17">
        <v>0</v>
      </c>
      <c r="E292" s="4"/>
      <c r="F292" s="19"/>
      <c r="G292" s="19">
        <f>D292</f>
        <v>0</v>
      </c>
      <c r="H292" s="4"/>
      <c r="I292" s="46"/>
    </row>
    <row r="293" spans="1:9" s="20" customFormat="1" ht="93.75" customHeight="1" hidden="1">
      <c r="A293" s="18" t="s">
        <v>71</v>
      </c>
      <c r="B293" s="4" t="s">
        <v>221</v>
      </c>
      <c r="C293" s="4"/>
      <c r="D293" s="17"/>
      <c r="E293" s="4" t="s">
        <v>356</v>
      </c>
      <c r="F293" s="19">
        <v>50000</v>
      </c>
      <c r="G293" s="19">
        <f>F293</f>
        <v>50000</v>
      </c>
      <c r="H293" s="4"/>
      <c r="I293" s="46"/>
    </row>
    <row r="294" spans="1:9" s="20" customFormat="1" ht="47.25" hidden="1">
      <c r="A294" s="459" t="s">
        <v>77</v>
      </c>
      <c r="B294" s="463" t="s">
        <v>92</v>
      </c>
      <c r="C294" s="4" t="s">
        <v>337</v>
      </c>
      <c r="D294" s="17">
        <v>245113</v>
      </c>
      <c r="E294" s="4"/>
      <c r="F294" s="9"/>
      <c r="G294" s="19">
        <f>D294</f>
        <v>245113</v>
      </c>
      <c r="H294" s="4"/>
      <c r="I294" s="46"/>
    </row>
    <row r="295" spans="1:9" s="20" customFormat="1" ht="21" customHeight="1" hidden="1">
      <c r="A295" s="459"/>
      <c r="B295" s="463"/>
      <c r="C295" s="4"/>
      <c r="D295" s="17"/>
      <c r="E295" s="4"/>
      <c r="F295" s="9"/>
      <c r="G295" s="19">
        <f aca="true" t="shared" si="15" ref="G295:G301">D295</f>
        <v>0</v>
      </c>
      <c r="H295" s="4"/>
      <c r="I295" s="46"/>
    </row>
    <row r="296" spans="1:9" s="20" customFormat="1" ht="15.75" hidden="1">
      <c r="A296" s="459"/>
      <c r="B296" s="463"/>
      <c r="C296" s="4"/>
      <c r="D296" s="17">
        <v>0</v>
      </c>
      <c r="E296" s="4"/>
      <c r="F296" s="9"/>
      <c r="G296" s="19">
        <f t="shared" si="15"/>
        <v>0</v>
      </c>
      <c r="H296" s="4"/>
      <c r="I296" s="46"/>
    </row>
    <row r="297" spans="1:9" s="20" customFormat="1" ht="47.25" hidden="1">
      <c r="A297" s="459"/>
      <c r="B297" s="463"/>
      <c r="C297" s="4" t="s">
        <v>371</v>
      </c>
      <c r="D297" s="17">
        <v>63468</v>
      </c>
      <c r="E297" s="4"/>
      <c r="F297" s="9"/>
      <c r="G297" s="19">
        <f t="shared" si="15"/>
        <v>63468</v>
      </c>
      <c r="H297" s="4"/>
      <c r="I297" s="46"/>
    </row>
    <row r="298" spans="1:9" s="20" customFormat="1" ht="63" hidden="1">
      <c r="A298" s="459"/>
      <c r="B298" s="463"/>
      <c r="C298" s="4" t="s">
        <v>338</v>
      </c>
      <c r="D298" s="17">
        <v>3100</v>
      </c>
      <c r="E298" s="4"/>
      <c r="F298" s="9"/>
      <c r="G298" s="19">
        <f t="shared" si="15"/>
        <v>3100</v>
      </c>
      <c r="H298" s="4"/>
      <c r="I298" s="46"/>
    </row>
    <row r="299" spans="1:9" s="20" customFormat="1" ht="47.25" hidden="1">
      <c r="A299" s="459"/>
      <c r="B299" s="463"/>
      <c r="C299" s="4" t="s">
        <v>336</v>
      </c>
      <c r="D299" s="17">
        <v>18610</v>
      </c>
      <c r="E299" s="4"/>
      <c r="F299" s="9"/>
      <c r="G299" s="19">
        <f t="shared" si="15"/>
        <v>18610</v>
      </c>
      <c r="H299" s="4"/>
      <c r="I299" s="46"/>
    </row>
    <row r="300" spans="1:9" s="20" customFormat="1" ht="47.25" hidden="1">
      <c r="A300" s="459"/>
      <c r="B300" s="463"/>
      <c r="C300" s="4" t="s">
        <v>400</v>
      </c>
      <c r="D300" s="17">
        <v>32058</v>
      </c>
      <c r="E300" s="4"/>
      <c r="F300" s="9"/>
      <c r="G300" s="19">
        <f t="shared" si="15"/>
        <v>32058</v>
      </c>
      <c r="H300" s="4"/>
      <c r="I300" s="46"/>
    </row>
    <row r="301" spans="1:9" s="20" customFormat="1" ht="65.25" customHeight="1" hidden="1">
      <c r="A301" s="459"/>
      <c r="B301" s="463"/>
      <c r="C301" s="4" t="s">
        <v>366</v>
      </c>
      <c r="D301" s="17">
        <v>1465</v>
      </c>
      <c r="E301" s="4"/>
      <c r="F301" s="9"/>
      <c r="G301" s="19">
        <f t="shared" si="15"/>
        <v>1465</v>
      </c>
      <c r="H301" s="4"/>
      <c r="I301" s="46"/>
    </row>
    <row r="302" spans="1:9" s="33" customFormat="1" ht="47.25" hidden="1">
      <c r="A302" s="22" t="s">
        <v>139</v>
      </c>
      <c r="B302" s="23" t="s">
        <v>47</v>
      </c>
      <c r="C302" s="23"/>
      <c r="D302" s="24">
        <f>D305+D307+D309+D310+D311+D312+D313</f>
        <v>828027</v>
      </c>
      <c r="E302" s="23"/>
      <c r="F302" s="24">
        <f>F303+F304+F305+F306</f>
        <v>80975</v>
      </c>
      <c r="G302" s="28">
        <f>D302+F302</f>
        <v>909002</v>
      </c>
      <c r="H302" s="74"/>
      <c r="I302" s="46"/>
    </row>
    <row r="303" spans="1:9" s="33" customFormat="1" ht="49.5" customHeight="1" hidden="1">
      <c r="A303" s="18" t="s">
        <v>165</v>
      </c>
      <c r="B303" s="4" t="s">
        <v>166</v>
      </c>
      <c r="C303" s="4"/>
      <c r="D303" s="17"/>
      <c r="E303" s="4" t="s">
        <v>396</v>
      </c>
      <c r="F303" s="19">
        <v>27975</v>
      </c>
      <c r="G303" s="19">
        <f>F303</f>
        <v>27975</v>
      </c>
      <c r="H303" s="23"/>
      <c r="I303" s="46"/>
    </row>
    <row r="304" spans="1:9" s="33" customFormat="1" ht="49.5" customHeight="1" hidden="1">
      <c r="A304" s="18" t="s">
        <v>84</v>
      </c>
      <c r="B304" s="4" t="s">
        <v>85</v>
      </c>
      <c r="C304" s="4"/>
      <c r="D304" s="17"/>
      <c r="E304" s="4" t="s">
        <v>400</v>
      </c>
      <c r="F304" s="19">
        <v>3000</v>
      </c>
      <c r="G304" s="19">
        <f>F304</f>
        <v>3000</v>
      </c>
      <c r="H304" s="23"/>
      <c r="I304" s="46"/>
    </row>
    <row r="305" spans="1:9" s="20" customFormat="1" ht="48" customHeight="1" hidden="1">
      <c r="A305" s="18" t="s">
        <v>94</v>
      </c>
      <c r="B305" s="4" t="s">
        <v>95</v>
      </c>
      <c r="C305" s="4" t="s">
        <v>400</v>
      </c>
      <c r="D305" s="17">
        <v>650000</v>
      </c>
      <c r="E305" s="4"/>
      <c r="F305" s="19"/>
      <c r="G305" s="19">
        <f>D305+F305</f>
        <v>650000</v>
      </c>
      <c r="H305" s="4"/>
      <c r="I305" s="46"/>
    </row>
    <row r="306" spans="1:9" s="20" customFormat="1" ht="93.75" customHeight="1" hidden="1">
      <c r="A306" s="18" t="s">
        <v>71</v>
      </c>
      <c r="B306" s="4" t="s">
        <v>221</v>
      </c>
      <c r="C306" s="4"/>
      <c r="D306" s="17"/>
      <c r="E306" s="4" t="s">
        <v>356</v>
      </c>
      <c r="F306" s="19">
        <v>50000</v>
      </c>
      <c r="G306" s="19">
        <f>F306</f>
        <v>50000</v>
      </c>
      <c r="H306" s="4"/>
      <c r="I306" s="46"/>
    </row>
    <row r="307" spans="1:9" s="20" customFormat="1" ht="47.25" hidden="1">
      <c r="A307" s="459" t="s">
        <v>77</v>
      </c>
      <c r="B307" s="463" t="s">
        <v>92</v>
      </c>
      <c r="C307" s="4" t="s">
        <v>337</v>
      </c>
      <c r="D307" s="17">
        <v>72092</v>
      </c>
      <c r="E307" s="4"/>
      <c r="F307" s="9"/>
      <c r="G307" s="19">
        <f aca="true" t="shared" si="16" ref="G307:G313">D307</f>
        <v>72092</v>
      </c>
      <c r="H307" s="4"/>
      <c r="I307" s="46"/>
    </row>
    <row r="308" spans="1:9" s="20" customFormat="1" ht="30.75" customHeight="1" hidden="1">
      <c r="A308" s="459"/>
      <c r="B308" s="463"/>
      <c r="C308" s="4"/>
      <c r="D308" s="17"/>
      <c r="E308" s="4"/>
      <c r="F308" s="9"/>
      <c r="G308" s="19">
        <f t="shared" si="16"/>
        <v>0</v>
      </c>
      <c r="H308" s="4"/>
      <c r="I308" s="46"/>
    </row>
    <row r="309" spans="1:9" s="20" customFormat="1" ht="47.25" hidden="1">
      <c r="A309" s="459"/>
      <c r="B309" s="463"/>
      <c r="C309" s="4" t="s">
        <v>371</v>
      </c>
      <c r="D309" s="17">
        <v>43038</v>
      </c>
      <c r="E309" s="4"/>
      <c r="F309" s="9"/>
      <c r="G309" s="19">
        <f t="shared" si="16"/>
        <v>43038</v>
      </c>
      <c r="H309" s="4"/>
      <c r="I309" s="46"/>
    </row>
    <row r="310" spans="1:9" s="20" customFormat="1" ht="63" hidden="1">
      <c r="A310" s="459"/>
      <c r="B310" s="463"/>
      <c r="C310" s="4" t="s">
        <v>338</v>
      </c>
      <c r="D310" s="17">
        <v>2067</v>
      </c>
      <c r="E310" s="4"/>
      <c r="F310" s="9"/>
      <c r="G310" s="19">
        <f t="shared" si="16"/>
        <v>2067</v>
      </c>
      <c r="H310" s="4"/>
      <c r="I310" s="46"/>
    </row>
    <row r="311" spans="1:9" s="20" customFormat="1" ht="47.25" hidden="1">
      <c r="A311" s="459"/>
      <c r="B311" s="463"/>
      <c r="C311" s="4" t="s">
        <v>336</v>
      </c>
      <c r="D311" s="17">
        <v>26781</v>
      </c>
      <c r="E311" s="4"/>
      <c r="F311" s="9"/>
      <c r="G311" s="19">
        <f t="shared" si="16"/>
        <v>26781</v>
      </c>
      <c r="H311" s="4"/>
      <c r="I311" s="46"/>
    </row>
    <row r="312" spans="1:9" s="20" customFormat="1" ht="47.25" hidden="1">
      <c r="A312" s="459"/>
      <c r="B312" s="463"/>
      <c r="C312" s="4" t="s">
        <v>400</v>
      </c>
      <c r="D312" s="17">
        <v>33132</v>
      </c>
      <c r="E312" s="4"/>
      <c r="F312" s="9"/>
      <c r="G312" s="19">
        <f t="shared" si="16"/>
        <v>33132</v>
      </c>
      <c r="H312" s="4"/>
      <c r="I312" s="46"/>
    </row>
    <row r="313" spans="1:9" s="20" customFormat="1" ht="69" customHeight="1" hidden="1">
      <c r="A313" s="459"/>
      <c r="B313" s="463"/>
      <c r="C313" s="4" t="s">
        <v>366</v>
      </c>
      <c r="D313" s="17">
        <v>917</v>
      </c>
      <c r="E313" s="4"/>
      <c r="F313" s="9"/>
      <c r="G313" s="19">
        <f t="shared" si="16"/>
        <v>917</v>
      </c>
      <c r="H313" s="4"/>
      <c r="I313" s="46"/>
    </row>
    <row r="314" spans="1:9" s="20" customFormat="1" ht="46.5" customHeight="1" hidden="1">
      <c r="A314" s="22" t="s">
        <v>140</v>
      </c>
      <c r="B314" s="23" t="s">
        <v>48</v>
      </c>
      <c r="C314" s="4"/>
      <c r="D314" s="24">
        <f>D315+D317+D318+D320+D321+D323+D324+D325</f>
        <v>745594</v>
      </c>
      <c r="E314" s="4"/>
      <c r="F314" s="24">
        <f>F316</f>
        <v>27975</v>
      </c>
      <c r="G314" s="24">
        <f>D314+F314</f>
        <v>773569</v>
      </c>
      <c r="H314" s="71"/>
      <c r="I314" s="46"/>
    </row>
    <row r="315" spans="1:9" s="20" customFormat="1" ht="67.5" customHeight="1" hidden="1">
      <c r="A315" s="459" t="s">
        <v>165</v>
      </c>
      <c r="B315" s="463" t="s">
        <v>166</v>
      </c>
      <c r="C315" s="4" t="s">
        <v>366</v>
      </c>
      <c r="D315" s="17">
        <v>339</v>
      </c>
      <c r="E315" s="4"/>
      <c r="F315" s="24"/>
      <c r="G315" s="19">
        <f>D315</f>
        <v>339</v>
      </c>
      <c r="H315" s="71"/>
      <c r="I315" s="46"/>
    </row>
    <row r="316" spans="1:9" s="20" customFormat="1" ht="64.5" customHeight="1" hidden="1">
      <c r="A316" s="459"/>
      <c r="B316" s="463"/>
      <c r="C316" s="4"/>
      <c r="D316" s="17"/>
      <c r="E316" s="4" t="s">
        <v>396</v>
      </c>
      <c r="F316" s="19">
        <v>27975</v>
      </c>
      <c r="G316" s="19">
        <f>F316</f>
        <v>27975</v>
      </c>
      <c r="H316" s="4"/>
      <c r="I316" s="46"/>
    </row>
    <row r="317" spans="1:9" s="20" customFormat="1" ht="45.75" customHeight="1" hidden="1">
      <c r="A317" s="18" t="s">
        <v>94</v>
      </c>
      <c r="B317" s="4" t="s">
        <v>95</v>
      </c>
      <c r="C317" s="4" t="s">
        <v>400</v>
      </c>
      <c r="D317" s="17">
        <v>527000</v>
      </c>
      <c r="E317" s="4"/>
      <c r="F317" s="19"/>
      <c r="G317" s="19">
        <f>D317</f>
        <v>527000</v>
      </c>
      <c r="H317" s="4"/>
      <c r="I317" s="46"/>
    </row>
    <row r="318" spans="1:9" s="20" customFormat="1" ht="47.25" hidden="1">
      <c r="A318" s="459" t="s">
        <v>77</v>
      </c>
      <c r="B318" s="463" t="s">
        <v>92</v>
      </c>
      <c r="C318" s="4" t="s">
        <v>337</v>
      </c>
      <c r="D318" s="17">
        <v>100929</v>
      </c>
      <c r="E318" s="4"/>
      <c r="F318" s="9"/>
      <c r="G318" s="19">
        <f aca="true" t="shared" si="17" ref="G318:G325">D318</f>
        <v>100929</v>
      </c>
      <c r="H318" s="4"/>
      <c r="I318" s="46"/>
    </row>
    <row r="319" spans="1:9" s="20" customFormat="1" ht="15.75" customHeight="1" hidden="1">
      <c r="A319" s="459"/>
      <c r="B319" s="463"/>
      <c r="C319" s="4"/>
      <c r="D319" s="17"/>
      <c r="E319" s="4"/>
      <c r="F319" s="19">
        <v>0</v>
      </c>
      <c r="G319" s="19">
        <f t="shared" si="17"/>
        <v>0</v>
      </c>
      <c r="H319" s="4"/>
      <c r="I319" s="46"/>
    </row>
    <row r="320" spans="1:9" s="20" customFormat="1" ht="47.25" hidden="1">
      <c r="A320" s="459"/>
      <c r="B320" s="463"/>
      <c r="C320" s="4" t="s">
        <v>371</v>
      </c>
      <c r="D320" s="17">
        <v>60000</v>
      </c>
      <c r="E320" s="4"/>
      <c r="F320" s="9"/>
      <c r="G320" s="19">
        <f t="shared" si="17"/>
        <v>60000</v>
      </c>
      <c r="H320" s="4"/>
      <c r="I320" s="46"/>
    </row>
    <row r="321" spans="1:9" s="20" customFormat="1" ht="63" hidden="1">
      <c r="A321" s="459"/>
      <c r="B321" s="463"/>
      <c r="C321" s="4" t="s">
        <v>338</v>
      </c>
      <c r="D321" s="17">
        <v>3500</v>
      </c>
      <c r="E321" s="4"/>
      <c r="F321" s="9"/>
      <c r="G321" s="19">
        <f t="shared" si="17"/>
        <v>3500</v>
      </c>
      <c r="H321" s="4"/>
      <c r="I321" s="46"/>
    </row>
    <row r="322" spans="1:9" s="20" customFormat="1" ht="24.75" customHeight="1" hidden="1">
      <c r="A322" s="459"/>
      <c r="B322" s="463"/>
      <c r="C322" s="4"/>
      <c r="D322" s="5"/>
      <c r="E322" s="4"/>
      <c r="F322" s="9"/>
      <c r="G322" s="19">
        <f t="shared" si="17"/>
        <v>0</v>
      </c>
      <c r="H322" s="4"/>
      <c r="I322" s="46"/>
    </row>
    <row r="323" spans="1:9" s="20" customFormat="1" ht="47.25" hidden="1">
      <c r="A323" s="459"/>
      <c r="B323" s="463"/>
      <c r="C323" s="4" t="s">
        <v>336</v>
      </c>
      <c r="D323" s="17">
        <v>19000</v>
      </c>
      <c r="E323" s="4"/>
      <c r="F323" s="9"/>
      <c r="G323" s="19">
        <f t="shared" si="17"/>
        <v>19000</v>
      </c>
      <c r="H323" s="4"/>
      <c r="I323" s="46"/>
    </row>
    <row r="324" spans="1:9" s="20" customFormat="1" ht="47.25" hidden="1">
      <c r="A324" s="459"/>
      <c r="B324" s="463"/>
      <c r="C324" s="4" t="s">
        <v>400</v>
      </c>
      <c r="D324" s="17">
        <v>32792</v>
      </c>
      <c r="E324" s="4"/>
      <c r="F324" s="9"/>
      <c r="G324" s="19">
        <f t="shared" si="17"/>
        <v>32792</v>
      </c>
      <c r="H324" s="4"/>
      <c r="I324" s="46"/>
    </row>
    <row r="325" spans="1:9" s="20" customFormat="1" ht="68.25" customHeight="1" hidden="1">
      <c r="A325" s="459"/>
      <c r="B325" s="463"/>
      <c r="C325" s="4" t="s">
        <v>366</v>
      </c>
      <c r="D325" s="17">
        <v>2034</v>
      </c>
      <c r="E325" s="4"/>
      <c r="F325" s="9"/>
      <c r="G325" s="19">
        <f t="shared" si="17"/>
        <v>2034</v>
      </c>
      <c r="H325" s="4"/>
      <c r="I325" s="46"/>
    </row>
    <row r="326" spans="1:11" s="34" customFormat="1" ht="15.75" hidden="1">
      <c r="A326" s="23"/>
      <c r="B326" s="23" t="s">
        <v>66</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460" t="s">
        <v>200</v>
      </c>
      <c r="B328" s="460"/>
      <c r="C328" s="66"/>
      <c r="D328" s="67"/>
      <c r="E328" s="54"/>
      <c r="F328" s="57" t="s">
        <v>201</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341</v>
      </c>
      <c r="D334" s="10">
        <f>D318+D307+D294+D280+D269+D258+D244</f>
        <v>803906</v>
      </c>
      <c r="F334" s="10"/>
    </row>
    <row r="335" spans="2:6" ht="15.75" hidden="1">
      <c r="B335" s="1" t="s">
        <v>342</v>
      </c>
      <c r="D335" s="10">
        <f>D321+D310+D298+D283+D272+D261+D247</f>
        <v>25756</v>
      </c>
      <c r="F335" s="10"/>
    </row>
    <row r="336" spans="2:6" ht="15.75" hidden="1">
      <c r="B336" s="1" t="s">
        <v>343</v>
      </c>
      <c r="C336" s="3"/>
      <c r="D336" s="10">
        <f>D323+D311+D299+D284+D274+D263+D250</f>
        <v>167225</v>
      </c>
      <c r="F336" s="10"/>
    </row>
    <row r="337" spans="2:6" ht="15.75" hidden="1">
      <c r="B337" s="1" t="s">
        <v>344</v>
      </c>
      <c r="D337" s="10">
        <f>D320+D309+D297+D282+D271+D260+D246</f>
        <v>496776</v>
      </c>
      <c r="F337" s="10"/>
    </row>
    <row r="338" spans="2:6" ht="15.75" hidden="1">
      <c r="B338" s="1" t="s">
        <v>345</v>
      </c>
      <c r="D338" s="10">
        <f>D325+D313+D301+D285+D275+D251+D315+D288+D229+D220+D187+D157+D143+D139+D137+D134+D131+D128+D109+D101++D100+D90+D79+D74+D13+D136+D33+D36+D42+D44+D50+D51+D53+D55+D56+D63+D65</f>
        <v>757108</v>
      </c>
      <c r="F338" s="10"/>
    </row>
    <row r="339" spans="2:6" ht="15.75" hidden="1">
      <c r="B339" s="1" t="s">
        <v>346</v>
      </c>
      <c r="D339" s="10">
        <f>D324+D312+D300+D281+D270+D262+D245</f>
        <v>247576</v>
      </c>
      <c r="F339" s="10"/>
    </row>
    <row r="340" ht="15.75" hidden="1">
      <c r="F340" s="10"/>
    </row>
    <row r="341" ht="15.75" hidden="1">
      <c r="F341" s="10"/>
    </row>
    <row r="342" spans="2:6" ht="15.75" hidden="1">
      <c r="B342" s="1" t="s">
        <v>349</v>
      </c>
      <c r="D342" s="10">
        <f>D151</f>
        <v>120711</v>
      </c>
      <c r="F342" s="10"/>
    </row>
    <row r="343" spans="2:6" ht="15.75" hidden="1">
      <c r="B343" s="1" t="s">
        <v>350</v>
      </c>
      <c r="D343" s="10">
        <f>D106+D180</f>
        <v>680000</v>
      </c>
      <c r="E343" s="1" t="s">
        <v>351</v>
      </c>
      <c r="F343" s="10">
        <f>F106</f>
        <v>24192</v>
      </c>
    </row>
    <row r="344" spans="2:6" ht="15.75" hidden="1">
      <c r="B344" s="1" t="s">
        <v>352</v>
      </c>
      <c r="D344" s="10">
        <f>D232</f>
        <v>33000</v>
      </c>
      <c r="F344" s="10"/>
    </row>
    <row r="345" spans="2:6" ht="15.75" hidden="1">
      <c r="B345" s="1" t="s">
        <v>354</v>
      </c>
      <c r="D345" s="10">
        <f>D26</f>
        <v>3348800</v>
      </c>
      <c r="F345" s="10"/>
    </row>
    <row r="346" spans="2:6" ht="15.75" hidden="1">
      <c r="B346" s="1" t="s">
        <v>357</v>
      </c>
      <c r="D346" s="10">
        <f>D14</f>
        <v>480000</v>
      </c>
      <c r="F346" s="10"/>
    </row>
    <row r="347" spans="2:6" ht="15.75" hidden="1">
      <c r="B347" s="1" t="s">
        <v>360</v>
      </c>
      <c r="D347" s="10">
        <f>D23</f>
        <v>304955</v>
      </c>
      <c r="F347" s="10"/>
    </row>
    <row r="348" spans="2:6" ht="15.75" hidden="1">
      <c r="B348" s="1" t="s">
        <v>361</v>
      </c>
      <c r="D348" s="10">
        <f>D24</f>
        <v>209200</v>
      </c>
      <c r="F348" s="10">
        <f>F16</f>
        <v>415760</v>
      </c>
    </row>
    <row r="349" spans="2:6" ht="15.75" hidden="1">
      <c r="B349" s="1" t="s">
        <v>362</v>
      </c>
      <c r="D349" s="10">
        <f>D206</f>
        <v>2300000</v>
      </c>
      <c r="F349" s="10"/>
    </row>
    <row r="350" spans="2:8" ht="15.75" hidden="1">
      <c r="B350" s="1" t="s">
        <v>363</v>
      </c>
      <c r="D350" s="10">
        <f>D152</f>
        <v>108000</v>
      </c>
      <c r="E350" s="7"/>
      <c r="F350" s="10"/>
      <c r="H350" s="10"/>
    </row>
    <row r="351" spans="2:6" ht="15.75" hidden="1">
      <c r="B351" s="1" t="s">
        <v>368</v>
      </c>
      <c r="D351" s="10">
        <f>D190</f>
        <v>24055</v>
      </c>
      <c r="F351" s="1">
        <f>F190</f>
        <v>1550464</v>
      </c>
    </row>
    <row r="352" spans="2:7" ht="15.75" hidden="1">
      <c r="B352" s="1" t="s">
        <v>369</v>
      </c>
      <c r="C352" s="43"/>
      <c r="D352" s="44"/>
      <c r="E352" s="43"/>
      <c r="F352" s="10">
        <f>F191</f>
        <v>100487</v>
      </c>
      <c r="G352" s="43"/>
    </row>
    <row r="353" spans="2:7" ht="15.75" hidden="1">
      <c r="B353" s="1" t="s">
        <v>370</v>
      </c>
      <c r="C353" s="43"/>
      <c r="D353" s="10">
        <f>D192</f>
        <v>2910648</v>
      </c>
      <c r="E353" s="43"/>
      <c r="F353" s="44"/>
      <c r="G353" s="43"/>
    </row>
    <row r="354" spans="2:7" ht="15.75" hidden="1">
      <c r="B354" s="1" t="s">
        <v>364</v>
      </c>
      <c r="C354" s="43"/>
      <c r="D354" s="43"/>
      <c r="E354" s="43"/>
      <c r="F354" s="10">
        <f>F306+F293+F21</f>
        <v>300000</v>
      </c>
      <c r="G354" s="44"/>
    </row>
    <row r="355" ht="15.75" hidden="1"/>
    <row r="356" ht="15.75" hidden="1"/>
    <row r="357" spans="2:6" ht="15.75" hidden="1">
      <c r="B357" s="1" t="s">
        <v>372</v>
      </c>
      <c r="D357" s="10">
        <f>D324+D317+D312+D305+D300+D290+D281+D278+D270+D266+D262+D254+D245+D241+D179+D166+D162+D159+D158</f>
        <v>102708451</v>
      </c>
      <c r="F357" s="10">
        <f>F305+F304+F279+F278+F267+F266+F254+F235+F179+F176+F174+F169+F166+F165+F162</f>
        <v>76723720</v>
      </c>
    </row>
    <row r="358" ht="15.75" hidden="1"/>
    <row r="359" spans="2:6" ht="15.75" hidden="1">
      <c r="B359" s="1" t="s">
        <v>373</v>
      </c>
      <c r="D359" s="10">
        <f>D34+D37+D43+D54</f>
        <v>11151843</v>
      </c>
      <c r="F359" s="10">
        <f>F34+F37+F54+F67</f>
        <v>15404849</v>
      </c>
    </row>
    <row r="360" spans="2:4" ht="15.75" hidden="1">
      <c r="B360" s="1" t="s">
        <v>374</v>
      </c>
      <c r="D360" s="10">
        <f>D40+D58</f>
        <v>4900252</v>
      </c>
    </row>
    <row r="361" spans="2:4" ht="15.75" hidden="1">
      <c r="B361" s="1" t="s">
        <v>375</v>
      </c>
      <c r="D361" s="10">
        <f>D46</f>
        <v>29827597</v>
      </c>
    </row>
    <row r="362" spans="2:6" ht="15.75" hidden="1">
      <c r="B362" s="1" t="s">
        <v>376</v>
      </c>
      <c r="D362" s="10">
        <f>D59+D60+D61+D66</f>
        <v>1199500</v>
      </c>
      <c r="F362" s="10">
        <f>F66+F69</f>
        <v>1108725</v>
      </c>
    </row>
    <row r="363" spans="2:6" ht="15.75" hidden="1">
      <c r="B363" s="1" t="s">
        <v>377</v>
      </c>
      <c r="D363" s="10">
        <f>D57+D71+D72</f>
        <v>2578544</v>
      </c>
      <c r="F363" s="1">
        <f>F71</f>
        <v>31358</v>
      </c>
    </row>
    <row r="364" ht="15.75" hidden="1"/>
    <row r="365" ht="15.75" hidden="1"/>
    <row r="366" spans="2:6" ht="15.75" hidden="1">
      <c r="B366" s="1" t="s">
        <v>378</v>
      </c>
      <c r="D366" s="10">
        <f>D75+D80+D83+D86+D89</f>
        <v>0</v>
      </c>
      <c r="F366" s="10">
        <f>F75+F80+F83+F86+F89+F94+F236</f>
        <v>22518298</v>
      </c>
    </row>
    <row r="367" spans="2:6" ht="15.75" hidden="1">
      <c r="B367" s="1" t="s">
        <v>379</v>
      </c>
      <c r="D367" s="10">
        <f>D127+D129+D132+D135+D141</f>
        <v>5504638</v>
      </c>
      <c r="F367" s="10">
        <f>F127+F129+F132+F135+F141+F145</f>
        <v>4137302</v>
      </c>
    </row>
    <row r="368" spans="2:4" ht="15.75" hidden="1">
      <c r="B368" s="1" t="s">
        <v>380</v>
      </c>
      <c r="D368" s="10">
        <f>D138</f>
        <v>1114809</v>
      </c>
    </row>
    <row r="369" spans="2:6" ht="15.75" hidden="1">
      <c r="B369" s="1" t="s">
        <v>381</v>
      </c>
      <c r="D369" s="1">
        <f>D140</f>
        <v>1693819</v>
      </c>
      <c r="F369" s="1">
        <f>F140</f>
        <v>42020</v>
      </c>
    </row>
    <row r="370" ht="15.75" hidden="1"/>
    <row r="371" spans="2:6" ht="15.75" hidden="1">
      <c r="B371" s="1" t="s">
        <v>382</v>
      </c>
      <c r="D371" s="10">
        <f>D105+D110+D112+D117+D119+D120+D103</f>
        <v>13778297</v>
      </c>
      <c r="F371" s="10">
        <f>F105+F115</f>
        <v>4271341</v>
      </c>
    </row>
    <row r="372" spans="2:6" ht="15.75" hidden="1">
      <c r="B372" s="1" t="s">
        <v>383</v>
      </c>
      <c r="F372" s="10">
        <f>F114</f>
        <v>0</v>
      </c>
    </row>
    <row r="373" spans="4:6" ht="15.75" hidden="1">
      <c r="D373" s="10"/>
      <c r="F373" s="10"/>
    </row>
    <row r="374" ht="15.75" hidden="1">
      <c r="F374" s="10"/>
    </row>
    <row r="376" spans="2:6" ht="15.75">
      <c r="B376" s="1" t="s">
        <v>384</v>
      </c>
      <c r="D376" s="10">
        <f>D207+D213</f>
        <v>10122723</v>
      </c>
      <c r="F376" s="10">
        <f>F210</f>
        <v>66000</v>
      </c>
    </row>
    <row r="377" spans="2:6" ht="15.75">
      <c r="B377" s="1" t="s">
        <v>385</v>
      </c>
      <c r="D377" s="10">
        <f>D214</f>
        <v>2425000</v>
      </c>
      <c r="F377" s="10">
        <f>F211+F213</f>
        <v>2053987</v>
      </c>
    </row>
    <row r="378" spans="2:6" ht="15.75">
      <c r="B378" s="1" t="s">
        <v>386</v>
      </c>
      <c r="D378" s="10">
        <f>D215</f>
        <v>0</v>
      </c>
      <c r="F378" s="10">
        <f>F215</f>
        <v>0</v>
      </c>
    </row>
    <row r="380" spans="2:6" ht="15.75">
      <c r="B380" s="1" t="s">
        <v>387</v>
      </c>
      <c r="F380" s="10">
        <f>F201+F178+F70</f>
        <v>16840000</v>
      </c>
    </row>
  </sheetData>
  <sheetProtection/>
  <mergeCells count="127">
    <mergeCell ref="A23:A30"/>
    <mergeCell ref="B23:B30"/>
    <mergeCell ref="B12:B13"/>
    <mergeCell ref="A14:A15"/>
    <mergeCell ref="B14:B15"/>
    <mergeCell ref="B37:B42"/>
    <mergeCell ref="A16:A19"/>
    <mergeCell ref="B16:B19"/>
    <mergeCell ref="A5:G5"/>
    <mergeCell ref="B8:B9"/>
    <mergeCell ref="C8:D8"/>
    <mergeCell ref="E8:F8"/>
    <mergeCell ref="A12:A13"/>
    <mergeCell ref="C16:C19"/>
    <mergeCell ref="B54:B55"/>
    <mergeCell ref="A46:A50"/>
    <mergeCell ref="A34:A36"/>
    <mergeCell ref="B34:B36"/>
    <mergeCell ref="A37:A42"/>
    <mergeCell ref="B46:B50"/>
    <mergeCell ref="A52:A53"/>
    <mergeCell ref="B52:B53"/>
    <mergeCell ref="A43:A45"/>
    <mergeCell ref="B43:B45"/>
    <mergeCell ref="B83:B85"/>
    <mergeCell ref="A83:A85"/>
    <mergeCell ref="A65:A66"/>
    <mergeCell ref="B65:B66"/>
    <mergeCell ref="A67:A69"/>
    <mergeCell ref="B67:B69"/>
    <mergeCell ref="A61:A63"/>
    <mergeCell ref="B61:B63"/>
    <mergeCell ref="A54:A55"/>
    <mergeCell ref="B116:B118"/>
    <mergeCell ref="A117:A118"/>
    <mergeCell ref="A98:A100"/>
    <mergeCell ref="B98:B100"/>
    <mergeCell ref="A105:A109"/>
    <mergeCell ref="B105:B109"/>
    <mergeCell ref="A89:A90"/>
    <mergeCell ref="A101:A102"/>
    <mergeCell ref="B101:B102"/>
    <mergeCell ref="B89:B90"/>
    <mergeCell ref="A95:A96"/>
    <mergeCell ref="B95:B96"/>
    <mergeCell ref="C71:C72"/>
    <mergeCell ref="A75:A79"/>
    <mergeCell ref="B75:B79"/>
    <mergeCell ref="A80:A82"/>
    <mergeCell ref="B80:B82"/>
    <mergeCell ref="A86:A88"/>
    <mergeCell ref="B86:B88"/>
    <mergeCell ref="A129:A131"/>
    <mergeCell ref="B129:B131"/>
    <mergeCell ref="A110:A111"/>
    <mergeCell ref="B110:B111"/>
    <mergeCell ref="A112:A113"/>
    <mergeCell ref="B112:B113"/>
    <mergeCell ref="A127:A128"/>
    <mergeCell ref="B127:B128"/>
    <mergeCell ref="A156:A157"/>
    <mergeCell ref="B156:B157"/>
    <mergeCell ref="A161:A163"/>
    <mergeCell ref="B161:B163"/>
    <mergeCell ref="A114:A115"/>
    <mergeCell ref="B114:B115"/>
    <mergeCell ref="A132:A134"/>
    <mergeCell ref="B132:B134"/>
    <mergeCell ref="A135:A137"/>
    <mergeCell ref="B135:B137"/>
    <mergeCell ref="A138:A139"/>
    <mergeCell ref="B138:B139"/>
    <mergeCell ref="A140:A144"/>
    <mergeCell ref="B140:B144"/>
    <mergeCell ref="A169:A170"/>
    <mergeCell ref="B169:B170"/>
    <mergeCell ref="A166:A167"/>
    <mergeCell ref="B166:B167"/>
    <mergeCell ref="A159:A160"/>
    <mergeCell ref="B159:B160"/>
    <mergeCell ref="A208:A209"/>
    <mergeCell ref="B208:B209"/>
    <mergeCell ref="A171:A173"/>
    <mergeCell ref="B171:B173"/>
    <mergeCell ref="A176:A177"/>
    <mergeCell ref="B176:B177"/>
    <mergeCell ref="A191:A193"/>
    <mergeCell ref="B191:B193"/>
    <mergeCell ref="A179:A180"/>
    <mergeCell ref="B179:B180"/>
    <mergeCell ref="C210:C212"/>
    <mergeCell ref="D211:D212"/>
    <mergeCell ref="A214:A215"/>
    <mergeCell ref="B214:B215"/>
    <mergeCell ref="A269:A275"/>
    <mergeCell ref="B269:B275"/>
    <mergeCell ref="A258:A263"/>
    <mergeCell ref="B258:B263"/>
    <mergeCell ref="A219:A220"/>
    <mergeCell ref="B219:B220"/>
    <mergeCell ref="A315:A316"/>
    <mergeCell ref="B315:B316"/>
    <mergeCell ref="A290:A291"/>
    <mergeCell ref="B290:B291"/>
    <mergeCell ref="B288:B289"/>
    <mergeCell ref="A210:A212"/>
    <mergeCell ref="B210:B212"/>
    <mergeCell ref="A254:A255"/>
    <mergeCell ref="B254:B255"/>
    <mergeCell ref="A244:A251"/>
    <mergeCell ref="B239:B240"/>
    <mergeCell ref="B235:B236"/>
    <mergeCell ref="A239:A240"/>
    <mergeCell ref="C230:C232"/>
    <mergeCell ref="A235:A236"/>
    <mergeCell ref="B280:B285"/>
    <mergeCell ref="B244:B251"/>
    <mergeCell ref="A288:A289"/>
    <mergeCell ref="A280:A285"/>
    <mergeCell ref="A328:B328"/>
    <mergeCell ref="H8:H9"/>
    <mergeCell ref="A294:A301"/>
    <mergeCell ref="B294:B301"/>
    <mergeCell ref="A307:A313"/>
    <mergeCell ref="B307:B313"/>
    <mergeCell ref="A318:A325"/>
    <mergeCell ref="B318:B325"/>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421875" style="1" customWidth="1"/>
    <col min="2" max="2" width="35.8515625" style="1" customWidth="1"/>
    <col min="3" max="3" width="62.8515625" style="1" customWidth="1"/>
    <col min="4" max="4" width="12.57421875" style="1" customWidth="1"/>
    <col min="5" max="5" width="62.57421875" style="1" customWidth="1"/>
    <col min="6" max="6" width="13.421875" style="1" customWidth="1"/>
    <col min="7" max="7" width="15.421875" style="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197</v>
      </c>
      <c r="G1" s="13"/>
    </row>
    <row r="2" spans="5:7" ht="28.5" customHeight="1">
      <c r="E2" s="14" t="s">
        <v>198</v>
      </c>
      <c r="G2" s="13"/>
    </row>
    <row r="3" spans="3:7" ht="39.75" customHeight="1">
      <c r="C3" s="8"/>
      <c r="E3" s="14" t="s">
        <v>307</v>
      </c>
      <c r="G3" s="13"/>
    </row>
    <row r="5" spans="1:10" s="6" customFormat="1" ht="28.5" customHeight="1">
      <c r="A5" s="471" t="s">
        <v>335</v>
      </c>
      <c r="B5" s="471"/>
      <c r="C5" s="471"/>
      <c r="D5" s="471"/>
      <c r="E5" s="471"/>
      <c r="F5" s="471"/>
      <c r="G5" s="471"/>
      <c r="H5" s="49"/>
      <c r="J5" s="50"/>
    </row>
    <row r="6" spans="1:4" ht="5.25" customHeight="1">
      <c r="A6" s="63"/>
      <c r="B6" s="63"/>
      <c r="C6" s="63"/>
      <c r="D6" s="63"/>
    </row>
    <row r="7" spans="1:8" ht="16.5" customHeight="1">
      <c r="A7" s="63"/>
      <c r="B7" s="63"/>
      <c r="C7" s="63"/>
      <c r="D7" s="63"/>
      <c r="E7" s="63"/>
      <c r="F7" s="63"/>
      <c r="G7" s="68" t="s">
        <v>65</v>
      </c>
      <c r="H7" s="63"/>
    </row>
    <row r="8" spans="1:8" s="2" customFormat="1" ht="45.75" customHeight="1">
      <c r="A8" s="64" t="s">
        <v>34</v>
      </c>
      <c r="B8" s="463" t="s">
        <v>36</v>
      </c>
      <c r="C8" s="463" t="s">
        <v>60</v>
      </c>
      <c r="D8" s="463"/>
      <c r="E8" s="463" t="s">
        <v>63</v>
      </c>
      <c r="F8" s="463"/>
      <c r="G8" s="4" t="s">
        <v>64</v>
      </c>
      <c r="H8" s="20"/>
    </row>
    <row r="9" spans="1:8" s="2" customFormat="1" ht="57.75" customHeight="1">
      <c r="A9" s="64" t="s">
        <v>35</v>
      </c>
      <c r="B9" s="463"/>
      <c r="C9" s="4" t="s">
        <v>61</v>
      </c>
      <c r="D9" s="4" t="s">
        <v>62</v>
      </c>
      <c r="E9" s="4" t="s">
        <v>61</v>
      </c>
      <c r="F9" s="4" t="s">
        <v>62</v>
      </c>
      <c r="G9" s="4" t="s">
        <v>62</v>
      </c>
      <c r="H9" s="20"/>
    </row>
    <row r="10" spans="1:8" s="2" customFormat="1" ht="16.5" customHeight="1">
      <c r="A10" s="4">
        <v>1</v>
      </c>
      <c r="B10" s="4">
        <v>2</v>
      </c>
      <c r="C10" s="4">
        <v>3</v>
      </c>
      <c r="D10" s="4">
        <v>4</v>
      </c>
      <c r="E10" s="4">
        <v>5</v>
      </c>
      <c r="F10" s="4">
        <v>6</v>
      </c>
      <c r="G10" s="4">
        <v>7</v>
      </c>
      <c r="H10" s="20"/>
    </row>
    <row r="11" spans="1:9" s="2" customFormat="1" ht="31.5">
      <c r="A11" s="22" t="s">
        <v>133</v>
      </c>
      <c r="B11" s="23" t="s">
        <v>38</v>
      </c>
      <c r="C11" s="4"/>
      <c r="D11" s="24">
        <f>D13+D14+D23+D24+D26+D28+D29+D30</f>
        <v>0</v>
      </c>
      <c r="E11" s="4"/>
      <c r="F11" s="28">
        <f>F12+F15+F16+F20+F21+F23+F24+F26+F28+F29+F30</f>
        <v>0</v>
      </c>
      <c r="G11" s="28">
        <f>D11+F11</f>
        <v>0</v>
      </c>
      <c r="H11" s="47"/>
      <c r="I11" s="46"/>
    </row>
    <row r="12" spans="1:9" s="20" customFormat="1" ht="47.25">
      <c r="A12" s="459" t="s">
        <v>165</v>
      </c>
      <c r="B12" s="463" t="s">
        <v>166</v>
      </c>
      <c r="C12" s="4"/>
      <c r="D12" s="17"/>
      <c r="E12" s="4" t="s">
        <v>313</v>
      </c>
      <c r="F12" s="19"/>
      <c r="G12" s="19">
        <f>D12+F12</f>
        <v>0</v>
      </c>
      <c r="I12" s="46"/>
    </row>
    <row r="13" spans="1:9" s="20" customFormat="1" ht="68.25" customHeight="1">
      <c r="A13" s="459"/>
      <c r="B13" s="463"/>
      <c r="C13" s="61" t="s">
        <v>282</v>
      </c>
      <c r="D13" s="17"/>
      <c r="E13" s="4"/>
      <c r="F13" s="19"/>
      <c r="G13" s="19">
        <f aca="true" t="shared" si="0" ref="G13:G25">D13+F13</f>
        <v>0</v>
      </c>
      <c r="I13" s="46"/>
    </row>
    <row r="14" spans="1:9" s="20" customFormat="1" ht="51" customHeight="1">
      <c r="A14" s="459" t="s">
        <v>78</v>
      </c>
      <c r="B14" s="463" t="s">
        <v>104</v>
      </c>
      <c r="C14" s="4" t="s">
        <v>316</v>
      </c>
      <c r="D14" s="17"/>
      <c r="E14" s="4"/>
      <c r="F14" s="9"/>
      <c r="G14" s="19">
        <f t="shared" si="0"/>
        <v>0</v>
      </c>
      <c r="I14" s="46"/>
    </row>
    <row r="15" spans="1:9" s="20" customFormat="1" ht="31.5">
      <c r="A15" s="459"/>
      <c r="B15" s="463"/>
      <c r="C15" s="4"/>
      <c r="D15" s="17"/>
      <c r="E15" s="35" t="s">
        <v>315</v>
      </c>
      <c r="F15" s="36"/>
      <c r="G15" s="59">
        <f t="shared" si="0"/>
        <v>0</v>
      </c>
      <c r="I15" s="46"/>
    </row>
    <row r="16" spans="1:9" s="20" customFormat="1" ht="63">
      <c r="A16" s="459" t="s">
        <v>84</v>
      </c>
      <c r="B16" s="463" t="s">
        <v>85</v>
      </c>
      <c r="C16" s="463"/>
      <c r="D16" s="17"/>
      <c r="E16" s="4" t="s">
        <v>314</v>
      </c>
      <c r="F16" s="19"/>
      <c r="G16" s="19">
        <f t="shared" si="0"/>
        <v>0</v>
      </c>
      <c r="I16" s="46"/>
    </row>
    <row r="17" spans="1:9" s="20" customFormat="1" ht="44.25" customHeight="1" hidden="1">
      <c r="A17" s="459"/>
      <c r="B17" s="463"/>
      <c r="C17" s="463"/>
      <c r="D17" s="5"/>
      <c r="E17" s="4" t="s">
        <v>128</v>
      </c>
      <c r="F17" s="9"/>
      <c r="G17" s="19">
        <f t="shared" si="0"/>
        <v>0</v>
      </c>
      <c r="I17" s="46"/>
    </row>
    <row r="18" spans="1:9" s="20" customFormat="1" ht="47.25" customHeight="1" hidden="1">
      <c r="A18" s="459"/>
      <c r="B18" s="463"/>
      <c r="C18" s="463"/>
      <c r="D18" s="5"/>
      <c r="E18" s="4" t="s">
        <v>127</v>
      </c>
      <c r="F18" s="19">
        <v>0</v>
      </c>
      <c r="G18" s="19">
        <f t="shared" si="0"/>
        <v>0</v>
      </c>
      <c r="I18" s="46"/>
    </row>
    <row r="19" spans="1:9" s="20" customFormat="1" ht="15.75" hidden="1">
      <c r="A19" s="459"/>
      <c r="B19" s="463"/>
      <c r="C19" s="463"/>
      <c r="D19" s="5"/>
      <c r="E19" s="4"/>
      <c r="F19" s="19">
        <v>0</v>
      </c>
      <c r="G19" s="19">
        <f t="shared" si="0"/>
        <v>0</v>
      </c>
      <c r="I19" s="46"/>
    </row>
    <row r="20" spans="1:9" s="20" customFormat="1" ht="222" customHeight="1">
      <c r="A20" s="18" t="s">
        <v>211</v>
      </c>
      <c r="B20" s="40" t="s">
        <v>212</v>
      </c>
      <c r="C20" s="4"/>
      <c r="D20" s="5"/>
      <c r="E20" s="4" t="s">
        <v>254</v>
      </c>
      <c r="F20" s="19"/>
      <c r="G20" s="19">
        <f t="shared" si="0"/>
        <v>0</v>
      </c>
      <c r="I20" s="46"/>
    </row>
    <row r="21" spans="1:9" s="20" customFormat="1" ht="46.5" customHeight="1">
      <c r="A21" s="26">
        <v>240900</v>
      </c>
      <c r="B21" s="4" t="s">
        <v>105</v>
      </c>
      <c r="C21" s="16"/>
      <c r="D21" s="15"/>
      <c r="E21" s="4" t="s">
        <v>317</v>
      </c>
      <c r="F21" s="19"/>
      <c r="G21" s="19">
        <f t="shared" si="0"/>
        <v>0</v>
      </c>
      <c r="I21" s="46"/>
    </row>
    <row r="22" spans="1:9" s="20" customFormat="1" ht="75" customHeight="1" hidden="1">
      <c r="A22" s="26">
        <v>250203</v>
      </c>
      <c r="B22" s="4" t="s">
        <v>192</v>
      </c>
      <c r="C22" s="4"/>
      <c r="D22" s="21">
        <v>0</v>
      </c>
      <c r="E22" s="4"/>
      <c r="F22" s="9"/>
      <c r="G22" s="19">
        <f t="shared" si="0"/>
        <v>0</v>
      </c>
      <c r="I22" s="46"/>
    </row>
    <row r="23" spans="1:9" s="20" customFormat="1" ht="94.5">
      <c r="A23" s="469">
        <v>250404</v>
      </c>
      <c r="B23" s="463" t="s">
        <v>92</v>
      </c>
      <c r="C23" s="4" t="s">
        <v>298</v>
      </c>
      <c r="D23" s="21">
        <v>0</v>
      </c>
      <c r="E23" s="9"/>
      <c r="F23" s="12"/>
      <c r="G23" s="19">
        <f t="shared" si="0"/>
        <v>0</v>
      </c>
      <c r="I23" s="46"/>
    </row>
    <row r="24" spans="1:9" s="20" customFormat="1" ht="63">
      <c r="A24" s="469"/>
      <c r="B24" s="463"/>
      <c r="C24" s="4" t="s">
        <v>314</v>
      </c>
      <c r="D24" s="17">
        <v>0</v>
      </c>
      <c r="E24" s="4"/>
      <c r="F24" s="19">
        <v>0</v>
      </c>
      <c r="G24" s="19">
        <f t="shared" si="0"/>
        <v>0</v>
      </c>
      <c r="I24" s="46"/>
    </row>
    <row r="25" spans="1:9" s="20" customFormat="1" ht="32.25" customHeight="1" hidden="1">
      <c r="A25" s="469"/>
      <c r="B25" s="463"/>
      <c r="C25" s="4" t="s">
        <v>129</v>
      </c>
      <c r="D25" s="17">
        <v>120000</v>
      </c>
      <c r="E25" s="4" t="s">
        <v>129</v>
      </c>
      <c r="F25" s="19">
        <v>0</v>
      </c>
      <c r="G25" s="19">
        <f t="shared" si="0"/>
        <v>120000</v>
      </c>
      <c r="I25" s="46"/>
    </row>
    <row r="26" spans="1:9" s="20" customFormat="1" ht="65.25" customHeight="1">
      <c r="A26" s="469"/>
      <c r="B26" s="463"/>
      <c r="C26" s="4" t="s">
        <v>318</v>
      </c>
      <c r="D26" s="17">
        <v>0</v>
      </c>
      <c r="E26" s="4"/>
      <c r="F26" s="19">
        <v>0</v>
      </c>
      <c r="G26" s="19">
        <f aca="true" t="shared" si="1" ref="G26:G31">D26+F26</f>
        <v>0</v>
      </c>
      <c r="I26" s="46"/>
    </row>
    <row r="27" spans="1:9" s="20" customFormat="1" ht="38.25" customHeight="1" hidden="1">
      <c r="A27" s="469"/>
      <c r="B27" s="463"/>
      <c r="C27" s="4" t="s">
        <v>196</v>
      </c>
      <c r="D27" s="17">
        <v>0</v>
      </c>
      <c r="E27" s="4"/>
      <c r="F27" s="19"/>
      <c r="G27" s="19">
        <f t="shared" si="1"/>
        <v>0</v>
      </c>
      <c r="I27" s="46"/>
    </row>
    <row r="28" spans="1:9" s="20" customFormat="1" ht="46.5" customHeight="1">
      <c r="A28" s="469"/>
      <c r="B28" s="463"/>
      <c r="C28" s="35" t="s">
        <v>315</v>
      </c>
      <c r="D28" s="38">
        <v>0</v>
      </c>
      <c r="E28" s="35"/>
      <c r="F28" s="36"/>
      <c r="G28" s="59">
        <f t="shared" si="1"/>
        <v>0</v>
      </c>
      <c r="I28" s="46"/>
    </row>
    <row r="29" spans="1:9" s="20" customFormat="1" ht="62.25" customHeight="1">
      <c r="A29" s="469"/>
      <c r="B29" s="463"/>
      <c r="C29" s="4" t="s">
        <v>312</v>
      </c>
      <c r="D29" s="17"/>
      <c r="E29" s="35"/>
      <c r="F29" s="36"/>
      <c r="G29" s="19">
        <f t="shared" si="1"/>
        <v>0</v>
      </c>
      <c r="I29" s="46"/>
    </row>
    <row r="30" spans="1:9" s="20" customFormat="1" ht="63">
      <c r="A30" s="469"/>
      <c r="B30" s="463"/>
      <c r="C30" s="4" t="s">
        <v>254</v>
      </c>
      <c r="D30" s="17"/>
      <c r="E30" s="4"/>
      <c r="F30" s="19"/>
      <c r="G30" s="19">
        <f t="shared" si="1"/>
        <v>0</v>
      </c>
      <c r="I30" s="46"/>
    </row>
    <row r="31" spans="1:9" s="20" customFormat="1" ht="47.25">
      <c r="A31" s="22" t="s">
        <v>141</v>
      </c>
      <c r="B31" s="23" t="s">
        <v>49</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165</v>
      </c>
      <c r="B32" s="4" t="s">
        <v>166</v>
      </c>
      <c r="C32" s="4" t="s">
        <v>190</v>
      </c>
      <c r="D32" s="17"/>
      <c r="E32" s="4"/>
      <c r="F32" s="19"/>
      <c r="G32" s="9">
        <v>0</v>
      </c>
      <c r="I32" s="46"/>
    </row>
    <row r="33" spans="1:9" s="20" customFormat="1" ht="66" customHeight="1">
      <c r="A33" s="18" t="s">
        <v>165</v>
      </c>
      <c r="B33" s="4" t="s">
        <v>166</v>
      </c>
      <c r="C33" s="58" t="s">
        <v>282</v>
      </c>
      <c r="D33" s="17">
        <v>0</v>
      </c>
      <c r="E33" s="4"/>
      <c r="F33" s="19"/>
      <c r="G33" s="19">
        <f>D33+F33</f>
        <v>0</v>
      </c>
      <c r="I33" s="46"/>
    </row>
    <row r="34" spans="1:9" s="20" customFormat="1" ht="33" customHeight="1">
      <c r="A34" s="459" t="s">
        <v>67</v>
      </c>
      <c r="B34" s="463" t="s">
        <v>107</v>
      </c>
      <c r="C34" s="58" t="s">
        <v>274</v>
      </c>
      <c r="D34" s="17">
        <v>0</v>
      </c>
      <c r="E34" s="4" t="s">
        <v>319</v>
      </c>
      <c r="F34" s="19">
        <v>0</v>
      </c>
      <c r="G34" s="19">
        <f>D34+F34</f>
        <v>0</v>
      </c>
      <c r="H34" s="47"/>
      <c r="I34" s="46"/>
    </row>
    <row r="35" spans="1:9" s="20" customFormat="1" ht="47.25">
      <c r="A35" s="459"/>
      <c r="B35" s="463"/>
      <c r="C35" s="35" t="s">
        <v>264</v>
      </c>
      <c r="D35" s="38">
        <v>0</v>
      </c>
      <c r="E35" s="35" t="s">
        <v>264</v>
      </c>
      <c r="F35" s="36">
        <v>0</v>
      </c>
      <c r="G35" s="19">
        <f>D35+F35</f>
        <v>0</v>
      </c>
      <c r="I35" s="46"/>
    </row>
    <row r="36" spans="1:9" s="20" customFormat="1" ht="71.25" customHeight="1">
      <c r="A36" s="459"/>
      <c r="B36" s="463"/>
      <c r="C36" s="58" t="s">
        <v>282</v>
      </c>
      <c r="D36" s="17">
        <v>0</v>
      </c>
      <c r="E36" s="35"/>
      <c r="F36" s="36"/>
      <c r="G36" s="19">
        <f>D36+F36</f>
        <v>0</v>
      </c>
      <c r="I36" s="46"/>
    </row>
    <row r="37" spans="1:9" s="20" customFormat="1" ht="35.25" customHeight="1">
      <c r="A37" s="459" t="s">
        <v>68</v>
      </c>
      <c r="B37" s="459" t="s">
        <v>108</v>
      </c>
      <c r="C37" s="58" t="s">
        <v>274</v>
      </c>
      <c r="D37" s="17">
        <v>0</v>
      </c>
      <c r="E37" s="4" t="s">
        <v>319</v>
      </c>
      <c r="F37" s="19">
        <v>0</v>
      </c>
      <c r="G37" s="19">
        <f>D37+F37</f>
        <v>0</v>
      </c>
      <c r="H37" s="47"/>
      <c r="I37" s="46"/>
    </row>
    <row r="38" spans="1:9" s="20" customFormat="1" ht="32.25" customHeight="1" hidden="1">
      <c r="A38" s="459"/>
      <c r="B38" s="459"/>
      <c r="C38" s="58" t="s">
        <v>227</v>
      </c>
      <c r="D38" s="17"/>
      <c r="E38" s="4" t="s">
        <v>227</v>
      </c>
      <c r="F38" s="19"/>
      <c r="G38" s="19">
        <f aca="true" t="shared" si="2" ref="G38:G48">D38+F38</f>
        <v>0</v>
      </c>
      <c r="I38" s="46"/>
    </row>
    <row r="39" spans="1:9" s="20" customFormat="1" ht="66" customHeight="1" hidden="1">
      <c r="A39" s="459"/>
      <c r="B39" s="459"/>
      <c r="C39" s="58" t="s">
        <v>227</v>
      </c>
      <c r="D39" s="17"/>
      <c r="E39" s="4" t="s">
        <v>227</v>
      </c>
      <c r="F39" s="19"/>
      <c r="G39" s="19">
        <f t="shared" si="2"/>
        <v>0</v>
      </c>
      <c r="I39" s="46"/>
    </row>
    <row r="40" spans="1:9" s="20" customFormat="1" ht="35.25" customHeight="1">
      <c r="A40" s="459"/>
      <c r="B40" s="459"/>
      <c r="C40" s="58" t="s">
        <v>279</v>
      </c>
      <c r="D40" s="17">
        <v>0</v>
      </c>
      <c r="E40" s="4"/>
      <c r="F40" s="19"/>
      <c r="G40" s="19">
        <f t="shared" si="2"/>
        <v>0</v>
      </c>
      <c r="I40" s="46"/>
    </row>
    <row r="41" spans="1:9" s="20" customFormat="1" ht="47.25">
      <c r="A41" s="459"/>
      <c r="B41" s="459"/>
      <c r="C41" s="35" t="s">
        <v>264</v>
      </c>
      <c r="D41" s="38">
        <v>0</v>
      </c>
      <c r="E41" s="35" t="s">
        <v>264</v>
      </c>
      <c r="F41" s="36">
        <v>0</v>
      </c>
      <c r="G41" s="19">
        <f t="shared" si="2"/>
        <v>0</v>
      </c>
      <c r="I41" s="46"/>
    </row>
    <row r="42" spans="1:9" s="20" customFormat="1" ht="66" customHeight="1">
      <c r="A42" s="459"/>
      <c r="B42" s="459"/>
      <c r="C42" s="58" t="s">
        <v>282</v>
      </c>
      <c r="D42" s="17">
        <v>0</v>
      </c>
      <c r="E42" s="35"/>
      <c r="F42" s="36"/>
      <c r="G42" s="19">
        <f t="shared" si="2"/>
        <v>0</v>
      </c>
      <c r="I42" s="46"/>
    </row>
    <row r="43" spans="1:9" s="20" customFormat="1" ht="35.25" customHeight="1">
      <c r="A43" s="459" t="s">
        <v>69</v>
      </c>
      <c r="B43" s="463" t="s">
        <v>109</v>
      </c>
      <c r="C43" s="58" t="s">
        <v>274</v>
      </c>
      <c r="D43" s="17">
        <v>0</v>
      </c>
      <c r="E43" s="4"/>
      <c r="F43" s="19"/>
      <c r="G43" s="19">
        <f t="shared" si="2"/>
        <v>0</v>
      </c>
      <c r="I43" s="46"/>
    </row>
    <row r="44" spans="1:9" s="20" customFormat="1" ht="70.5" customHeight="1">
      <c r="A44" s="459"/>
      <c r="B44" s="463"/>
      <c r="C44" s="58" t="s">
        <v>282</v>
      </c>
      <c r="D44" s="17">
        <v>0</v>
      </c>
      <c r="E44" s="4"/>
      <c r="F44" s="19"/>
      <c r="G44" s="19">
        <f t="shared" si="2"/>
        <v>0</v>
      </c>
      <c r="I44" s="46"/>
    </row>
    <row r="45" spans="1:9" s="20" customFormat="1" ht="31.5">
      <c r="A45" s="459"/>
      <c r="B45" s="463"/>
      <c r="C45" s="4"/>
      <c r="D45" s="17"/>
      <c r="E45" s="35" t="s">
        <v>315</v>
      </c>
      <c r="F45" s="36">
        <v>0</v>
      </c>
      <c r="G45" s="19">
        <f t="shared" si="2"/>
        <v>0</v>
      </c>
      <c r="H45" s="47"/>
      <c r="I45" s="46"/>
    </row>
    <row r="46" spans="1:9" s="20" customFormat="1" ht="39" customHeight="1">
      <c r="A46" s="459" t="s">
        <v>26</v>
      </c>
      <c r="B46" s="463" t="s">
        <v>27</v>
      </c>
      <c r="C46" s="58" t="s">
        <v>263</v>
      </c>
      <c r="D46" s="17">
        <v>0</v>
      </c>
      <c r="E46" s="4" t="s">
        <v>320</v>
      </c>
      <c r="F46" s="19">
        <v>0</v>
      </c>
      <c r="G46" s="19">
        <f t="shared" si="2"/>
        <v>0</v>
      </c>
      <c r="H46" s="47"/>
      <c r="I46" s="46"/>
    </row>
    <row r="47" spans="1:9" s="20" customFormat="1" ht="46.5" customHeight="1" hidden="1">
      <c r="A47" s="459"/>
      <c r="B47" s="463"/>
      <c r="C47" s="4" t="s">
        <v>305</v>
      </c>
      <c r="D47" s="17">
        <v>0</v>
      </c>
      <c r="E47" s="4" t="s">
        <v>305</v>
      </c>
      <c r="F47" s="19">
        <v>0</v>
      </c>
      <c r="G47" s="19">
        <f t="shared" si="2"/>
        <v>0</v>
      </c>
      <c r="I47" s="46"/>
    </row>
    <row r="48" spans="1:9" s="20" customFormat="1" ht="51.75" customHeight="1" hidden="1">
      <c r="A48" s="459"/>
      <c r="B48" s="463"/>
      <c r="C48" s="4"/>
      <c r="D48" s="21">
        <v>0</v>
      </c>
      <c r="E48" s="26"/>
      <c r="F48" s="16"/>
      <c r="G48" s="19">
        <f t="shared" si="2"/>
        <v>0</v>
      </c>
      <c r="I48" s="46"/>
    </row>
    <row r="49" spans="1:9" s="20" customFormat="1" ht="47.25">
      <c r="A49" s="459"/>
      <c r="B49" s="463"/>
      <c r="C49" s="35" t="s">
        <v>264</v>
      </c>
      <c r="D49" s="36">
        <v>0</v>
      </c>
      <c r="E49" s="35" t="s">
        <v>264</v>
      </c>
      <c r="F49" s="36">
        <v>0</v>
      </c>
      <c r="G49" s="19">
        <f>D49+F49</f>
        <v>0</v>
      </c>
      <c r="I49" s="46"/>
    </row>
    <row r="50" spans="1:9" s="20" customFormat="1" ht="66.75" customHeight="1">
      <c r="A50" s="459"/>
      <c r="B50" s="463"/>
      <c r="C50" s="58" t="s">
        <v>282</v>
      </c>
      <c r="D50" s="19">
        <v>0</v>
      </c>
      <c r="E50" s="35"/>
      <c r="F50" s="36"/>
      <c r="G50" s="19">
        <f aca="true" t="shared" si="3" ref="G50:G67">D50+F50</f>
        <v>0</v>
      </c>
      <c r="I50" s="46"/>
    </row>
    <row r="51" spans="1:9" s="20" customFormat="1" ht="63.75" customHeight="1">
      <c r="A51" s="18" t="s">
        <v>276</v>
      </c>
      <c r="B51" s="4" t="s">
        <v>275</v>
      </c>
      <c r="C51" s="58" t="s">
        <v>282</v>
      </c>
      <c r="D51" s="19">
        <v>0</v>
      </c>
      <c r="E51" s="35"/>
      <c r="F51" s="36"/>
      <c r="G51" s="19">
        <f t="shared" si="3"/>
        <v>0</v>
      </c>
      <c r="I51" s="46"/>
    </row>
    <row r="52" spans="1:9" s="51" customFormat="1" ht="46.5" customHeight="1">
      <c r="A52" s="18" t="s">
        <v>283</v>
      </c>
      <c r="B52" s="4" t="s">
        <v>284</v>
      </c>
      <c r="C52" s="58" t="s">
        <v>274</v>
      </c>
      <c r="D52" s="19">
        <v>0</v>
      </c>
      <c r="E52" s="4" t="s">
        <v>319</v>
      </c>
      <c r="F52" s="19">
        <v>0</v>
      </c>
      <c r="G52" s="19">
        <f t="shared" si="3"/>
        <v>0</v>
      </c>
      <c r="H52" s="47"/>
      <c r="I52" s="52"/>
    </row>
    <row r="53" spans="1:9" s="20" customFormat="1" ht="60.75" customHeight="1">
      <c r="A53" s="18" t="s">
        <v>277</v>
      </c>
      <c r="B53" s="4" t="s">
        <v>278</v>
      </c>
      <c r="C53" s="60" t="s">
        <v>282</v>
      </c>
      <c r="D53" s="19">
        <v>0</v>
      </c>
      <c r="E53" s="35"/>
      <c r="F53" s="36"/>
      <c r="G53" s="19">
        <f t="shared" si="3"/>
        <v>0</v>
      </c>
      <c r="I53" s="46"/>
    </row>
    <row r="54" spans="1:9" s="20" customFormat="1" ht="47.25">
      <c r="A54" s="25" t="s">
        <v>81</v>
      </c>
      <c r="B54" s="4" t="s">
        <v>28</v>
      </c>
      <c r="C54" s="4" t="s">
        <v>322</v>
      </c>
      <c r="D54" s="21">
        <v>0</v>
      </c>
      <c r="E54" s="4"/>
      <c r="F54" s="16"/>
      <c r="G54" s="19">
        <f t="shared" si="3"/>
        <v>0</v>
      </c>
      <c r="I54" s="46"/>
    </row>
    <row r="55" spans="1:9" s="20" customFormat="1" ht="95.25" customHeight="1">
      <c r="A55" s="18" t="s">
        <v>70</v>
      </c>
      <c r="B55" s="4" t="s">
        <v>103</v>
      </c>
      <c r="C55" s="60" t="s">
        <v>279</v>
      </c>
      <c r="D55" s="17">
        <v>0</v>
      </c>
      <c r="E55" s="4"/>
      <c r="F55" s="9"/>
      <c r="G55" s="19">
        <f t="shared" si="3"/>
        <v>0</v>
      </c>
      <c r="I55" s="46"/>
    </row>
    <row r="56" spans="1:9" s="20" customFormat="1" ht="35.25" customHeight="1">
      <c r="A56" s="18" t="s">
        <v>157</v>
      </c>
      <c r="B56" s="4" t="s">
        <v>158</v>
      </c>
      <c r="C56" s="60" t="s">
        <v>241</v>
      </c>
      <c r="D56" s="17">
        <v>0</v>
      </c>
      <c r="E56" s="4"/>
      <c r="F56" s="9"/>
      <c r="G56" s="19">
        <f t="shared" si="3"/>
        <v>0</v>
      </c>
      <c r="I56" s="46"/>
    </row>
    <row r="57" spans="1:9" s="20" customFormat="1" ht="47.25">
      <c r="A57" s="18" t="s">
        <v>238</v>
      </c>
      <c r="B57" s="4" t="s">
        <v>239</v>
      </c>
      <c r="C57" s="60" t="s">
        <v>241</v>
      </c>
      <c r="D57" s="17">
        <v>0</v>
      </c>
      <c r="E57" s="4"/>
      <c r="F57" s="19"/>
      <c r="G57" s="19">
        <f t="shared" si="3"/>
        <v>0</v>
      </c>
      <c r="I57" s="46"/>
    </row>
    <row r="58" spans="1:9" s="20" customFormat="1" ht="31.5" customHeight="1">
      <c r="A58" s="459" t="s">
        <v>110</v>
      </c>
      <c r="B58" s="463" t="s">
        <v>191</v>
      </c>
      <c r="C58" s="60" t="s">
        <v>241</v>
      </c>
      <c r="D58" s="17">
        <v>0</v>
      </c>
      <c r="E58" s="4"/>
      <c r="F58" s="19"/>
      <c r="G58" s="19">
        <f t="shared" si="3"/>
        <v>0</v>
      </c>
      <c r="I58" s="46"/>
    </row>
    <row r="59" spans="1:9" s="20" customFormat="1" ht="47.25">
      <c r="A59" s="459"/>
      <c r="B59" s="463"/>
      <c r="C59" s="35" t="s">
        <v>264</v>
      </c>
      <c r="D59" s="36">
        <v>0</v>
      </c>
      <c r="E59" s="35" t="s">
        <v>315</v>
      </c>
      <c r="F59" s="36">
        <v>0</v>
      </c>
      <c r="G59" s="19">
        <f t="shared" si="3"/>
        <v>0</v>
      </c>
      <c r="H59" s="47"/>
      <c r="I59" s="46"/>
    </row>
    <row r="60" spans="1:9" s="20" customFormat="1" ht="65.25" customHeight="1">
      <c r="A60" s="459"/>
      <c r="B60" s="463"/>
      <c r="C60" s="4" t="s">
        <v>282</v>
      </c>
      <c r="D60" s="19">
        <v>0</v>
      </c>
      <c r="E60" s="35"/>
      <c r="F60" s="36"/>
      <c r="G60" s="19">
        <f t="shared" si="3"/>
        <v>0</v>
      </c>
      <c r="I60" s="46"/>
    </row>
    <row r="61" spans="1:9" s="20" customFormat="1" ht="47.25">
      <c r="A61" s="18" t="s">
        <v>155</v>
      </c>
      <c r="B61" s="4" t="s">
        <v>156</v>
      </c>
      <c r="C61" s="4" t="s">
        <v>255</v>
      </c>
      <c r="D61" s="17">
        <v>0</v>
      </c>
      <c r="E61" s="4"/>
      <c r="F61" s="19"/>
      <c r="G61" s="19">
        <f t="shared" si="3"/>
        <v>0</v>
      </c>
      <c r="I61" s="46"/>
    </row>
    <row r="62" spans="1:9" s="20" customFormat="1" ht="63">
      <c r="A62" s="469">
        <v>130112</v>
      </c>
      <c r="B62" s="463" t="s">
        <v>92</v>
      </c>
      <c r="C62" s="58" t="s">
        <v>282</v>
      </c>
      <c r="D62" s="17">
        <v>0</v>
      </c>
      <c r="E62" s="4"/>
      <c r="F62" s="19"/>
      <c r="G62" s="19">
        <f t="shared" si="3"/>
        <v>0</v>
      </c>
      <c r="I62" s="46"/>
    </row>
    <row r="63" spans="1:9" s="20" customFormat="1" ht="37.5" customHeight="1">
      <c r="A63" s="469"/>
      <c r="B63" s="463"/>
      <c r="C63" s="4" t="s">
        <v>321</v>
      </c>
      <c r="D63" s="21">
        <v>0</v>
      </c>
      <c r="E63" s="60" t="s">
        <v>241</v>
      </c>
      <c r="F63" s="12">
        <v>0</v>
      </c>
      <c r="G63" s="19">
        <f t="shared" si="3"/>
        <v>0</v>
      </c>
      <c r="H63" s="47"/>
      <c r="I63" s="46"/>
    </row>
    <row r="64" spans="1:9" s="20" customFormat="1" ht="31.5">
      <c r="A64" s="459" t="s">
        <v>84</v>
      </c>
      <c r="B64" s="463" t="s">
        <v>85</v>
      </c>
      <c r="C64" s="4"/>
      <c r="D64" s="5"/>
      <c r="E64" s="4" t="s">
        <v>319</v>
      </c>
      <c r="F64" s="12">
        <v>0</v>
      </c>
      <c r="G64" s="19">
        <f t="shared" si="3"/>
        <v>0</v>
      </c>
      <c r="H64" s="47"/>
      <c r="I64" s="46"/>
    </row>
    <row r="65" spans="1:9" s="20" customFormat="1" ht="31.5">
      <c r="A65" s="459"/>
      <c r="B65" s="463"/>
      <c r="C65" s="4"/>
      <c r="D65" s="5"/>
      <c r="E65" s="4" t="s">
        <v>320</v>
      </c>
      <c r="F65" s="12">
        <v>0</v>
      </c>
      <c r="G65" s="19">
        <f t="shared" si="3"/>
        <v>0</v>
      </c>
      <c r="I65" s="46"/>
    </row>
    <row r="66" spans="1:9" s="20" customFormat="1" ht="31.5">
      <c r="A66" s="459"/>
      <c r="B66" s="463"/>
      <c r="C66" s="4"/>
      <c r="D66" s="5"/>
      <c r="E66" s="4" t="s">
        <v>323</v>
      </c>
      <c r="F66" s="12">
        <v>0</v>
      </c>
      <c r="G66" s="19">
        <f t="shared" si="3"/>
        <v>0</v>
      </c>
      <c r="I66" s="46"/>
    </row>
    <row r="67" spans="1:9" s="20" customFormat="1" ht="47.25">
      <c r="A67" s="4">
        <v>240601</v>
      </c>
      <c r="B67" s="4" t="s">
        <v>106</v>
      </c>
      <c r="C67" s="4"/>
      <c r="D67" s="5"/>
      <c r="E67" s="4" t="s">
        <v>324</v>
      </c>
      <c r="F67" s="19">
        <v>0</v>
      </c>
      <c r="G67" s="19">
        <f t="shared" si="3"/>
        <v>0</v>
      </c>
      <c r="H67" s="47"/>
      <c r="I67" s="46"/>
    </row>
    <row r="68" spans="1:9" s="20" customFormat="1" ht="77.25" customHeight="1">
      <c r="A68" s="25" t="s">
        <v>24</v>
      </c>
      <c r="B68" s="4" t="s">
        <v>25</v>
      </c>
      <c r="C68" s="461" t="s">
        <v>322</v>
      </c>
      <c r="D68" s="15">
        <v>0</v>
      </c>
      <c r="E68" s="60" t="s">
        <v>240</v>
      </c>
      <c r="F68" s="16">
        <v>0</v>
      </c>
      <c r="G68" s="19">
        <f>D68+F68</f>
        <v>0</v>
      </c>
      <c r="I68" s="46"/>
    </row>
    <row r="69" spans="1:9" s="20" customFormat="1" ht="94.5">
      <c r="A69" s="25" t="s">
        <v>302</v>
      </c>
      <c r="B69" s="4" t="s">
        <v>303</v>
      </c>
      <c r="C69" s="462"/>
      <c r="D69" s="15">
        <v>0</v>
      </c>
      <c r="E69" s="4"/>
      <c r="F69" s="16"/>
      <c r="G69" s="19">
        <f>D69+F69</f>
        <v>0</v>
      </c>
      <c r="I69" s="46"/>
    </row>
    <row r="70" spans="1:9" s="20" customFormat="1" ht="46.5" customHeight="1">
      <c r="A70" s="22" t="s">
        <v>142</v>
      </c>
      <c r="B70" s="23" t="s">
        <v>50</v>
      </c>
      <c r="C70" s="4"/>
      <c r="D70" s="24">
        <f>D72+D73+D74+D75+D76+D77+D78+D79+D80+D81+D83+D82+D85+D86+D87+D89</f>
        <v>0</v>
      </c>
      <c r="E70" s="5"/>
      <c r="F70" s="24">
        <f>F72+F73+F75+F77+F78+F80+F81+F83+F84+F86+F90</f>
        <v>0</v>
      </c>
      <c r="G70" s="28">
        <f>D70+F70</f>
        <v>0</v>
      </c>
      <c r="H70" s="47"/>
      <c r="I70" s="46"/>
    </row>
    <row r="71" spans="1:9" s="20" customFormat="1" ht="34.5" customHeight="1" hidden="1">
      <c r="A71" s="18" t="s">
        <v>165</v>
      </c>
      <c r="B71" s="4" t="s">
        <v>166</v>
      </c>
      <c r="C71" s="4" t="s">
        <v>174</v>
      </c>
      <c r="D71" s="17"/>
      <c r="E71" s="4"/>
      <c r="F71" s="19"/>
      <c r="G71" s="19">
        <v>0</v>
      </c>
      <c r="I71" s="46"/>
    </row>
    <row r="72" spans="1:9" s="20" customFormat="1" ht="52.5" customHeight="1">
      <c r="A72" s="459" t="s">
        <v>72</v>
      </c>
      <c r="B72" s="463" t="s">
        <v>19</v>
      </c>
      <c r="C72" s="60" t="s">
        <v>292</v>
      </c>
      <c r="D72" s="17">
        <v>0</v>
      </c>
      <c r="E72" s="4" t="s">
        <v>325</v>
      </c>
      <c r="F72" s="19">
        <v>0</v>
      </c>
      <c r="G72" s="19">
        <f>D72+F72</f>
        <v>0</v>
      </c>
      <c r="H72" s="47"/>
      <c r="I72" s="46"/>
    </row>
    <row r="73" spans="1:9" s="20" customFormat="1" ht="51.75" customHeight="1">
      <c r="A73" s="459"/>
      <c r="B73" s="463"/>
      <c r="C73" s="4" t="s">
        <v>305</v>
      </c>
      <c r="D73" s="17">
        <v>0</v>
      </c>
      <c r="E73" s="4" t="s">
        <v>305</v>
      </c>
      <c r="F73" s="19">
        <v>0</v>
      </c>
      <c r="G73" s="19">
        <f aca="true" t="shared" si="4" ref="G73:G90">D73+F73</f>
        <v>0</v>
      </c>
      <c r="I73" s="46"/>
    </row>
    <row r="74" spans="1:9" s="20" customFormat="1" ht="54.75" customHeight="1">
      <c r="A74" s="459"/>
      <c r="B74" s="463"/>
      <c r="C74" s="60" t="s">
        <v>293</v>
      </c>
      <c r="D74" s="17">
        <v>0</v>
      </c>
      <c r="E74" s="4"/>
      <c r="F74" s="19"/>
      <c r="G74" s="19">
        <f t="shared" si="4"/>
        <v>0</v>
      </c>
      <c r="I74" s="46"/>
    </row>
    <row r="75" spans="1:9" s="20" customFormat="1" ht="47.25">
      <c r="A75" s="459"/>
      <c r="B75" s="463"/>
      <c r="C75" s="60" t="s">
        <v>264</v>
      </c>
      <c r="D75" s="38">
        <v>0</v>
      </c>
      <c r="E75" s="35" t="s">
        <v>315</v>
      </c>
      <c r="F75" s="36">
        <v>0</v>
      </c>
      <c r="G75" s="19">
        <f t="shared" si="4"/>
        <v>0</v>
      </c>
      <c r="I75" s="46"/>
    </row>
    <row r="76" spans="1:9" s="20" customFormat="1" ht="63">
      <c r="A76" s="459"/>
      <c r="B76" s="463"/>
      <c r="C76" s="60" t="s">
        <v>282</v>
      </c>
      <c r="D76" s="17">
        <v>0</v>
      </c>
      <c r="E76" s="35"/>
      <c r="F76" s="36"/>
      <c r="G76" s="19">
        <f t="shared" si="4"/>
        <v>0</v>
      </c>
      <c r="I76" s="46"/>
    </row>
    <row r="77" spans="1:9" s="20" customFormat="1" ht="50.25" customHeight="1">
      <c r="A77" s="459" t="s">
        <v>111</v>
      </c>
      <c r="B77" s="463" t="s">
        <v>229</v>
      </c>
      <c r="C77" s="60" t="s">
        <v>292</v>
      </c>
      <c r="D77" s="17">
        <v>0</v>
      </c>
      <c r="E77" s="4" t="s">
        <v>325</v>
      </c>
      <c r="F77" s="19">
        <v>0</v>
      </c>
      <c r="G77" s="19">
        <f t="shared" si="4"/>
        <v>0</v>
      </c>
      <c r="H77" s="47"/>
      <c r="I77" s="46"/>
    </row>
    <row r="78" spans="1:9" s="20" customFormat="1" ht="47.25">
      <c r="A78" s="459"/>
      <c r="B78" s="463"/>
      <c r="C78" s="35" t="s">
        <v>264</v>
      </c>
      <c r="D78" s="36">
        <v>0</v>
      </c>
      <c r="E78" s="35" t="s">
        <v>315</v>
      </c>
      <c r="F78" s="36">
        <v>0</v>
      </c>
      <c r="G78" s="19">
        <f t="shared" si="4"/>
        <v>0</v>
      </c>
      <c r="I78" s="46"/>
    </row>
    <row r="79" spans="1:9" s="20" customFormat="1" ht="63">
      <c r="A79" s="459"/>
      <c r="B79" s="463"/>
      <c r="C79" s="61" t="s">
        <v>282</v>
      </c>
      <c r="D79" s="19">
        <v>0</v>
      </c>
      <c r="E79" s="35"/>
      <c r="F79" s="36"/>
      <c r="G79" s="19">
        <f t="shared" si="4"/>
        <v>0</v>
      </c>
      <c r="I79" s="46"/>
    </row>
    <row r="80" spans="1:9" s="20" customFormat="1" ht="47.25">
      <c r="A80" s="459" t="s">
        <v>73</v>
      </c>
      <c r="B80" s="463" t="s">
        <v>20</v>
      </c>
      <c r="C80" s="61" t="s">
        <v>292</v>
      </c>
      <c r="D80" s="17">
        <v>0</v>
      </c>
      <c r="E80" s="4" t="s">
        <v>325</v>
      </c>
      <c r="F80" s="19">
        <v>0</v>
      </c>
      <c r="G80" s="19">
        <f t="shared" si="4"/>
        <v>0</v>
      </c>
      <c r="H80" s="47"/>
      <c r="I80" s="46"/>
    </row>
    <row r="81" spans="1:9" s="20" customFormat="1" ht="47.25">
      <c r="A81" s="459"/>
      <c r="B81" s="463"/>
      <c r="C81" s="35" t="s">
        <v>264</v>
      </c>
      <c r="D81" s="36">
        <v>0</v>
      </c>
      <c r="E81" s="35" t="s">
        <v>315</v>
      </c>
      <c r="F81" s="36">
        <v>0</v>
      </c>
      <c r="G81" s="19">
        <f t="shared" si="4"/>
        <v>0</v>
      </c>
      <c r="I81" s="46"/>
    </row>
    <row r="82" spans="1:9" s="20" customFormat="1" ht="63">
      <c r="A82" s="459"/>
      <c r="B82" s="463"/>
      <c r="C82" s="61" t="s">
        <v>282</v>
      </c>
      <c r="D82" s="19">
        <v>0</v>
      </c>
      <c r="E82" s="35"/>
      <c r="F82" s="36"/>
      <c r="G82" s="19">
        <f t="shared" si="4"/>
        <v>0</v>
      </c>
      <c r="I82" s="46"/>
    </row>
    <row r="83" spans="1:9" s="20" customFormat="1" ht="47.25" customHeight="1">
      <c r="A83" s="459" t="s">
        <v>74</v>
      </c>
      <c r="B83" s="463" t="s">
        <v>21</v>
      </c>
      <c r="C83" s="61" t="s">
        <v>292</v>
      </c>
      <c r="D83" s="17">
        <v>0</v>
      </c>
      <c r="E83" s="4" t="s">
        <v>325</v>
      </c>
      <c r="F83" s="19">
        <v>0</v>
      </c>
      <c r="G83" s="19">
        <f t="shared" si="4"/>
        <v>0</v>
      </c>
      <c r="H83" s="47"/>
      <c r="I83" s="46"/>
    </row>
    <row r="84" spans="1:9" s="20" customFormat="1" ht="31.5">
      <c r="A84" s="459"/>
      <c r="B84" s="463"/>
      <c r="C84" s="4"/>
      <c r="D84" s="17"/>
      <c r="E84" s="35" t="s">
        <v>315</v>
      </c>
      <c r="F84" s="36">
        <v>0</v>
      </c>
      <c r="G84" s="19">
        <f t="shared" si="4"/>
        <v>0</v>
      </c>
      <c r="I84" s="46"/>
    </row>
    <row r="85" spans="1:9" s="20" customFormat="1" ht="66" customHeight="1">
      <c r="A85" s="459"/>
      <c r="B85" s="463"/>
      <c r="C85" s="61" t="s">
        <v>282</v>
      </c>
      <c r="D85" s="17">
        <v>0</v>
      </c>
      <c r="E85" s="35"/>
      <c r="F85" s="36"/>
      <c r="G85" s="19">
        <f t="shared" si="4"/>
        <v>0</v>
      </c>
      <c r="I85" s="46"/>
    </row>
    <row r="86" spans="1:9" s="53" customFormat="1" ht="50.25" customHeight="1">
      <c r="A86" s="18" t="s">
        <v>285</v>
      </c>
      <c r="B86" s="4" t="s">
        <v>286</v>
      </c>
      <c r="C86" s="61" t="s">
        <v>292</v>
      </c>
      <c r="D86" s="17">
        <v>0</v>
      </c>
      <c r="E86" s="4" t="s">
        <v>325</v>
      </c>
      <c r="F86" s="19">
        <v>0</v>
      </c>
      <c r="G86" s="19">
        <f t="shared" si="4"/>
        <v>0</v>
      </c>
      <c r="H86" s="47"/>
      <c r="I86" s="46"/>
    </row>
    <row r="87" spans="1:9" s="20" customFormat="1" ht="47.25">
      <c r="A87" s="18" t="s">
        <v>112</v>
      </c>
      <c r="B87" s="4" t="s">
        <v>113</v>
      </c>
      <c r="C87" s="61" t="s">
        <v>242</v>
      </c>
      <c r="D87" s="17">
        <v>0</v>
      </c>
      <c r="E87" s="4"/>
      <c r="F87" s="9"/>
      <c r="G87" s="19">
        <f t="shared" si="4"/>
        <v>0</v>
      </c>
      <c r="I87" s="46"/>
    </row>
    <row r="88" spans="1:9" s="20" customFormat="1" ht="15.75" customHeight="1" hidden="1">
      <c r="A88" s="18" t="s">
        <v>75</v>
      </c>
      <c r="B88" s="4" t="s">
        <v>22</v>
      </c>
      <c r="C88" s="61"/>
      <c r="D88" s="17"/>
      <c r="E88" s="4"/>
      <c r="F88" s="19">
        <v>0</v>
      </c>
      <c r="G88" s="19">
        <f t="shared" si="4"/>
        <v>0</v>
      </c>
      <c r="I88" s="46"/>
    </row>
    <row r="89" spans="1:9" s="20" customFormat="1" ht="46.5" customHeight="1">
      <c r="A89" s="18" t="s">
        <v>76</v>
      </c>
      <c r="B89" s="4" t="s">
        <v>230</v>
      </c>
      <c r="C89" s="61" t="s">
        <v>243</v>
      </c>
      <c r="D89" s="17">
        <v>0</v>
      </c>
      <c r="E89" s="4"/>
      <c r="F89" s="9"/>
      <c r="G89" s="19">
        <f t="shared" si="4"/>
        <v>0</v>
      </c>
      <c r="I89" s="46"/>
    </row>
    <row r="90" spans="1:9" s="20" customFormat="1" ht="52.5" customHeight="1">
      <c r="A90" s="18" t="s">
        <v>84</v>
      </c>
      <c r="B90" s="4" t="s">
        <v>85</v>
      </c>
      <c r="C90" s="4"/>
      <c r="D90" s="5"/>
      <c r="E90" s="4" t="s">
        <v>325</v>
      </c>
      <c r="F90" s="19">
        <v>0</v>
      </c>
      <c r="G90" s="19">
        <f t="shared" si="4"/>
        <v>0</v>
      </c>
      <c r="H90" s="47"/>
      <c r="I90" s="46"/>
    </row>
    <row r="91" spans="1:9" s="20" customFormat="1" ht="36" customHeight="1" hidden="1">
      <c r="A91" s="459" t="s">
        <v>71</v>
      </c>
      <c r="B91" s="463" t="s">
        <v>105</v>
      </c>
      <c r="C91" s="4"/>
      <c r="D91" s="5"/>
      <c r="E91" s="4" t="s">
        <v>130</v>
      </c>
      <c r="F91" s="12"/>
      <c r="G91" s="9">
        <v>0</v>
      </c>
      <c r="I91" s="46"/>
    </row>
    <row r="92" spans="1:9" s="20" customFormat="1" ht="33" customHeight="1" hidden="1">
      <c r="A92" s="459"/>
      <c r="B92" s="463"/>
      <c r="C92" s="4"/>
      <c r="D92" s="5"/>
      <c r="E92" s="4" t="s">
        <v>131</v>
      </c>
      <c r="F92" s="12"/>
      <c r="G92" s="9">
        <v>0</v>
      </c>
      <c r="I92" s="46"/>
    </row>
    <row r="93" spans="1:9" s="20" customFormat="1" ht="49.5" customHeight="1">
      <c r="A93" s="22" t="s">
        <v>143</v>
      </c>
      <c r="B93" s="23" t="s">
        <v>51</v>
      </c>
      <c r="C93" s="4"/>
      <c r="D93" s="28">
        <f>D96+D99+D101+D102+D104+D105+D106+D107+D108+D109+D113+D115+D116</f>
        <v>0</v>
      </c>
      <c r="E93" s="9"/>
      <c r="F93" s="28">
        <f>F94+F97+F101+F102+F104+F107+F110+F111</f>
        <v>0</v>
      </c>
      <c r="G93" s="28">
        <f>D93+F93</f>
        <v>0</v>
      </c>
      <c r="H93" s="47"/>
      <c r="I93" s="46"/>
    </row>
    <row r="94" spans="1:9" s="20" customFormat="1" ht="47.25">
      <c r="A94" s="459" t="s">
        <v>165</v>
      </c>
      <c r="B94" s="463" t="s">
        <v>166</v>
      </c>
      <c r="C94" s="4"/>
      <c r="D94" s="19"/>
      <c r="E94" s="4" t="s">
        <v>313</v>
      </c>
      <c r="F94" s="19">
        <v>0</v>
      </c>
      <c r="G94" s="19">
        <f>D94+F94</f>
        <v>0</v>
      </c>
      <c r="I94" s="46"/>
    </row>
    <row r="95" spans="1:9" s="20" customFormat="1" ht="96.75" customHeight="1" hidden="1">
      <c r="A95" s="459"/>
      <c r="B95" s="463"/>
      <c r="C95" s="4" t="s">
        <v>228</v>
      </c>
      <c r="D95" s="17">
        <v>0</v>
      </c>
      <c r="E95" s="4"/>
      <c r="F95" s="9"/>
      <c r="G95" s="19">
        <f aca="true" t="shared" si="5" ref="G95:G116">D95+F95</f>
        <v>0</v>
      </c>
      <c r="I95" s="46"/>
    </row>
    <row r="96" spans="1:9" s="20" customFormat="1" ht="64.5" customHeight="1">
      <c r="A96" s="459"/>
      <c r="B96" s="463"/>
      <c r="C96" s="61" t="s">
        <v>282</v>
      </c>
      <c r="D96" s="19">
        <v>0</v>
      </c>
      <c r="E96" s="4"/>
      <c r="F96" s="9"/>
      <c r="G96" s="19">
        <f t="shared" si="5"/>
        <v>0</v>
      </c>
      <c r="I96" s="46"/>
    </row>
    <row r="97" spans="1:9" s="20" customFormat="1" ht="51.75" customHeight="1">
      <c r="A97" s="459" t="s">
        <v>79</v>
      </c>
      <c r="B97" s="463" t="s">
        <v>234</v>
      </c>
      <c r="C97" s="4"/>
      <c r="D97" s="19"/>
      <c r="E97" s="4" t="s">
        <v>313</v>
      </c>
      <c r="F97" s="19">
        <v>0</v>
      </c>
      <c r="G97" s="19">
        <f t="shared" si="5"/>
        <v>0</v>
      </c>
      <c r="I97" s="46"/>
    </row>
    <row r="98" spans="1:9" s="20" customFormat="1" ht="63" hidden="1">
      <c r="A98" s="459"/>
      <c r="B98" s="463"/>
      <c r="C98" s="4" t="s">
        <v>282</v>
      </c>
      <c r="D98" s="17">
        <v>0</v>
      </c>
      <c r="E98" s="4"/>
      <c r="F98" s="19"/>
      <c r="G98" s="19">
        <f t="shared" si="5"/>
        <v>0</v>
      </c>
      <c r="I98" s="46"/>
    </row>
    <row r="99" spans="1:9" s="20" customFormat="1" ht="63">
      <c r="A99" s="18" t="s">
        <v>80</v>
      </c>
      <c r="B99" s="4" t="s">
        <v>235</v>
      </c>
      <c r="C99" s="4" t="s">
        <v>327</v>
      </c>
      <c r="D99" s="17">
        <v>0</v>
      </c>
      <c r="E99" s="4"/>
      <c r="F99" s="9"/>
      <c r="G99" s="19">
        <f t="shared" si="5"/>
        <v>0</v>
      </c>
      <c r="I99" s="46"/>
    </row>
    <row r="100" spans="1:9" s="20" customFormat="1" ht="47.25" hidden="1">
      <c r="A100" s="18" t="s">
        <v>81</v>
      </c>
      <c r="B100" s="4" t="s">
        <v>236</v>
      </c>
      <c r="C100" s="4"/>
      <c r="D100" s="17"/>
      <c r="E100" s="4"/>
      <c r="F100" s="9"/>
      <c r="G100" s="19">
        <f t="shared" si="5"/>
        <v>0</v>
      </c>
      <c r="I100" s="46"/>
    </row>
    <row r="101" spans="1:9" s="20" customFormat="1" ht="50.25" customHeight="1">
      <c r="A101" s="459" t="s">
        <v>163</v>
      </c>
      <c r="B101" s="463" t="s">
        <v>164</v>
      </c>
      <c r="C101" s="4" t="s">
        <v>326</v>
      </c>
      <c r="D101" s="17">
        <v>0</v>
      </c>
      <c r="E101" s="4" t="s">
        <v>326</v>
      </c>
      <c r="F101" s="19">
        <v>0</v>
      </c>
      <c r="G101" s="19">
        <f t="shared" si="5"/>
        <v>0</v>
      </c>
      <c r="I101" s="46"/>
    </row>
    <row r="102" spans="1:9" s="20" customFormat="1" ht="50.25" customHeight="1">
      <c r="A102" s="459"/>
      <c r="B102" s="463"/>
      <c r="C102" s="4" t="s">
        <v>305</v>
      </c>
      <c r="D102" s="17">
        <v>0</v>
      </c>
      <c r="E102" s="4" t="s">
        <v>305</v>
      </c>
      <c r="F102" s="19">
        <v>0</v>
      </c>
      <c r="G102" s="19">
        <f t="shared" si="5"/>
        <v>0</v>
      </c>
      <c r="I102" s="46"/>
    </row>
    <row r="103" spans="1:9" s="20" customFormat="1" ht="110.25" customHeight="1" hidden="1">
      <c r="A103" s="459"/>
      <c r="B103" s="463"/>
      <c r="C103" s="4"/>
      <c r="D103" s="17"/>
      <c r="E103" s="4"/>
      <c r="F103" s="9"/>
      <c r="G103" s="19">
        <f t="shared" si="5"/>
        <v>0</v>
      </c>
      <c r="I103" s="46"/>
    </row>
    <row r="104" spans="1:9" s="20" customFormat="1" ht="51" customHeight="1">
      <c r="A104" s="459"/>
      <c r="B104" s="463"/>
      <c r="C104" s="35" t="s">
        <v>264</v>
      </c>
      <c r="D104" s="37">
        <v>0</v>
      </c>
      <c r="E104" s="35" t="s">
        <v>264</v>
      </c>
      <c r="F104" s="37">
        <v>0</v>
      </c>
      <c r="G104" s="19">
        <f t="shared" si="5"/>
        <v>0</v>
      </c>
      <c r="I104" s="46"/>
    </row>
    <row r="105" spans="1:9" s="20" customFormat="1" ht="63">
      <c r="A105" s="459"/>
      <c r="B105" s="463"/>
      <c r="C105" s="61" t="s">
        <v>282</v>
      </c>
      <c r="D105" s="9">
        <v>0</v>
      </c>
      <c r="E105" s="35"/>
      <c r="F105" s="37"/>
      <c r="G105" s="19">
        <f t="shared" si="5"/>
        <v>0</v>
      </c>
      <c r="I105" s="46"/>
    </row>
    <row r="106" spans="1:9" s="20" customFormat="1" ht="49.5" customHeight="1">
      <c r="A106" s="459" t="s">
        <v>23</v>
      </c>
      <c r="B106" s="463" t="s">
        <v>17</v>
      </c>
      <c r="C106" s="4" t="s">
        <v>326</v>
      </c>
      <c r="D106" s="17">
        <v>0</v>
      </c>
      <c r="E106" s="4"/>
      <c r="F106" s="9"/>
      <c r="G106" s="19">
        <f t="shared" si="5"/>
        <v>0</v>
      </c>
      <c r="I106" s="46"/>
    </row>
    <row r="107" spans="1:9" s="20" customFormat="1" ht="47.25">
      <c r="A107" s="459"/>
      <c r="B107" s="463"/>
      <c r="C107" s="35" t="s">
        <v>264</v>
      </c>
      <c r="D107" s="37">
        <v>0</v>
      </c>
      <c r="E107" s="35" t="s">
        <v>315</v>
      </c>
      <c r="F107" s="37">
        <v>0</v>
      </c>
      <c r="G107" s="19">
        <f t="shared" si="5"/>
        <v>0</v>
      </c>
      <c r="I107" s="46"/>
    </row>
    <row r="108" spans="1:9" s="20" customFormat="1" ht="48" customHeight="1">
      <c r="A108" s="459" t="s">
        <v>86</v>
      </c>
      <c r="B108" s="463" t="s">
        <v>93</v>
      </c>
      <c r="C108" s="61" t="s">
        <v>244</v>
      </c>
      <c r="D108" s="17">
        <v>0</v>
      </c>
      <c r="E108" s="4"/>
      <c r="F108" s="9"/>
      <c r="G108" s="19">
        <f>D108+F108</f>
        <v>0</v>
      </c>
      <c r="I108" s="46"/>
    </row>
    <row r="109" spans="1:9" s="20" customFormat="1" ht="47.25">
      <c r="A109" s="459"/>
      <c r="B109" s="463"/>
      <c r="C109" s="35" t="s">
        <v>264</v>
      </c>
      <c r="D109" s="38">
        <v>0</v>
      </c>
      <c r="E109" s="35"/>
      <c r="F109" s="37"/>
      <c r="G109" s="19">
        <f t="shared" si="5"/>
        <v>0</v>
      </c>
      <c r="I109" s="46"/>
    </row>
    <row r="110" spans="1:9" s="20" customFormat="1" ht="48" customHeight="1">
      <c r="A110" s="459" t="s">
        <v>84</v>
      </c>
      <c r="B110" s="463" t="s">
        <v>85</v>
      </c>
      <c r="C110" s="4"/>
      <c r="D110" s="17"/>
      <c r="E110" s="4" t="s">
        <v>269</v>
      </c>
      <c r="F110" s="12">
        <v>0</v>
      </c>
      <c r="G110" s="19">
        <f t="shared" si="5"/>
        <v>0</v>
      </c>
      <c r="I110" s="46"/>
    </row>
    <row r="111" spans="1:9" s="20" customFormat="1" ht="45.75" customHeight="1">
      <c r="A111" s="459"/>
      <c r="B111" s="463"/>
      <c r="C111" s="4"/>
      <c r="D111" s="5"/>
      <c r="E111" s="4" t="s">
        <v>326</v>
      </c>
      <c r="F111" s="12">
        <v>0</v>
      </c>
      <c r="G111" s="19">
        <f t="shared" si="5"/>
        <v>0</v>
      </c>
      <c r="I111" s="46"/>
    </row>
    <row r="112" spans="1:9" s="20" customFormat="1" ht="52.5" customHeight="1" hidden="1">
      <c r="A112" s="18" t="s">
        <v>33</v>
      </c>
      <c r="B112" s="463" t="s">
        <v>232</v>
      </c>
      <c r="C112" s="4" t="s">
        <v>132</v>
      </c>
      <c r="D112" s="17"/>
      <c r="E112" s="4"/>
      <c r="F112" s="16"/>
      <c r="G112" s="19">
        <f t="shared" si="5"/>
        <v>0</v>
      </c>
      <c r="I112" s="46"/>
    </row>
    <row r="113" spans="1:9" s="20" customFormat="1" ht="49.5" customHeight="1">
      <c r="A113" s="459" t="s">
        <v>33</v>
      </c>
      <c r="B113" s="463"/>
      <c r="C113" s="61" t="s">
        <v>245</v>
      </c>
      <c r="D113" s="17">
        <v>0</v>
      </c>
      <c r="E113" s="4"/>
      <c r="F113" s="16"/>
      <c r="G113" s="19">
        <f t="shared" si="5"/>
        <v>0</v>
      </c>
      <c r="I113" s="46"/>
    </row>
    <row r="114" spans="1:9" s="20" customFormat="1" ht="62.25" customHeight="1" hidden="1">
      <c r="A114" s="459"/>
      <c r="B114" s="463"/>
      <c r="C114" s="61" t="s">
        <v>228</v>
      </c>
      <c r="D114" s="17"/>
      <c r="E114" s="4"/>
      <c r="F114" s="16"/>
      <c r="G114" s="19">
        <f t="shared" si="5"/>
        <v>0</v>
      </c>
      <c r="I114" s="46"/>
    </row>
    <row r="115" spans="1:9" s="20" customFormat="1" ht="78.75" customHeight="1">
      <c r="A115" s="18" t="s">
        <v>87</v>
      </c>
      <c r="B115" s="4" t="s">
        <v>233</v>
      </c>
      <c r="C115" s="61" t="s">
        <v>245</v>
      </c>
      <c r="D115" s="17">
        <v>0</v>
      </c>
      <c r="E115" s="4"/>
      <c r="F115" s="16"/>
      <c r="G115" s="19">
        <f t="shared" si="5"/>
        <v>0</v>
      </c>
      <c r="I115" s="46"/>
    </row>
    <row r="116" spans="1:9" s="20" customFormat="1" ht="51" customHeight="1">
      <c r="A116" s="18" t="s">
        <v>117</v>
      </c>
      <c r="B116" s="4" t="s">
        <v>220</v>
      </c>
      <c r="C116" s="61" t="s">
        <v>245</v>
      </c>
      <c r="D116" s="17">
        <v>0</v>
      </c>
      <c r="E116" s="4"/>
      <c r="F116" s="16"/>
      <c r="G116" s="19">
        <f t="shared" si="5"/>
        <v>0</v>
      </c>
      <c r="I116" s="46"/>
    </row>
    <row r="117" spans="1:9" s="20" customFormat="1" ht="68.25" customHeight="1" hidden="1">
      <c r="A117" s="22" t="s">
        <v>176</v>
      </c>
      <c r="B117" s="23" t="s">
        <v>180</v>
      </c>
      <c r="C117" s="4"/>
      <c r="D117" s="24">
        <v>0</v>
      </c>
      <c r="E117" s="4"/>
      <c r="F117" s="24">
        <v>0</v>
      </c>
      <c r="G117" s="24">
        <v>0</v>
      </c>
      <c r="I117" s="46"/>
    </row>
    <row r="118" spans="1:9" s="20" customFormat="1" ht="31.5" hidden="1">
      <c r="A118" s="18" t="s">
        <v>165</v>
      </c>
      <c r="B118" s="4" t="s">
        <v>166</v>
      </c>
      <c r="C118" s="4" t="s">
        <v>177</v>
      </c>
      <c r="D118" s="17"/>
      <c r="E118" s="4" t="s">
        <v>177</v>
      </c>
      <c r="F118" s="12"/>
      <c r="G118" s="9">
        <v>0</v>
      </c>
      <c r="I118" s="46"/>
    </row>
    <row r="119" spans="1:9" s="20" customFormat="1" ht="63" hidden="1">
      <c r="A119" s="22" t="s">
        <v>187</v>
      </c>
      <c r="B119" s="23" t="s">
        <v>188</v>
      </c>
      <c r="C119" s="4"/>
      <c r="D119" s="24">
        <v>0</v>
      </c>
      <c r="E119" s="4"/>
      <c r="F119" s="24">
        <v>0</v>
      </c>
      <c r="G119" s="24">
        <v>0</v>
      </c>
      <c r="I119" s="46"/>
    </row>
    <row r="120" spans="1:9" s="20" customFormat="1" ht="47.25" hidden="1">
      <c r="A120" s="18" t="s">
        <v>165</v>
      </c>
      <c r="B120" s="4" t="s">
        <v>166</v>
      </c>
      <c r="C120" s="4" t="s">
        <v>189</v>
      </c>
      <c r="D120" s="17"/>
      <c r="E120" s="4" t="s">
        <v>189</v>
      </c>
      <c r="F120" s="12"/>
      <c r="G120" s="9">
        <v>0</v>
      </c>
      <c r="I120" s="46"/>
    </row>
    <row r="121" spans="1:9" s="20" customFormat="1" ht="35.25" customHeight="1">
      <c r="A121" s="22" t="s">
        <v>148</v>
      </c>
      <c r="B121" s="23" t="s">
        <v>54</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165</v>
      </c>
      <c r="B122" s="4" t="s">
        <v>166</v>
      </c>
      <c r="C122" s="4" t="s">
        <v>179</v>
      </c>
      <c r="D122" s="17"/>
      <c r="E122" s="4"/>
      <c r="F122" s="19"/>
      <c r="G122" s="16">
        <v>0</v>
      </c>
      <c r="I122" s="46"/>
    </row>
    <row r="123" spans="1:9" s="20" customFormat="1" ht="54" customHeight="1">
      <c r="A123" s="459" t="s">
        <v>159</v>
      </c>
      <c r="B123" s="463" t="s">
        <v>160</v>
      </c>
      <c r="C123" s="61" t="s">
        <v>246</v>
      </c>
      <c r="D123" s="17">
        <v>0</v>
      </c>
      <c r="E123" s="4" t="s">
        <v>329</v>
      </c>
      <c r="F123" s="19">
        <v>0</v>
      </c>
      <c r="G123" s="12">
        <f>D123+F123</f>
        <v>0</v>
      </c>
      <c r="H123" s="47"/>
      <c r="I123" s="46"/>
    </row>
    <row r="124" spans="1:9" s="20" customFormat="1" ht="65.25" customHeight="1" hidden="1">
      <c r="A124" s="459"/>
      <c r="B124" s="463"/>
      <c r="C124" s="61" t="s">
        <v>282</v>
      </c>
      <c r="D124" s="17">
        <v>0</v>
      </c>
      <c r="E124" s="4"/>
      <c r="F124" s="19"/>
      <c r="G124" s="12">
        <f aca="true" t="shared" si="6" ref="G124:G138">D124+F124</f>
        <v>0</v>
      </c>
      <c r="I124" s="46"/>
    </row>
    <row r="125" spans="1:9" s="20" customFormat="1" ht="54" customHeight="1">
      <c r="A125" s="459" t="s">
        <v>161</v>
      </c>
      <c r="B125" s="463" t="s">
        <v>162</v>
      </c>
      <c r="C125" s="61" t="s">
        <v>247</v>
      </c>
      <c r="D125" s="17">
        <v>0</v>
      </c>
      <c r="E125" s="4" t="s">
        <v>329</v>
      </c>
      <c r="F125" s="19">
        <v>0</v>
      </c>
      <c r="G125" s="12">
        <f t="shared" si="6"/>
        <v>0</v>
      </c>
      <c r="H125" s="47"/>
      <c r="I125" s="46"/>
    </row>
    <row r="126" spans="1:9" s="20" customFormat="1" ht="47.25">
      <c r="A126" s="459"/>
      <c r="B126" s="463"/>
      <c r="C126" s="35" t="s">
        <v>264</v>
      </c>
      <c r="D126" s="36">
        <v>0</v>
      </c>
      <c r="E126" s="35" t="s">
        <v>315</v>
      </c>
      <c r="F126" s="36">
        <v>0</v>
      </c>
      <c r="G126" s="12">
        <f t="shared" si="6"/>
        <v>0</v>
      </c>
      <c r="I126" s="46"/>
    </row>
    <row r="127" spans="1:9" s="20" customFormat="1" ht="66.75" customHeight="1">
      <c r="A127" s="459"/>
      <c r="B127" s="463"/>
      <c r="C127" s="61" t="s">
        <v>282</v>
      </c>
      <c r="D127" s="19">
        <v>0</v>
      </c>
      <c r="E127" s="35"/>
      <c r="F127" s="36"/>
      <c r="G127" s="12">
        <f t="shared" si="6"/>
        <v>0</v>
      </c>
      <c r="I127" s="46"/>
    </row>
    <row r="128" spans="1:9" s="20" customFormat="1" ht="54" customHeight="1">
      <c r="A128" s="459" t="s">
        <v>169</v>
      </c>
      <c r="B128" s="463" t="s">
        <v>170</v>
      </c>
      <c r="C128" s="61" t="s">
        <v>247</v>
      </c>
      <c r="D128" s="17">
        <v>0</v>
      </c>
      <c r="E128" s="4" t="s">
        <v>329</v>
      </c>
      <c r="F128" s="19">
        <v>0</v>
      </c>
      <c r="G128" s="12">
        <f t="shared" si="6"/>
        <v>0</v>
      </c>
      <c r="H128" s="69"/>
      <c r="I128" s="46"/>
    </row>
    <row r="129" spans="1:9" s="20" customFormat="1" ht="47.25">
      <c r="A129" s="459"/>
      <c r="B129" s="463"/>
      <c r="C129" s="35" t="s">
        <v>264</v>
      </c>
      <c r="D129" s="36">
        <v>0</v>
      </c>
      <c r="E129" s="35" t="s">
        <v>315</v>
      </c>
      <c r="F129" s="36">
        <v>0</v>
      </c>
      <c r="G129" s="12">
        <f t="shared" si="6"/>
        <v>0</v>
      </c>
      <c r="I129" s="46"/>
    </row>
    <row r="130" spans="1:9" s="20" customFormat="1" ht="51" customHeight="1">
      <c r="A130" s="459" t="s">
        <v>167</v>
      </c>
      <c r="B130" s="463" t="s">
        <v>168</v>
      </c>
      <c r="C130" s="61" t="s">
        <v>247</v>
      </c>
      <c r="D130" s="17">
        <v>0</v>
      </c>
      <c r="E130" s="4" t="s">
        <v>329</v>
      </c>
      <c r="F130" s="19">
        <v>0</v>
      </c>
      <c r="G130" s="12">
        <f t="shared" si="6"/>
        <v>0</v>
      </c>
      <c r="H130" s="47"/>
      <c r="I130" s="46"/>
    </row>
    <row r="131" spans="1:9" s="20" customFormat="1" ht="31.5">
      <c r="A131" s="459"/>
      <c r="B131" s="463"/>
      <c r="C131" s="4"/>
      <c r="D131" s="17"/>
      <c r="E131" s="35" t="s">
        <v>315</v>
      </c>
      <c r="F131" s="36">
        <v>0</v>
      </c>
      <c r="G131" s="12">
        <f t="shared" si="6"/>
        <v>0</v>
      </c>
      <c r="I131" s="46"/>
    </row>
    <row r="132" spans="1:9" s="20" customFormat="1" ht="66" customHeight="1">
      <c r="A132" s="459"/>
      <c r="B132" s="463"/>
      <c r="C132" s="61" t="s">
        <v>282</v>
      </c>
      <c r="D132" s="17">
        <v>0</v>
      </c>
      <c r="E132" s="35"/>
      <c r="F132" s="36"/>
      <c r="G132" s="12">
        <f t="shared" si="6"/>
        <v>0</v>
      </c>
      <c r="I132" s="46"/>
    </row>
    <row r="133" spans="1:9" s="20" customFormat="1" ht="47.25">
      <c r="A133" s="26">
        <v>110300</v>
      </c>
      <c r="B133" s="4" t="s">
        <v>30</v>
      </c>
      <c r="C133" s="61" t="s">
        <v>248</v>
      </c>
      <c r="D133" s="21">
        <v>0</v>
      </c>
      <c r="E133" s="4"/>
      <c r="F133" s="36"/>
      <c r="G133" s="12">
        <f t="shared" si="6"/>
        <v>0</v>
      </c>
      <c r="I133" s="46"/>
    </row>
    <row r="134" spans="1:9" s="20" customFormat="1" ht="47.25">
      <c r="A134" s="469">
        <v>110502</v>
      </c>
      <c r="B134" s="463" t="s">
        <v>18</v>
      </c>
      <c r="C134" s="61" t="s">
        <v>299</v>
      </c>
      <c r="D134" s="15">
        <v>0</v>
      </c>
      <c r="E134" s="61" t="s">
        <v>299</v>
      </c>
      <c r="F134" s="16">
        <v>0</v>
      </c>
      <c r="G134" s="12">
        <f t="shared" si="6"/>
        <v>0</v>
      </c>
      <c r="H134" s="47"/>
      <c r="I134" s="46"/>
    </row>
    <row r="135" spans="1:9" s="20" customFormat="1" ht="51" customHeight="1">
      <c r="A135" s="469"/>
      <c r="B135" s="463"/>
      <c r="C135" s="61" t="s">
        <v>247</v>
      </c>
      <c r="D135" s="15">
        <v>0</v>
      </c>
      <c r="E135" s="4" t="s">
        <v>329</v>
      </c>
      <c r="F135" s="12">
        <v>0</v>
      </c>
      <c r="G135" s="12">
        <f t="shared" si="6"/>
        <v>0</v>
      </c>
      <c r="I135" s="46"/>
    </row>
    <row r="136" spans="1:9" s="20" customFormat="1" ht="55.5" customHeight="1">
      <c r="A136" s="469"/>
      <c r="B136" s="463"/>
      <c r="C136" s="61" t="s">
        <v>249</v>
      </c>
      <c r="D136" s="15">
        <v>0</v>
      </c>
      <c r="E136" s="26"/>
      <c r="F136" s="16"/>
      <c r="G136" s="12">
        <f t="shared" si="6"/>
        <v>0</v>
      </c>
      <c r="I136" s="46"/>
    </row>
    <row r="137" spans="1:9" s="20" customFormat="1" ht="68.25" customHeight="1" hidden="1">
      <c r="A137" s="469"/>
      <c r="B137" s="463"/>
      <c r="C137" s="4" t="s">
        <v>282</v>
      </c>
      <c r="D137" s="15">
        <v>0</v>
      </c>
      <c r="E137" s="4"/>
      <c r="F137" s="16"/>
      <c r="G137" s="12">
        <f t="shared" si="6"/>
        <v>0</v>
      </c>
      <c r="I137" s="46"/>
    </row>
    <row r="138" spans="1:9" s="20" customFormat="1" ht="47.25">
      <c r="A138" s="469"/>
      <c r="B138" s="463"/>
      <c r="C138" s="4"/>
      <c r="D138" s="15"/>
      <c r="E138" s="35" t="s">
        <v>264</v>
      </c>
      <c r="F138" s="36">
        <v>0</v>
      </c>
      <c r="G138" s="12">
        <f t="shared" si="6"/>
        <v>0</v>
      </c>
      <c r="I138" s="46"/>
    </row>
    <row r="139" spans="1:9" s="20" customFormat="1" ht="47.25">
      <c r="A139" s="18" t="s">
        <v>84</v>
      </c>
      <c r="B139" s="4" t="s">
        <v>85</v>
      </c>
      <c r="C139" s="4"/>
      <c r="D139" s="5"/>
      <c r="E139" s="4" t="s">
        <v>328</v>
      </c>
      <c r="F139" s="19">
        <v>0</v>
      </c>
      <c r="G139" s="12">
        <f>D139+F139</f>
        <v>0</v>
      </c>
      <c r="H139" s="47"/>
      <c r="I139" s="46"/>
    </row>
    <row r="140" spans="1:9" s="20" customFormat="1" ht="47.25" hidden="1">
      <c r="A140" s="22" t="s">
        <v>294</v>
      </c>
      <c r="B140" s="23" t="s">
        <v>295</v>
      </c>
      <c r="C140" s="4"/>
      <c r="D140" s="24">
        <v>0</v>
      </c>
      <c r="E140" s="5"/>
      <c r="F140" s="28">
        <v>0</v>
      </c>
      <c r="G140" s="27">
        <v>0</v>
      </c>
      <c r="H140" s="47"/>
      <c r="I140" s="46"/>
    </row>
    <row r="141" spans="1:9" s="20" customFormat="1" ht="47.25" hidden="1">
      <c r="A141" s="18" t="s">
        <v>165</v>
      </c>
      <c r="B141" s="4" t="s">
        <v>166</v>
      </c>
      <c r="C141" s="4"/>
      <c r="D141" s="5"/>
      <c r="E141" s="55" t="s">
        <v>267</v>
      </c>
      <c r="F141" s="56">
        <v>0</v>
      </c>
      <c r="G141" s="9">
        <v>0</v>
      </c>
      <c r="H141" s="47"/>
      <c r="I141" s="46"/>
    </row>
    <row r="142" spans="1:9" s="20" customFormat="1" ht="54" customHeight="1">
      <c r="A142" s="22" t="s">
        <v>147</v>
      </c>
      <c r="B142" s="23" t="s">
        <v>173</v>
      </c>
      <c r="C142" s="4"/>
      <c r="D142" s="24">
        <f>D143+D144+D145+D146</f>
        <v>0</v>
      </c>
      <c r="E142" s="5"/>
      <c r="F142" s="28">
        <f>F143+F144</f>
        <v>0</v>
      </c>
      <c r="G142" s="28">
        <f aca="true" t="shared" si="7" ref="G142:G150">D142+F142</f>
        <v>0</v>
      </c>
      <c r="H142" s="47"/>
      <c r="I142" s="46"/>
    </row>
    <row r="143" spans="1:9" s="20" customFormat="1" ht="47.25">
      <c r="A143" s="18" t="s">
        <v>165</v>
      </c>
      <c r="B143" s="4" t="s">
        <v>166</v>
      </c>
      <c r="C143" s="4"/>
      <c r="D143" s="17"/>
      <c r="E143" s="61" t="s">
        <v>267</v>
      </c>
      <c r="F143" s="19">
        <v>0</v>
      </c>
      <c r="G143" s="19">
        <f t="shared" si="7"/>
        <v>0</v>
      </c>
      <c r="I143" s="46"/>
    </row>
    <row r="144" spans="1:9" s="20" customFormat="1" ht="47.25">
      <c r="A144" s="18" t="s">
        <v>84</v>
      </c>
      <c r="B144" s="4" t="s">
        <v>85</v>
      </c>
      <c r="C144" s="4"/>
      <c r="D144" s="5"/>
      <c r="E144" s="4" t="s">
        <v>330</v>
      </c>
      <c r="F144" s="19">
        <v>0</v>
      </c>
      <c r="G144" s="19">
        <f t="shared" si="7"/>
        <v>0</v>
      </c>
      <c r="I144" s="46"/>
    </row>
    <row r="145" spans="1:9" s="20" customFormat="1" ht="31.5" customHeight="1">
      <c r="A145" s="18" t="s">
        <v>77</v>
      </c>
      <c r="B145" s="4" t="s">
        <v>92</v>
      </c>
      <c r="C145" s="61" t="s">
        <v>250</v>
      </c>
      <c r="D145" s="17">
        <v>0</v>
      </c>
      <c r="E145" s="4"/>
      <c r="F145" s="9"/>
      <c r="G145" s="19">
        <f t="shared" si="7"/>
        <v>0</v>
      </c>
      <c r="I145" s="46"/>
    </row>
    <row r="146" spans="1:9" s="20" customFormat="1" ht="47.25">
      <c r="A146" s="18" t="s">
        <v>102</v>
      </c>
      <c r="B146" s="4" t="s">
        <v>218</v>
      </c>
      <c r="C146" s="4" t="s">
        <v>331</v>
      </c>
      <c r="D146" s="17">
        <v>0</v>
      </c>
      <c r="E146" s="4"/>
      <c r="F146" s="9"/>
      <c r="G146" s="19">
        <f t="shared" si="7"/>
        <v>0</v>
      </c>
      <c r="I146" s="46"/>
    </row>
    <row r="147" spans="1:9" s="20" customFormat="1" ht="47.25">
      <c r="A147" s="22" t="s">
        <v>182</v>
      </c>
      <c r="B147" s="23" t="s">
        <v>183</v>
      </c>
      <c r="C147" s="4"/>
      <c r="D147" s="24">
        <f>D148</f>
        <v>0</v>
      </c>
      <c r="E147" s="5"/>
      <c r="F147" s="24">
        <f>F148</f>
        <v>0</v>
      </c>
      <c r="G147" s="24">
        <f t="shared" si="7"/>
        <v>0</v>
      </c>
      <c r="H147" s="47"/>
      <c r="I147" s="46"/>
    </row>
    <row r="148" spans="1:9" s="20" customFormat="1" ht="48.75" customHeight="1">
      <c r="A148" s="18" t="s">
        <v>165</v>
      </c>
      <c r="B148" s="4" t="s">
        <v>166</v>
      </c>
      <c r="C148" s="4"/>
      <c r="D148" s="17"/>
      <c r="E148" s="4" t="s">
        <v>267</v>
      </c>
      <c r="F148" s="19">
        <v>0</v>
      </c>
      <c r="G148" s="24">
        <f t="shared" si="7"/>
        <v>0</v>
      </c>
      <c r="I148" s="46"/>
    </row>
    <row r="149" spans="1:9" s="20" customFormat="1" ht="45.75" customHeight="1">
      <c r="A149" s="22" t="s">
        <v>145</v>
      </c>
      <c r="B149" s="23" t="s">
        <v>225</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459" t="s">
        <v>165</v>
      </c>
      <c r="B150" s="463" t="s">
        <v>166</v>
      </c>
      <c r="C150" s="4"/>
      <c r="D150" s="24"/>
      <c r="E150" s="61" t="s">
        <v>267</v>
      </c>
      <c r="F150" s="19"/>
      <c r="G150" s="19">
        <f t="shared" si="7"/>
        <v>0</v>
      </c>
      <c r="H150" s="47"/>
      <c r="I150" s="46"/>
    </row>
    <row r="151" spans="1:9" s="20" customFormat="1" ht="61.5" customHeight="1">
      <c r="A151" s="459"/>
      <c r="B151" s="463"/>
      <c r="C151" s="61" t="s">
        <v>282</v>
      </c>
      <c r="D151" s="17">
        <v>0</v>
      </c>
      <c r="E151" s="4"/>
      <c r="F151" s="19"/>
      <c r="G151" s="19">
        <f aca="true" t="shared" si="8" ref="G151:G172">D151+F151</f>
        <v>0</v>
      </c>
      <c r="I151" s="46"/>
    </row>
    <row r="152" spans="1:9" s="20" customFormat="1" ht="47.25">
      <c r="A152" s="18" t="s">
        <v>86</v>
      </c>
      <c r="B152" s="4" t="s">
        <v>93</v>
      </c>
      <c r="C152" s="61" t="s">
        <v>270</v>
      </c>
      <c r="D152" s="17">
        <v>0</v>
      </c>
      <c r="E152" s="4"/>
      <c r="F152" s="9"/>
      <c r="G152" s="19">
        <f t="shared" si="8"/>
        <v>0</v>
      </c>
      <c r="I152" s="46"/>
    </row>
    <row r="153" spans="1:9" s="20" customFormat="1" ht="47.25">
      <c r="A153" s="459" t="s">
        <v>216</v>
      </c>
      <c r="B153" s="463" t="s">
        <v>217</v>
      </c>
      <c r="C153" s="61" t="s">
        <v>270</v>
      </c>
      <c r="D153" s="17">
        <v>0</v>
      </c>
      <c r="E153" s="4"/>
      <c r="F153" s="9"/>
      <c r="G153" s="19">
        <f t="shared" si="8"/>
        <v>0</v>
      </c>
      <c r="I153" s="46"/>
    </row>
    <row r="154" spans="1:9" s="20" customFormat="1" ht="47.25">
      <c r="A154" s="459"/>
      <c r="B154" s="463"/>
      <c r="C154" s="61" t="s">
        <v>264</v>
      </c>
      <c r="D154" s="37">
        <v>0</v>
      </c>
      <c r="E154" s="4"/>
      <c r="F154" s="9"/>
      <c r="G154" s="19">
        <f t="shared" si="8"/>
        <v>0</v>
      </c>
      <c r="I154" s="46"/>
    </row>
    <row r="155" spans="1:9" s="20" customFormat="1" ht="47.25">
      <c r="A155" s="459" t="s">
        <v>114</v>
      </c>
      <c r="B155" s="463" t="s">
        <v>115</v>
      </c>
      <c r="C155" s="4"/>
      <c r="D155" s="17"/>
      <c r="E155" s="4" t="s">
        <v>231</v>
      </c>
      <c r="F155" s="19">
        <v>0</v>
      </c>
      <c r="G155" s="19">
        <f t="shared" si="8"/>
        <v>0</v>
      </c>
      <c r="I155" s="46"/>
    </row>
    <row r="156" spans="1:9" s="20" customFormat="1" ht="47.25" customHeight="1" hidden="1">
      <c r="A156" s="459"/>
      <c r="B156" s="463"/>
      <c r="C156" s="4" t="s">
        <v>226</v>
      </c>
      <c r="D156" s="17">
        <v>0</v>
      </c>
      <c r="E156" s="4" t="s">
        <v>231</v>
      </c>
      <c r="F156" s="9"/>
      <c r="G156" s="19">
        <f t="shared" si="8"/>
        <v>0</v>
      </c>
      <c r="I156" s="46"/>
    </row>
    <row r="157" spans="1:9" s="20" customFormat="1" ht="47.25">
      <c r="A157" s="459"/>
      <c r="B157" s="463"/>
      <c r="C157" s="4"/>
      <c r="D157" s="17"/>
      <c r="E157" s="61" t="s">
        <v>264</v>
      </c>
      <c r="F157" s="37">
        <v>0</v>
      </c>
      <c r="G157" s="19">
        <f t="shared" si="8"/>
        <v>0</v>
      </c>
      <c r="I157" s="46"/>
    </row>
    <row r="158" spans="1:9" s="20" customFormat="1" ht="56.25" customHeight="1">
      <c r="A158" s="18" t="s">
        <v>260</v>
      </c>
      <c r="B158" s="4" t="s">
        <v>261</v>
      </c>
      <c r="C158" s="4"/>
      <c r="D158" s="17"/>
      <c r="E158" s="4" t="s">
        <v>231</v>
      </c>
      <c r="F158" s="19">
        <v>0</v>
      </c>
      <c r="G158" s="19">
        <f t="shared" si="8"/>
        <v>0</v>
      </c>
      <c r="I158" s="46"/>
    </row>
    <row r="159" spans="1:9" s="20" customFormat="1" ht="51.75" customHeight="1">
      <c r="A159" s="459" t="s">
        <v>94</v>
      </c>
      <c r="B159" s="463" t="s">
        <v>116</v>
      </c>
      <c r="C159" s="61" t="s">
        <v>270</v>
      </c>
      <c r="D159" s="62">
        <v>0</v>
      </c>
      <c r="E159" s="4" t="s">
        <v>231</v>
      </c>
      <c r="F159" s="19">
        <v>0</v>
      </c>
      <c r="G159" s="19">
        <f t="shared" si="8"/>
        <v>0</v>
      </c>
      <c r="I159" s="46"/>
    </row>
    <row r="160" spans="1:9" s="20" customFormat="1" ht="47.25">
      <c r="A160" s="459"/>
      <c r="B160" s="463"/>
      <c r="C160" s="61" t="s">
        <v>264</v>
      </c>
      <c r="D160" s="37">
        <v>0</v>
      </c>
      <c r="E160" s="35" t="s">
        <v>315</v>
      </c>
      <c r="F160" s="37">
        <v>0</v>
      </c>
      <c r="G160" s="19">
        <f t="shared" si="8"/>
        <v>0</v>
      </c>
      <c r="I160" s="46"/>
    </row>
    <row r="161" spans="1:9" s="20" customFormat="1" ht="47.25" hidden="1">
      <c r="A161" s="18" t="s">
        <v>287</v>
      </c>
      <c r="B161" s="4" t="s">
        <v>288</v>
      </c>
      <c r="C161" s="35"/>
      <c r="D161" s="37"/>
      <c r="E161" s="4" t="s">
        <v>270</v>
      </c>
      <c r="F161" s="36">
        <v>0</v>
      </c>
      <c r="G161" s="19">
        <f t="shared" si="8"/>
        <v>0</v>
      </c>
      <c r="I161" s="46"/>
    </row>
    <row r="162" spans="1:9" s="20" customFormat="1" ht="51" customHeight="1">
      <c r="A162" s="459" t="s">
        <v>84</v>
      </c>
      <c r="B162" s="463" t="s">
        <v>85</v>
      </c>
      <c r="C162" s="4"/>
      <c r="D162" s="5"/>
      <c r="E162" s="4" t="s">
        <v>231</v>
      </c>
      <c r="F162" s="12">
        <v>0</v>
      </c>
      <c r="G162" s="19">
        <f t="shared" si="8"/>
        <v>0</v>
      </c>
      <c r="I162" s="46"/>
    </row>
    <row r="163" spans="1:9" s="20" customFormat="1" ht="31.5">
      <c r="A163" s="459"/>
      <c r="B163" s="463"/>
      <c r="C163" s="4"/>
      <c r="D163" s="5"/>
      <c r="E163" s="35" t="s">
        <v>315</v>
      </c>
      <c r="F163" s="37">
        <v>0</v>
      </c>
      <c r="G163" s="19">
        <f t="shared" si="8"/>
        <v>0</v>
      </c>
      <c r="I163" s="46"/>
    </row>
    <row r="164" spans="1:9" s="51" customFormat="1" ht="46.5" customHeight="1" hidden="1">
      <c r="A164" s="457" t="s">
        <v>39</v>
      </c>
      <c r="B164" s="461" t="s">
        <v>204</v>
      </c>
      <c r="C164" s="4"/>
      <c r="D164" s="5"/>
      <c r="E164" s="4" t="s">
        <v>270</v>
      </c>
      <c r="F164" s="19">
        <v>0</v>
      </c>
      <c r="G164" s="19">
        <f t="shared" si="8"/>
        <v>0</v>
      </c>
      <c r="H164" s="20"/>
      <c r="I164" s="52"/>
    </row>
    <row r="165" spans="1:9" s="51" customFormat="1" ht="69.75" customHeight="1">
      <c r="A165" s="467"/>
      <c r="B165" s="468"/>
      <c r="C165" s="4"/>
      <c r="D165" s="5"/>
      <c r="E165" s="4" t="s">
        <v>332</v>
      </c>
      <c r="F165" s="19">
        <v>0</v>
      </c>
      <c r="G165" s="19">
        <f t="shared" si="8"/>
        <v>0</v>
      </c>
      <c r="H165" s="20"/>
      <c r="I165" s="52"/>
    </row>
    <row r="166" spans="1:9" s="51" customFormat="1" ht="87" customHeight="1">
      <c r="A166" s="458"/>
      <c r="B166" s="462"/>
      <c r="C166" s="4"/>
      <c r="D166" s="5"/>
      <c r="E166" s="4" t="s">
        <v>333</v>
      </c>
      <c r="F166" s="19">
        <v>0</v>
      </c>
      <c r="G166" s="19">
        <f t="shared" si="8"/>
        <v>0</v>
      </c>
      <c r="H166" s="20"/>
      <c r="I166" s="52"/>
    </row>
    <row r="167" spans="1:9" s="20" customFormat="1" ht="69.75" customHeight="1">
      <c r="A167" s="18" t="s">
        <v>96</v>
      </c>
      <c r="B167" s="4" t="s">
        <v>97</v>
      </c>
      <c r="C167" s="4"/>
      <c r="D167" s="5"/>
      <c r="E167" s="61" t="s">
        <v>270</v>
      </c>
      <c r="F167" s="19">
        <v>0</v>
      </c>
      <c r="G167" s="19">
        <f t="shared" si="8"/>
        <v>0</v>
      </c>
      <c r="I167" s="46"/>
    </row>
    <row r="168" spans="1:9" s="20" customFormat="1" ht="27.75" customHeight="1" hidden="1">
      <c r="A168" s="4">
        <v>180107</v>
      </c>
      <c r="B168" s="4" t="s">
        <v>213</v>
      </c>
      <c r="C168" s="4"/>
      <c r="D168" s="17"/>
      <c r="E168" s="4" t="s">
        <v>231</v>
      </c>
      <c r="F168" s="19">
        <v>0</v>
      </c>
      <c r="G168" s="19">
        <f t="shared" si="8"/>
        <v>0</v>
      </c>
      <c r="I168" s="46"/>
    </row>
    <row r="169" spans="1:9" s="20" customFormat="1" ht="63" customHeight="1">
      <c r="A169" s="463">
        <v>180409</v>
      </c>
      <c r="B169" s="463" t="s">
        <v>224</v>
      </c>
      <c r="C169" s="4"/>
      <c r="D169" s="17"/>
      <c r="E169" s="4" t="s">
        <v>231</v>
      </c>
      <c r="F169" s="19">
        <v>0</v>
      </c>
      <c r="G169" s="19">
        <f t="shared" si="8"/>
        <v>0</v>
      </c>
      <c r="I169" s="46"/>
    </row>
    <row r="170" spans="1:9" s="20" customFormat="1" ht="47.25">
      <c r="A170" s="463"/>
      <c r="B170" s="463"/>
      <c r="C170" s="4"/>
      <c r="D170" s="17"/>
      <c r="E170" s="4" t="s">
        <v>334</v>
      </c>
      <c r="F170" s="19">
        <v>0</v>
      </c>
      <c r="G170" s="19">
        <f t="shared" si="8"/>
        <v>0</v>
      </c>
      <c r="I170" s="46"/>
    </row>
    <row r="171" spans="1:9" s="20" customFormat="1" ht="47.25">
      <c r="A171" s="18" t="s">
        <v>29</v>
      </c>
      <c r="B171" s="4" t="s">
        <v>106</v>
      </c>
      <c r="C171" s="4"/>
      <c r="D171" s="5"/>
      <c r="E171" s="4" t="s">
        <v>324</v>
      </c>
      <c r="F171" s="19">
        <v>0</v>
      </c>
      <c r="G171" s="19">
        <f t="shared" si="8"/>
        <v>0</v>
      </c>
      <c r="I171" s="46"/>
    </row>
    <row r="172" spans="1:9" s="20" customFormat="1" ht="45.75" customHeight="1">
      <c r="A172" s="18" t="s">
        <v>77</v>
      </c>
      <c r="B172" s="4" t="s">
        <v>92</v>
      </c>
      <c r="C172" s="61" t="s">
        <v>270</v>
      </c>
      <c r="D172" s="17">
        <v>0</v>
      </c>
      <c r="E172" s="4" t="s">
        <v>231</v>
      </c>
      <c r="F172" s="12">
        <v>0</v>
      </c>
      <c r="G172" s="19">
        <f t="shared" si="8"/>
        <v>0</v>
      </c>
      <c r="I172" s="46"/>
    </row>
    <row r="173" spans="1:9" s="20" customFormat="1" ht="38.25" hidden="1">
      <c r="A173" s="18" t="s">
        <v>39</v>
      </c>
      <c r="B173" s="29" t="s">
        <v>204</v>
      </c>
      <c r="C173" s="4"/>
      <c r="D173" s="5"/>
      <c r="E173" s="4" t="s">
        <v>209</v>
      </c>
      <c r="F173" s="12">
        <v>0</v>
      </c>
      <c r="G173" s="9">
        <v>0</v>
      </c>
      <c r="I173" s="46"/>
    </row>
    <row r="174" spans="1:9" s="20" customFormat="1" ht="70.5" customHeight="1" hidden="1">
      <c r="A174" s="22" t="s">
        <v>223</v>
      </c>
      <c r="B174" s="23" t="s">
        <v>222</v>
      </c>
      <c r="C174" s="23"/>
      <c r="D174" s="24">
        <v>0</v>
      </c>
      <c r="E174" s="23"/>
      <c r="F174" s="30"/>
      <c r="G174" s="27">
        <v>0</v>
      </c>
      <c r="I174" s="46"/>
    </row>
    <row r="175" spans="1:9" s="20" customFormat="1" ht="36" customHeight="1" hidden="1">
      <c r="A175" s="18" t="s">
        <v>86</v>
      </c>
      <c r="B175" s="4" t="s">
        <v>93</v>
      </c>
      <c r="C175" s="4" t="s">
        <v>118</v>
      </c>
      <c r="D175" s="17">
        <v>0</v>
      </c>
      <c r="E175" s="4"/>
      <c r="F175" s="12"/>
      <c r="G175" s="9">
        <v>0</v>
      </c>
      <c r="I175" s="46"/>
    </row>
    <row r="176" spans="1:9" s="20" customFormat="1" ht="47.25" customHeight="1" hidden="1">
      <c r="A176" s="18" t="s">
        <v>94</v>
      </c>
      <c r="B176" s="4" t="s">
        <v>116</v>
      </c>
      <c r="C176" s="4" t="s">
        <v>202</v>
      </c>
      <c r="D176" s="17">
        <v>0</v>
      </c>
      <c r="E176" s="4"/>
      <c r="F176" s="12"/>
      <c r="G176" s="9">
        <v>0</v>
      </c>
      <c r="I176" s="46"/>
    </row>
    <row r="177" spans="1:9" s="20" customFormat="1" ht="47.25">
      <c r="A177" s="22" t="s">
        <v>146</v>
      </c>
      <c r="B177" s="23" t="s">
        <v>53</v>
      </c>
      <c r="C177" s="4"/>
      <c r="D177" s="24">
        <f>D179</f>
        <v>0</v>
      </c>
      <c r="E177" s="5"/>
      <c r="F177" s="24">
        <f>F178</f>
        <v>0</v>
      </c>
      <c r="G177" s="28">
        <f aca="true" t="shared" si="9" ref="G177:G184">D177+F177</f>
        <v>0</v>
      </c>
      <c r="H177" s="47"/>
      <c r="I177" s="46"/>
    </row>
    <row r="178" spans="1:9" s="20" customFormat="1" ht="48" customHeight="1">
      <c r="A178" s="18" t="s">
        <v>165</v>
      </c>
      <c r="B178" s="4" t="s">
        <v>166</v>
      </c>
      <c r="C178" s="4"/>
      <c r="D178" s="17"/>
      <c r="E178" s="4" t="s">
        <v>313</v>
      </c>
      <c r="F178" s="19">
        <v>0</v>
      </c>
      <c r="G178" s="19">
        <f t="shared" si="9"/>
        <v>0</v>
      </c>
      <c r="I178" s="46"/>
    </row>
    <row r="179" spans="1:9" s="20" customFormat="1" ht="63">
      <c r="A179" s="18" t="s">
        <v>77</v>
      </c>
      <c r="B179" s="4" t="s">
        <v>92</v>
      </c>
      <c r="C179" s="61" t="s">
        <v>282</v>
      </c>
      <c r="D179" s="17">
        <v>0</v>
      </c>
      <c r="E179" s="4"/>
      <c r="F179" s="9"/>
      <c r="G179" s="19">
        <f t="shared" si="9"/>
        <v>0</v>
      </c>
      <c r="I179" s="46"/>
    </row>
    <row r="180" spans="1:9" s="20" customFormat="1" ht="47.25">
      <c r="A180" s="22" t="s">
        <v>150</v>
      </c>
      <c r="B180" s="23" t="s">
        <v>55</v>
      </c>
      <c r="C180" s="4"/>
      <c r="D180" s="24">
        <f>D181+D182+D183+D184</f>
        <v>0</v>
      </c>
      <c r="E180" s="5"/>
      <c r="F180" s="28">
        <f>F181</f>
        <v>0</v>
      </c>
      <c r="G180" s="28">
        <f t="shared" si="9"/>
        <v>0</v>
      </c>
      <c r="I180" s="46"/>
    </row>
    <row r="181" spans="1:9" s="20" customFormat="1" ht="60" customHeight="1">
      <c r="A181" s="18" t="s">
        <v>165</v>
      </c>
      <c r="B181" s="4" t="s">
        <v>166</v>
      </c>
      <c r="C181" s="4"/>
      <c r="D181" s="17"/>
      <c r="E181" s="4" t="s">
        <v>267</v>
      </c>
      <c r="F181" s="19">
        <v>0</v>
      </c>
      <c r="G181" s="19">
        <f t="shared" si="9"/>
        <v>0</v>
      </c>
      <c r="I181" s="46"/>
    </row>
    <row r="182" spans="1:9" s="20" customFormat="1" ht="63">
      <c r="A182" s="469">
        <v>250404</v>
      </c>
      <c r="B182" s="469" t="s">
        <v>92</v>
      </c>
      <c r="C182" s="4" t="s">
        <v>291</v>
      </c>
      <c r="D182" s="21">
        <v>0</v>
      </c>
      <c r="E182" s="9"/>
      <c r="F182" s="31"/>
      <c r="G182" s="19">
        <f t="shared" si="9"/>
        <v>0</v>
      </c>
      <c r="I182" s="46"/>
    </row>
    <row r="183" spans="1:9" s="20" customFormat="1" ht="51" customHeight="1">
      <c r="A183" s="469"/>
      <c r="B183" s="469"/>
      <c r="C183" s="4" t="s">
        <v>309</v>
      </c>
      <c r="D183" s="21">
        <v>0</v>
      </c>
      <c r="E183" s="9"/>
      <c r="F183" s="31"/>
      <c r="G183" s="19">
        <f t="shared" si="9"/>
        <v>0</v>
      </c>
      <c r="I183" s="46"/>
    </row>
    <row r="184" spans="1:9" s="20" customFormat="1" ht="66" customHeight="1">
      <c r="A184" s="470"/>
      <c r="B184" s="469"/>
      <c r="C184" s="4" t="s">
        <v>310</v>
      </c>
      <c r="D184" s="21">
        <v>0</v>
      </c>
      <c r="E184" s="4"/>
      <c r="F184" s="9"/>
      <c r="G184" s="19">
        <f t="shared" si="9"/>
        <v>0</v>
      </c>
      <c r="I184" s="46"/>
    </row>
    <row r="185" spans="1:9" s="20" customFormat="1" ht="31.5" hidden="1">
      <c r="A185" s="22">
        <v>50</v>
      </c>
      <c r="B185" s="23" t="s">
        <v>186</v>
      </c>
      <c r="C185" s="4"/>
      <c r="D185" s="24">
        <v>0</v>
      </c>
      <c r="E185" s="5"/>
      <c r="F185" s="27">
        <v>0</v>
      </c>
      <c r="G185" s="27">
        <v>0</v>
      </c>
      <c r="I185" s="46"/>
    </row>
    <row r="186" spans="1:9" s="20" customFormat="1" ht="48.75" customHeight="1" hidden="1">
      <c r="A186" s="18" t="s">
        <v>165</v>
      </c>
      <c r="B186" s="4" t="s">
        <v>166</v>
      </c>
      <c r="C186" s="4" t="s">
        <v>178</v>
      </c>
      <c r="D186" s="21"/>
      <c r="E186" s="4"/>
      <c r="F186" s="9"/>
      <c r="G186" s="9">
        <v>0</v>
      </c>
      <c r="I186" s="46"/>
    </row>
    <row r="187" spans="1:9" s="20" customFormat="1" ht="47.25">
      <c r="A187" s="22" t="s">
        <v>154</v>
      </c>
      <c r="B187" s="23" t="s">
        <v>59</v>
      </c>
      <c r="C187" s="23"/>
      <c r="D187" s="24">
        <v>0</v>
      </c>
      <c r="E187" s="32"/>
      <c r="F187" s="24">
        <f>F188+F189</f>
        <v>0</v>
      </c>
      <c r="G187" s="24">
        <f aca="true" t="shared" si="10" ref="G187:G195">D187+F187</f>
        <v>0</v>
      </c>
      <c r="H187" s="47"/>
      <c r="I187" s="46"/>
    </row>
    <row r="188" spans="1:9" s="20" customFormat="1" ht="47.25">
      <c r="A188" s="18" t="s">
        <v>165</v>
      </c>
      <c r="B188" s="4" t="s">
        <v>166</v>
      </c>
      <c r="C188" s="4"/>
      <c r="D188" s="17"/>
      <c r="E188" s="4" t="s">
        <v>300</v>
      </c>
      <c r="F188" s="17">
        <v>0</v>
      </c>
      <c r="G188" s="17">
        <f t="shared" si="10"/>
        <v>0</v>
      </c>
      <c r="I188" s="46"/>
    </row>
    <row r="189" spans="1:9" s="20" customFormat="1" ht="47.25">
      <c r="A189" s="18" t="s">
        <v>41</v>
      </c>
      <c r="B189" s="4" t="s">
        <v>42</v>
      </c>
      <c r="C189" s="4"/>
      <c r="D189" s="17"/>
      <c r="E189" s="4" t="s">
        <v>301</v>
      </c>
      <c r="F189" s="19">
        <v>0</v>
      </c>
      <c r="G189" s="17">
        <f t="shared" si="10"/>
        <v>0</v>
      </c>
      <c r="I189" s="46"/>
    </row>
    <row r="190" spans="1:9" s="20" customFormat="1" ht="50.25" customHeight="1">
      <c r="A190" s="22" t="s">
        <v>151</v>
      </c>
      <c r="B190" s="23" t="s">
        <v>56</v>
      </c>
      <c r="C190" s="4"/>
      <c r="D190" s="24">
        <f>D194</f>
        <v>0</v>
      </c>
      <c r="E190" s="5"/>
      <c r="F190" s="24">
        <f>F192+F193</f>
        <v>0</v>
      </c>
      <c r="G190" s="24">
        <f t="shared" si="10"/>
        <v>0</v>
      </c>
      <c r="H190" s="47"/>
      <c r="I190" s="46"/>
    </row>
    <row r="191" spans="1:9" s="20" customFormat="1" ht="33" customHeight="1" hidden="1">
      <c r="A191" s="18" t="s">
        <v>165</v>
      </c>
      <c r="B191" s="4" t="s">
        <v>166</v>
      </c>
      <c r="C191" s="4" t="s">
        <v>181</v>
      </c>
      <c r="D191" s="17"/>
      <c r="E191" s="4"/>
      <c r="F191" s="19"/>
      <c r="G191" s="24">
        <f t="shared" si="10"/>
        <v>0</v>
      </c>
      <c r="I191" s="46"/>
    </row>
    <row r="192" spans="1:9" s="20" customFormat="1" ht="47.25">
      <c r="A192" s="4">
        <v>240601</v>
      </c>
      <c r="B192" s="4" t="s">
        <v>106</v>
      </c>
      <c r="C192" s="4"/>
      <c r="D192" s="5"/>
      <c r="E192" s="4" t="s">
        <v>290</v>
      </c>
      <c r="F192" s="19">
        <v>0</v>
      </c>
      <c r="G192" s="17">
        <f t="shared" si="10"/>
        <v>0</v>
      </c>
      <c r="I192" s="46"/>
    </row>
    <row r="193" spans="1:9" s="20" customFormat="1" ht="72" customHeight="1">
      <c r="A193" s="4">
        <v>240900</v>
      </c>
      <c r="B193" s="4" t="s">
        <v>221</v>
      </c>
      <c r="C193" s="4"/>
      <c r="D193" s="5"/>
      <c r="E193" s="4" t="s">
        <v>280</v>
      </c>
      <c r="F193" s="19">
        <v>0</v>
      </c>
      <c r="G193" s="17">
        <f t="shared" si="10"/>
        <v>0</v>
      </c>
      <c r="I193" s="46"/>
    </row>
    <row r="194" spans="1:9" s="20" customFormat="1" ht="54" customHeight="1">
      <c r="A194" s="4">
        <v>250404</v>
      </c>
      <c r="B194" s="4" t="s">
        <v>210</v>
      </c>
      <c r="C194" s="4" t="s">
        <v>308</v>
      </c>
      <c r="D194" s="17">
        <v>0</v>
      </c>
      <c r="E194" s="4"/>
      <c r="F194" s="19"/>
      <c r="G194" s="17">
        <f t="shared" si="10"/>
        <v>0</v>
      </c>
      <c r="I194" s="46"/>
    </row>
    <row r="195" spans="1:9" s="20" customFormat="1" ht="47.25">
      <c r="A195" s="22" t="s">
        <v>149</v>
      </c>
      <c r="B195" s="23" t="s">
        <v>57</v>
      </c>
      <c r="C195" s="4"/>
      <c r="D195" s="24">
        <f>D197+D198+D204+D206</f>
        <v>0</v>
      </c>
      <c r="E195" s="5"/>
      <c r="F195" s="24">
        <f>F200+F201+F202+F204+F206</f>
        <v>0</v>
      </c>
      <c r="G195" s="24">
        <f t="shared" si="10"/>
        <v>0</v>
      </c>
      <c r="H195" s="47"/>
      <c r="I195" s="46"/>
    </row>
    <row r="196" spans="1:9" s="20" customFormat="1" ht="69" customHeight="1" hidden="1">
      <c r="A196" s="18" t="s">
        <v>165</v>
      </c>
      <c r="B196" s="4" t="s">
        <v>166</v>
      </c>
      <c r="C196" s="4" t="s">
        <v>184</v>
      </c>
      <c r="D196" s="17"/>
      <c r="E196" s="5"/>
      <c r="F196" s="9"/>
      <c r="G196" s="24">
        <f aca="true" t="shared" si="11" ref="G196:G206">D196+F196</f>
        <v>0</v>
      </c>
      <c r="I196" s="46"/>
    </row>
    <row r="197" spans="1:9" s="20" customFormat="1" ht="84.75" customHeight="1">
      <c r="A197" s="18" t="s">
        <v>31</v>
      </c>
      <c r="B197" s="4" t="s">
        <v>32</v>
      </c>
      <c r="C197" s="4" t="s">
        <v>296</v>
      </c>
      <c r="D197" s="17">
        <v>0</v>
      </c>
      <c r="E197" s="4"/>
      <c r="F197" s="19"/>
      <c r="G197" s="17">
        <f t="shared" si="11"/>
        <v>0</v>
      </c>
      <c r="I197" s="46"/>
    </row>
    <row r="198" spans="1:9" s="20" customFormat="1" ht="72.75" customHeight="1">
      <c r="A198" s="18" t="s">
        <v>82</v>
      </c>
      <c r="B198" s="4" t="s">
        <v>83</v>
      </c>
      <c r="C198" s="4" t="s">
        <v>252</v>
      </c>
      <c r="D198" s="17">
        <v>0</v>
      </c>
      <c r="E198" s="4"/>
      <c r="F198" s="9"/>
      <c r="G198" s="17">
        <f t="shared" si="11"/>
        <v>0</v>
      </c>
      <c r="I198" s="46"/>
    </row>
    <row r="199" spans="1:9" s="20" customFormat="1" ht="78.75" hidden="1">
      <c r="A199" s="457" t="s">
        <v>84</v>
      </c>
      <c r="B199" s="461" t="s">
        <v>85</v>
      </c>
      <c r="C199" s="4"/>
      <c r="D199" s="17"/>
      <c r="E199" s="4" t="s">
        <v>252</v>
      </c>
      <c r="F199" s="19">
        <v>0</v>
      </c>
      <c r="G199" s="24">
        <f t="shared" si="11"/>
        <v>0</v>
      </c>
      <c r="I199" s="46"/>
    </row>
    <row r="200" spans="1:9" s="20" customFormat="1" ht="63">
      <c r="A200" s="458"/>
      <c r="B200" s="462"/>
      <c r="C200" s="4"/>
      <c r="D200" s="17"/>
      <c r="E200" s="4" t="s">
        <v>268</v>
      </c>
      <c r="F200" s="19">
        <v>0</v>
      </c>
      <c r="G200" s="17">
        <f t="shared" si="11"/>
        <v>0</v>
      </c>
      <c r="I200" s="46"/>
    </row>
    <row r="201" spans="1:9" s="20" customFormat="1" ht="62.25" customHeight="1">
      <c r="A201" s="459" t="s">
        <v>98</v>
      </c>
      <c r="B201" s="463" t="s">
        <v>224</v>
      </c>
      <c r="C201" s="463"/>
      <c r="D201" s="17"/>
      <c r="E201" s="4" t="s">
        <v>252</v>
      </c>
      <c r="F201" s="19">
        <v>0</v>
      </c>
      <c r="G201" s="17">
        <f t="shared" si="11"/>
        <v>0</v>
      </c>
      <c r="I201" s="46"/>
    </row>
    <row r="202" spans="1:9" s="20" customFormat="1" ht="63">
      <c r="A202" s="459"/>
      <c r="B202" s="463"/>
      <c r="C202" s="463"/>
      <c r="D202" s="466"/>
      <c r="E202" s="4" t="s">
        <v>281</v>
      </c>
      <c r="F202" s="19">
        <v>0</v>
      </c>
      <c r="G202" s="17">
        <f t="shared" si="11"/>
        <v>0</v>
      </c>
      <c r="I202" s="46"/>
    </row>
    <row r="203" spans="1:9" s="20" customFormat="1" ht="47.25" hidden="1">
      <c r="A203" s="459"/>
      <c r="B203" s="463"/>
      <c r="C203" s="463"/>
      <c r="D203" s="466"/>
      <c r="E203" s="4" t="s">
        <v>304</v>
      </c>
      <c r="F203" s="9">
        <v>0</v>
      </c>
      <c r="G203" s="17">
        <f t="shared" si="11"/>
        <v>0</v>
      </c>
      <c r="I203" s="46"/>
    </row>
    <row r="204" spans="1:9" s="20" customFormat="1" ht="69" customHeight="1">
      <c r="A204" s="18" t="s">
        <v>214</v>
      </c>
      <c r="B204" s="4" t="s">
        <v>215</v>
      </c>
      <c r="C204" s="4" t="s">
        <v>252</v>
      </c>
      <c r="D204" s="17">
        <v>0</v>
      </c>
      <c r="E204" s="4" t="s">
        <v>281</v>
      </c>
      <c r="F204" s="19">
        <v>0</v>
      </c>
      <c r="G204" s="17">
        <f t="shared" si="11"/>
        <v>0</v>
      </c>
      <c r="I204" s="46"/>
    </row>
    <row r="205" spans="1:9" s="20" customFormat="1" ht="63">
      <c r="A205" s="459" t="s">
        <v>77</v>
      </c>
      <c r="B205" s="463" t="s">
        <v>92</v>
      </c>
      <c r="C205" s="4" t="s">
        <v>281</v>
      </c>
      <c r="D205" s="17">
        <v>0</v>
      </c>
      <c r="E205" s="4"/>
      <c r="F205" s="9"/>
      <c r="G205" s="17">
        <f t="shared" si="11"/>
        <v>0</v>
      </c>
      <c r="I205" s="46"/>
    </row>
    <row r="206" spans="1:9" s="20" customFormat="1" ht="63">
      <c r="A206" s="459"/>
      <c r="B206" s="463"/>
      <c r="C206" s="4" t="s">
        <v>306</v>
      </c>
      <c r="D206" s="17">
        <v>0</v>
      </c>
      <c r="E206" s="4" t="s">
        <v>306</v>
      </c>
      <c r="F206" s="19">
        <v>0</v>
      </c>
      <c r="G206" s="17">
        <f t="shared" si="11"/>
        <v>0</v>
      </c>
      <c r="I206" s="46"/>
    </row>
    <row r="207" spans="1:9" s="20" customFormat="1" ht="78.75" customHeight="1">
      <c r="A207" s="22" t="s">
        <v>144</v>
      </c>
      <c r="B207" s="23" t="s">
        <v>52</v>
      </c>
      <c r="C207" s="4"/>
      <c r="D207" s="24">
        <f>D209+D210+D211</f>
        <v>0</v>
      </c>
      <c r="E207" s="5"/>
      <c r="F207" s="28">
        <f>F209+F210</f>
        <v>0</v>
      </c>
      <c r="G207" s="28">
        <f aca="true" t="shared" si="12" ref="G207:G224">D207+F207</f>
        <v>0</v>
      </c>
      <c r="H207" s="47"/>
      <c r="I207" s="46"/>
    </row>
    <row r="208" spans="1:9" s="20" customFormat="1" ht="65.25" customHeight="1" hidden="1">
      <c r="A208" s="18" t="s">
        <v>165</v>
      </c>
      <c r="B208" s="4" t="s">
        <v>166</v>
      </c>
      <c r="C208" s="4" t="s">
        <v>175</v>
      </c>
      <c r="D208" s="17"/>
      <c r="E208" s="4"/>
      <c r="F208" s="12"/>
      <c r="G208" s="28">
        <f t="shared" si="12"/>
        <v>0</v>
      </c>
      <c r="I208" s="46"/>
    </row>
    <row r="209" spans="1:9" s="20" customFormat="1" ht="78.75" customHeight="1">
      <c r="A209" s="18" t="s">
        <v>88</v>
      </c>
      <c r="B209" s="4" t="s">
        <v>89</v>
      </c>
      <c r="C209" s="4" t="s">
        <v>271</v>
      </c>
      <c r="D209" s="17">
        <v>0</v>
      </c>
      <c r="E209" s="4" t="s">
        <v>271</v>
      </c>
      <c r="F209" s="12">
        <v>0</v>
      </c>
      <c r="G209" s="19">
        <f t="shared" si="12"/>
        <v>0</v>
      </c>
      <c r="H209" s="47"/>
      <c r="I209" s="46"/>
    </row>
    <row r="210" spans="1:9" s="20" customFormat="1" ht="78.75">
      <c r="A210" s="459" t="s">
        <v>90</v>
      </c>
      <c r="B210" s="463" t="s">
        <v>91</v>
      </c>
      <c r="C210" s="4" t="s">
        <v>271</v>
      </c>
      <c r="D210" s="17">
        <v>0</v>
      </c>
      <c r="E210" s="4" t="s">
        <v>271</v>
      </c>
      <c r="F210" s="12">
        <v>0</v>
      </c>
      <c r="G210" s="19">
        <f t="shared" si="12"/>
        <v>0</v>
      </c>
      <c r="H210" s="47"/>
      <c r="I210" s="46"/>
    </row>
    <row r="211" spans="1:9" s="20" customFormat="1" ht="68.25" customHeight="1">
      <c r="A211" s="459"/>
      <c r="B211" s="463"/>
      <c r="C211" s="4" t="s">
        <v>297</v>
      </c>
      <c r="D211" s="17">
        <v>0</v>
      </c>
      <c r="E211" s="4"/>
      <c r="F211" s="12"/>
      <c r="G211" s="19">
        <f t="shared" si="12"/>
        <v>0</v>
      </c>
      <c r="I211" s="46"/>
    </row>
    <row r="212" spans="1:9" s="20" customFormat="1" ht="47.25">
      <c r="A212" s="22" t="s">
        <v>153</v>
      </c>
      <c r="B212" s="23" t="s">
        <v>58</v>
      </c>
      <c r="C212" s="4"/>
      <c r="D212" s="24">
        <f>D217</f>
        <v>0</v>
      </c>
      <c r="E212" s="5"/>
      <c r="F212" s="24">
        <f>F213+F214+F215</f>
        <v>0</v>
      </c>
      <c r="G212" s="24">
        <f t="shared" si="12"/>
        <v>0</v>
      </c>
      <c r="H212" s="47"/>
      <c r="I212" s="46"/>
    </row>
    <row r="213" spans="1:9" s="20" customFormat="1" ht="47.25">
      <c r="A213" s="18" t="s">
        <v>165</v>
      </c>
      <c r="B213" s="4" t="s">
        <v>166</v>
      </c>
      <c r="C213" s="4"/>
      <c r="D213" s="17"/>
      <c r="E213" s="4" t="s">
        <v>251</v>
      </c>
      <c r="F213" s="17">
        <v>0</v>
      </c>
      <c r="G213" s="17">
        <f t="shared" si="12"/>
        <v>0</v>
      </c>
      <c r="I213" s="46"/>
    </row>
    <row r="214" spans="1:9" s="20" customFormat="1" ht="63">
      <c r="A214" s="18" t="s">
        <v>84</v>
      </c>
      <c r="B214" s="4" t="s">
        <v>85</v>
      </c>
      <c r="C214" s="4"/>
      <c r="D214" s="5"/>
      <c r="E214" s="4" t="s">
        <v>272</v>
      </c>
      <c r="F214" s="12">
        <v>0</v>
      </c>
      <c r="G214" s="17">
        <f t="shared" si="12"/>
        <v>0</v>
      </c>
      <c r="I214" s="46"/>
    </row>
    <row r="215" spans="1:9" s="20" customFormat="1" ht="79.5" customHeight="1">
      <c r="A215" s="18" t="s">
        <v>99</v>
      </c>
      <c r="B215" s="4" t="s">
        <v>100</v>
      </c>
      <c r="C215" s="4"/>
      <c r="D215" s="5"/>
      <c r="E215" s="4" t="s">
        <v>272</v>
      </c>
      <c r="F215" s="19">
        <v>0</v>
      </c>
      <c r="G215" s="17">
        <f t="shared" si="12"/>
        <v>0</v>
      </c>
      <c r="I215" s="46"/>
    </row>
    <row r="216" spans="1:9" s="20" customFormat="1" ht="78.75" hidden="1">
      <c r="A216" s="18" t="s">
        <v>88</v>
      </c>
      <c r="B216" s="4" t="s">
        <v>219</v>
      </c>
      <c r="C216" s="4"/>
      <c r="D216" s="17"/>
      <c r="E216" s="4" t="s">
        <v>271</v>
      </c>
      <c r="F216" s="19">
        <v>0</v>
      </c>
      <c r="G216" s="24">
        <f t="shared" si="12"/>
        <v>0</v>
      </c>
      <c r="I216" s="46"/>
    </row>
    <row r="217" spans="1:9" s="20" customFormat="1" ht="53.25" customHeight="1">
      <c r="A217" s="18" t="s">
        <v>77</v>
      </c>
      <c r="B217" s="4" t="s">
        <v>92</v>
      </c>
      <c r="C217" s="4" t="s">
        <v>256</v>
      </c>
      <c r="D217" s="17">
        <v>0</v>
      </c>
      <c r="E217" s="4"/>
      <c r="F217" s="19"/>
      <c r="G217" s="17">
        <f t="shared" si="12"/>
        <v>0</v>
      </c>
      <c r="I217" s="46"/>
    </row>
    <row r="218" spans="1:9" s="20" customFormat="1" ht="46.5" customHeight="1">
      <c r="A218" s="22" t="s">
        <v>152</v>
      </c>
      <c r="B218" s="23" t="s">
        <v>37</v>
      </c>
      <c r="C218" s="4"/>
      <c r="D218" s="24">
        <f>D220+D221+D223</f>
        <v>0</v>
      </c>
      <c r="E218" s="5"/>
      <c r="F218" s="27"/>
      <c r="G218" s="28">
        <f t="shared" si="12"/>
        <v>0</v>
      </c>
      <c r="I218" s="46"/>
    </row>
    <row r="219" spans="1:9" s="20" customFormat="1" ht="46.5" customHeight="1" hidden="1">
      <c r="A219" s="26" t="s">
        <v>165</v>
      </c>
      <c r="B219" s="4" t="s">
        <v>166</v>
      </c>
      <c r="C219" s="4" t="s">
        <v>185</v>
      </c>
      <c r="D219" s="21"/>
      <c r="E219" s="5"/>
      <c r="F219" s="19"/>
      <c r="G219" s="28">
        <f t="shared" si="12"/>
        <v>0</v>
      </c>
      <c r="I219" s="46"/>
    </row>
    <row r="220" spans="1:9" s="20" customFormat="1" ht="70.5" customHeight="1">
      <c r="A220" s="18" t="s">
        <v>165</v>
      </c>
      <c r="B220" s="4" t="s">
        <v>166</v>
      </c>
      <c r="C220" s="4" t="s">
        <v>282</v>
      </c>
      <c r="D220" s="21">
        <v>0</v>
      </c>
      <c r="E220" s="5"/>
      <c r="F220" s="19"/>
      <c r="G220" s="19">
        <f t="shared" si="12"/>
        <v>0</v>
      </c>
      <c r="I220" s="46"/>
    </row>
    <row r="221" spans="1:9" s="20" customFormat="1" ht="15.75">
      <c r="A221" s="26">
        <v>230000</v>
      </c>
      <c r="B221" s="4" t="s">
        <v>194</v>
      </c>
      <c r="C221" s="463" t="s">
        <v>311</v>
      </c>
      <c r="D221" s="21">
        <v>0</v>
      </c>
      <c r="E221" s="5"/>
      <c r="F221" s="27"/>
      <c r="G221" s="19">
        <f t="shared" si="12"/>
        <v>0</v>
      </c>
      <c r="I221" s="46"/>
    </row>
    <row r="222" spans="1:9" s="20" customFormat="1" ht="48" customHeight="1" hidden="1">
      <c r="A222" s="26">
        <v>210105</v>
      </c>
      <c r="B222" s="4"/>
      <c r="C222" s="463"/>
      <c r="D222" s="21">
        <v>0</v>
      </c>
      <c r="E222" s="5"/>
      <c r="F222" s="19">
        <v>0</v>
      </c>
      <c r="G222" s="19">
        <f t="shared" si="12"/>
        <v>0</v>
      </c>
      <c r="I222" s="46"/>
    </row>
    <row r="223" spans="1:9" s="20" customFormat="1" ht="33" customHeight="1">
      <c r="A223" s="18" t="s">
        <v>77</v>
      </c>
      <c r="B223" s="4" t="s">
        <v>92</v>
      </c>
      <c r="C223" s="463"/>
      <c r="D223" s="17">
        <v>0</v>
      </c>
      <c r="E223" s="4"/>
      <c r="F223" s="9"/>
      <c r="G223" s="19">
        <f t="shared" si="12"/>
        <v>0</v>
      </c>
      <c r="I223" s="46"/>
    </row>
    <row r="224" spans="1:9" s="20" customFormat="1" ht="47.25">
      <c r="A224" s="22" t="s">
        <v>193</v>
      </c>
      <c r="B224" s="23" t="s">
        <v>37</v>
      </c>
      <c r="C224" s="4"/>
      <c r="D224" s="32">
        <v>0</v>
      </c>
      <c r="E224" s="4"/>
      <c r="F224" s="24">
        <f>F226+F227</f>
        <v>0</v>
      </c>
      <c r="G224" s="24">
        <f t="shared" si="12"/>
        <v>0</v>
      </c>
      <c r="H224" s="47"/>
      <c r="I224" s="46"/>
    </row>
    <row r="225" spans="1:9" s="20" customFormat="1" ht="45" customHeight="1" hidden="1">
      <c r="A225" s="18" t="s">
        <v>101</v>
      </c>
      <c r="B225" s="4" t="s">
        <v>195</v>
      </c>
      <c r="C225" s="4"/>
      <c r="D225" s="5"/>
      <c r="E225" s="4" t="s">
        <v>203</v>
      </c>
      <c r="F225" s="12">
        <v>0</v>
      </c>
      <c r="G225" s="9">
        <v>0</v>
      </c>
      <c r="I225" s="46"/>
    </row>
    <row r="226" spans="1:9" s="20" customFormat="1" ht="51.75" customHeight="1">
      <c r="A226" s="464">
        <v>250380</v>
      </c>
      <c r="B226" s="461" t="s">
        <v>289</v>
      </c>
      <c r="C226" s="4"/>
      <c r="D226" s="5"/>
      <c r="E226" s="4" t="s">
        <v>270</v>
      </c>
      <c r="F226" s="19">
        <v>0</v>
      </c>
      <c r="G226" s="19">
        <f>F226</f>
        <v>0</v>
      </c>
      <c r="I226" s="46"/>
    </row>
    <row r="227" spans="1:9" s="20" customFormat="1" ht="51.75" customHeight="1">
      <c r="A227" s="465"/>
      <c r="B227" s="462"/>
      <c r="C227" s="4"/>
      <c r="D227" s="5"/>
      <c r="E227" s="4" t="s">
        <v>292</v>
      </c>
      <c r="F227" s="19">
        <v>0</v>
      </c>
      <c r="G227" s="19">
        <f>F227</f>
        <v>0</v>
      </c>
      <c r="I227" s="46"/>
    </row>
    <row r="228" spans="1:9" s="20" customFormat="1" ht="47.25">
      <c r="A228" s="22" t="s">
        <v>134</v>
      </c>
      <c r="B228" s="23" t="s">
        <v>40</v>
      </c>
      <c r="C228" s="4"/>
      <c r="D228" s="24">
        <f>D232+D235+D236+D237+D238+D241+D242</f>
        <v>0</v>
      </c>
      <c r="E228" s="4"/>
      <c r="F228" s="24">
        <f>F231+F234</f>
        <v>0</v>
      </c>
      <c r="G228" s="24">
        <f>D228+F228</f>
        <v>0</v>
      </c>
      <c r="H228" s="47"/>
      <c r="I228" s="46"/>
    </row>
    <row r="229" spans="1:9" s="20" customFormat="1" ht="49.5" customHeight="1" hidden="1">
      <c r="A229" s="18" t="s">
        <v>165</v>
      </c>
      <c r="B229" s="4" t="s">
        <v>166</v>
      </c>
      <c r="C229" s="4" t="s">
        <v>171</v>
      </c>
      <c r="D229" s="17"/>
      <c r="E229" s="4" t="s">
        <v>171</v>
      </c>
      <c r="F229" s="19"/>
      <c r="G229" s="9">
        <v>0</v>
      </c>
      <c r="I229" s="46"/>
    </row>
    <row r="230" spans="1:9" s="20" customFormat="1" ht="72" customHeight="1" hidden="1">
      <c r="A230" s="459" t="s">
        <v>165</v>
      </c>
      <c r="B230" s="463" t="s">
        <v>166</v>
      </c>
      <c r="C230" s="4" t="s">
        <v>282</v>
      </c>
      <c r="D230" s="17">
        <v>0</v>
      </c>
      <c r="E230" s="4"/>
      <c r="F230" s="19"/>
      <c r="G230" s="19">
        <v>0</v>
      </c>
      <c r="I230" s="46"/>
    </row>
    <row r="231" spans="1:9" s="20" customFormat="1" ht="63" customHeight="1">
      <c r="A231" s="459"/>
      <c r="B231" s="463"/>
      <c r="C231" s="4"/>
      <c r="D231" s="17"/>
      <c r="E231" s="4" t="s">
        <v>267</v>
      </c>
      <c r="F231" s="19">
        <v>0</v>
      </c>
      <c r="G231" s="19">
        <f>F231</f>
        <v>0</v>
      </c>
      <c r="I231" s="46"/>
    </row>
    <row r="232" spans="1:9" s="20" customFormat="1" ht="47.25" customHeight="1">
      <c r="A232" s="18" t="s">
        <v>94</v>
      </c>
      <c r="B232" s="4" t="s">
        <v>95</v>
      </c>
      <c r="C232" s="4" t="s">
        <v>270</v>
      </c>
      <c r="D232" s="17">
        <v>0</v>
      </c>
      <c r="E232" s="4"/>
      <c r="F232" s="19"/>
      <c r="G232" s="19">
        <f>D232</f>
        <v>0</v>
      </c>
      <c r="I232" s="46"/>
    </row>
    <row r="233" spans="1:9" s="20" customFormat="1" ht="42.75" customHeight="1" hidden="1">
      <c r="A233" s="18" t="s">
        <v>84</v>
      </c>
      <c r="B233" s="4" t="s">
        <v>85</v>
      </c>
      <c r="C233" s="4"/>
      <c r="D233" s="17"/>
      <c r="E233" s="4" t="s">
        <v>199</v>
      </c>
      <c r="F233" s="19">
        <v>0</v>
      </c>
      <c r="G233" s="9">
        <v>0</v>
      </c>
      <c r="I233" s="46"/>
    </row>
    <row r="234" spans="1:9" s="20" customFormat="1" ht="95.25" customHeight="1">
      <c r="A234" s="18" t="s">
        <v>71</v>
      </c>
      <c r="B234" s="4" t="s">
        <v>221</v>
      </c>
      <c r="C234" s="4"/>
      <c r="D234" s="17"/>
      <c r="E234" s="4" t="s">
        <v>280</v>
      </c>
      <c r="F234" s="19">
        <v>0</v>
      </c>
      <c r="G234" s="19">
        <f>F234</f>
        <v>0</v>
      </c>
      <c r="I234" s="46"/>
    </row>
    <row r="235" spans="1:9" s="20" customFormat="1" ht="47.25">
      <c r="A235" s="459" t="s">
        <v>77</v>
      </c>
      <c r="B235" s="463" t="s">
        <v>92</v>
      </c>
      <c r="C235" s="4" t="s">
        <v>253</v>
      </c>
      <c r="D235" s="17">
        <v>0</v>
      </c>
      <c r="E235" s="4"/>
      <c r="F235" s="9"/>
      <c r="G235" s="19">
        <f>D235</f>
        <v>0</v>
      </c>
      <c r="I235" s="46"/>
    </row>
    <row r="236" spans="1:9" s="20" customFormat="1" ht="47.25">
      <c r="A236" s="459"/>
      <c r="B236" s="463"/>
      <c r="C236" s="4" t="s">
        <v>270</v>
      </c>
      <c r="D236" s="17">
        <v>0</v>
      </c>
      <c r="E236" s="4"/>
      <c r="F236" s="9"/>
      <c r="G236" s="19">
        <f aca="true" t="shared" si="13" ref="G236:G242">D236</f>
        <v>0</v>
      </c>
      <c r="I236" s="46"/>
    </row>
    <row r="237" spans="1:9" s="20" customFormat="1" ht="63">
      <c r="A237" s="459"/>
      <c r="B237" s="463"/>
      <c r="C237" s="4" t="s">
        <v>257</v>
      </c>
      <c r="D237" s="17">
        <v>0</v>
      </c>
      <c r="E237" s="4"/>
      <c r="F237" s="9"/>
      <c r="G237" s="19">
        <f t="shared" si="13"/>
        <v>0</v>
      </c>
      <c r="I237" s="46"/>
    </row>
    <row r="238" spans="1:9" s="20" customFormat="1" ht="47.25">
      <c r="A238" s="459"/>
      <c r="B238" s="463"/>
      <c r="C238" s="4" t="s">
        <v>262</v>
      </c>
      <c r="D238" s="17">
        <v>0</v>
      </c>
      <c r="E238" s="4"/>
      <c r="F238" s="9"/>
      <c r="G238" s="19">
        <f t="shared" si="13"/>
        <v>0</v>
      </c>
      <c r="I238" s="46"/>
    </row>
    <row r="239" spans="1:9" s="20" customFormat="1" ht="45.75" customHeight="1" hidden="1">
      <c r="A239" s="459"/>
      <c r="B239" s="463"/>
      <c r="C239" s="4"/>
      <c r="D239" s="5"/>
      <c r="E239" s="4"/>
      <c r="F239" s="9"/>
      <c r="G239" s="19">
        <f t="shared" si="13"/>
        <v>0</v>
      </c>
      <c r="I239" s="46"/>
    </row>
    <row r="240" spans="1:9" s="20" customFormat="1" ht="56.25" customHeight="1" hidden="1">
      <c r="A240" s="459"/>
      <c r="B240" s="463"/>
      <c r="C240" s="4"/>
      <c r="D240" s="5"/>
      <c r="E240" s="4"/>
      <c r="F240" s="9"/>
      <c r="G240" s="19">
        <f t="shared" si="13"/>
        <v>0</v>
      </c>
      <c r="I240" s="46"/>
    </row>
    <row r="241" spans="1:9" s="20" customFormat="1" ht="63">
      <c r="A241" s="459"/>
      <c r="B241" s="463"/>
      <c r="C241" s="4" t="s">
        <v>273</v>
      </c>
      <c r="D241" s="17">
        <v>0</v>
      </c>
      <c r="E241" s="4"/>
      <c r="F241" s="9"/>
      <c r="G241" s="19">
        <f t="shared" si="13"/>
        <v>0</v>
      </c>
      <c r="I241" s="46"/>
    </row>
    <row r="242" spans="1:9" s="20" customFormat="1" ht="63.75" customHeight="1">
      <c r="A242" s="459"/>
      <c r="B242" s="463"/>
      <c r="C242" s="4" t="s">
        <v>282</v>
      </c>
      <c r="D242" s="17">
        <v>0</v>
      </c>
      <c r="E242" s="4"/>
      <c r="F242" s="9"/>
      <c r="G242" s="19">
        <f t="shared" si="13"/>
        <v>0</v>
      </c>
      <c r="I242" s="46"/>
    </row>
    <row r="243" spans="1:9" s="20" customFormat="1" ht="47.25">
      <c r="A243" s="22" t="s">
        <v>135</v>
      </c>
      <c r="B243" s="23" t="s">
        <v>43</v>
      </c>
      <c r="C243" s="4"/>
      <c r="D243" s="24">
        <f>D245+D249+D251+D252+D253+D254</f>
        <v>0</v>
      </c>
      <c r="E243" s="23"/>
      <c r="F243" s="24">
        <f>F244+F245+F246+F248</f>
        <v>0</v>
      </c>
      <c r="G243" s="24">
        <f>D243+F243</f>
        <v>0</v>
      </c>
      <c r="H243" s="47"/>
      <c r="I243" s="46"/>
    </row>
    <row r="244" spans="1:9" s="20" customFormat="1" ht="43.5" customHeight="1">
      <c r="A244" s="18" t="s">
        <v>165</v>
      </c>
      <c r="B244" s="4" t="s">
        <v>166</v>
      </c>
      <c r="C244" s="4"/>
      <c r="D244" s="17"/>
      <c r="E244" s="4" t="s">
        <v>267</v>
      </c>
      <c r="F244" s="19">
        <v>0</v>
      </c>
      <c r="G244" s="19">
        <f>F244</f>
        <v>0</v>
      </c>
      <c r="I244" s="46"/>
    </row>
    <row r="245" spans="1:9" s="20" customFormat="1" ht="50.25" customHeight="1">
      <c r="A245" s="459" t="s">
        <v>94</v>
      </c>
      <c r="B245" s="463" t="s">
        <v>95</v>
      </c>
      <c r="C245" s="4" t="s">
        <v>270</v>
      </c>
      <c r="D245" s="17">
        <v>0</v>
      </c>
      <c r="E245" s="4" t="s">
        <v>270</v>
      </c>
      <c r="F245" s="19">
        <v>0</v>
      </c>
      <c r="G245" s="19">
        <f>D245+F245</f>
        <v>0</v>
      </c>
      <c r="I245" s="46"/>
    </row>
    <row r="246" spans="1:9" s="20" customFormat="1" ht="47.25">
      <c r="A246" s="459"/>
      <c r="B246" s="463"/>
      <c r="C246" s="4"/>
      <c r="D246" s="17"/>
      <c r="E246" s="35" t="s">
        <v>264</v>
      </c>
      <c r="F246" s="39">
        <v>0</v>
      </c>
      <c r="G246" s="39">
        <f>F246</f>
        <v>0</v>
      </c>
      <c r="I246" s="46"/>
    </row>
    <row r="247" spans="1:9" s="20" customFormat="1" ht="21.75" customHeight="1" hidden="1">
      <c r="A247" s="18" t="s">
        <v>84</v>
      </c>
      <c r="B247" s="4" t="s">
        <v>85</v>
      </c>
      <c r="C247" s="4"/>
      <c r="D247" s="17"/>
      <c r="E247" s="4"/>
      <c r="F247" s="19"/>
      <c r="G247" s="19">
        <v>0</v>
      </c>
      <c r="I247" s="46"/>
    </row>
    <row r="248" spans="1:9" s="20" customFormat="1" ht="99.75" customHeight="1">
      <c r="A248" s="18" t="s">
        <v>71</v>
      </c>
      <c r="B248" s="4" t="s">
        <v>221</v>
      </c>
      <c r="C248" s="4"/>
      <c r="D248" s="17"/>
      <c r="E248" s="4" t="s">
        <v>280</v>
      </c>
      <c r="F248" s="19">
        <v>0</v>
      </c>
      <c r="G248" s="19">
        <f>F248</f>
        <v>0</v>
      </c>
      <c r="I248" s="46"/>
    </row>
    <row r="249" spans="1:9" s="20" customFormat="1" ht="47.25">
      <c r="A249" s="459" t="s">
        <v>77</v>
      </c>
      <c r="B249" s="463" t="s">
        <v>92</v>
      </c>
      <c r="C249" s="4" t="s">
        <v>253</v>
      </c>
      <c r="D249" s="17">
        <v>0</v>
      </c>
      <c r="E249" s="4"/>
      <c r="F249" s="9"/>
      <c r="G249" s="19">
        <f aca="true" t="shared" si="14" ref="G249:G254">D249</f>
        <v>0</v>
      </c>
      <c r="I249" s="46"/>
    </row>
    <row r="250" spans="1:9" s="20" customFormat="1" ht="34.5" customHeight="1" hidden="1">
      <c r="A250" s="459"/>
      <c r="B250" s="463"/>
      <c r="C250" s="4"/>
      <c r="D250" s="17"/>
      <c r="E250" s="4"/>
      <c r="F250" s="9"/>
      <c r="G250" s="19">
        <f t="shared" si="14"/>
        <v>0</v>
      </c>
      <c r="I250" s="46"/>
    </row>
    <row r="251" spans="1:9" s="20" customFormat="1" ht="63">
      <c r="A251" s="459"/>
      <c r="B251" s="463"/>
      <c r="C251" s="4" t="s">
        <v>257</v>
      </c>
      <c r="D251" s="17">
        <v>0</v>
      </c>
      <c r="E251" s="4"/>
      <c r="F251" s="9"/>
      <c r="G251" s="19">
        <f t="shared" si="14"/>
        <v>0</v>
      </c>
      <c r="I251" s="46"/>
    </row>
    <row r="252" spans="1:9" s="20" customFormat="1" ht="47.25">
      <c r="A252" s="459"/>
      <c r="B252" s="463"/>
      <c r="C252" s="4" t="s">
        <v>262</v>
      </c>
      <c r="D252" s="17">
        <v>0</v>
      </c>
      <c r="E252" s="4"/>
      <c r="F252" s="9"/>
      <c r="G252" s="19">
        <f t="shared" si="14"/>
        <v>0</v>
      </c>
      <c r="I252" s="46"/>
    </row>
    <row r="253" spans="1:9" s="20" customFormat="1" ht="47.25">
      <c r="A253" s="459"/>
      <c r="B253" s="463"/>
      <c r="C253" s="4" t="s">
        <v>270</v>
      </c>
      <c r="D253" s="17">
        <v>0</v>
      </c>
      <c r="E253" s="4"/>
      <c r="F253" s="9"/>
      <c r="G253" s="19">
        <f t="shared" si="14"/>
        <v>0</v>
      </c>
      <c r="I253" s="46"/>
    </row>
    <row r="254" spans="1:9" s="20" customFormat="1" ht="63">
      <c r="A254" s="459"/>
      <c r="B254" s="463"/>
      <c r="C254" s="4" t="s">
        <v>273</v>
      </c>
      <c r="D254" s="17">
        <v>0</v>
      </c>
      <c r="E254" s="4"/>
      <c r="F254" s="9"/>
      <c r="G254" s="19">
        <f t="shared" si="14"/>
        <v>0</v>
      </c>
      <c r="I254" s="46"/>
    </row>
    <row r="255" spans="1:9" s="20" customFormat="1" ht="47.25">
      <c r="A255" s="22" t="s">
        <v>136</v>
      </c>
      <c r="B255" s="23" t="s">
        <v>44</v>
      </c>
      <c r="C255" s="4"/>
      <c r="D255" s="24">
        <f>D257+D260+D261+D262+D263+D265+D266</f>
        <v>0</v>
      </c>
      <c r="E255" s="23"/>
      <c r="F255" s="24">
        <f>F256+F257+F258+F259</f>
        <v>0</v>
      </c>
      <c r="G255" s="24">
        <f>D255+F255</f>
        <v>0</v>
      </c>
      <c r="H255" s="47"/>
      <c r="I255" s="46"/>
    </row>
    <row r="256" spans="1:9" s="20" customFormat="1" ht="52.5" customHeight="1">
      <c r="A256" s="18" t="s">
        <v>165</v>
      </c>
      <c r="B256" s="4" t="s">
        <v>166</v>
      </c>
      <c r="C256" s="4"/>
      <c r="D256" s="17"/>
      <c r="E256" s="4" t="s">
        <v>267</v>
      </c>
      <c r="F256" s="19">
        <v>0</v>
      </c>
      <c r="G256" s="19">
        <f>F256</f>
        <v>0</v>
      </c>
      <c r="I256" s="46"/>
    </row>
    <row r="257" spans="1:9" s="20" customFormat="1" ht="56.25" customHeight="1">
      <c r="A257" s="18" t="s">
        <v>94</v>
      </c>
      <c r="B257" s="4" t="s">
        <v>95</v>
      </c>
      <c r="C257" s="4" t="s">
        <v>270</v>
      </c>
      <c r="D257" s="17">
        <v>0</v>
      </c>
      <c r="E257" s="4" t="s">
        <v>270</v>
      </c>
      <c r="F257" s="19">
        <v>0</v>
      </c>
      <c r="G257" s="19">
        <f>D257+F257</f>
        <v>0</v>
      </c>
      <c r="I257" s="46"/>
    </row>
    <row r="258" spans="1:9" s="20" customFormat="1" ht="47.25">
      <c r="A258" s="18" t="s">
        <v>84</v>
      </c>
      <c r="B258" s="4" t="s">
        <v>85</v>
      </c>
      <c r="C258" s="4"/>
      <c r="D258" s="17"/>
      <c r="E258" s="4" t="s">
        <v>270</v>
      </c>
      <c r="F258" s="19">
        <v>0</v>
      </c>
      <c r="G258" s="19">
        <f>F258</f>
        <v>0</v>
      </c>
      <c r="I258" s="46"/>
    </row>
    <row r="259" spans="1:9" s="20" customFormat="1" ht="99.75" customHeight="1">
      <c r="A259" s="18" t="s">
        <v>71</v>
      </c>
      <c r="B259" s="4" t="s">
        <v>221</v>
      </c>
      <c r="C259" s="4"/>
      <c r="D259" s="17"/>
      <c r="E259" s="4" t="s">
        <v>280</v>
      </c>
      <c r="F259" s="19">
        <v>0</v>
      </c>
      <c r="G259" s="19">
        <f>F259</f>
        <v>0</v>
      </c>
      <c r="I259" s="46"/>
    </row>
    <row r="260" spans="1:9" s="20" customFormat="1" ht="47.25">
      <c r="A260" s="459" t="s">
        <v>77</v>
      </c>
      <c r="B260" s="463" t="s">
        <v>92</v>
      </c>
      <c r="C260" s="4" t="s">
        <v>253</v>
      </c>
      <c r="D260" s="17">
        <v>0</v>
      </c>
      <c r="E260" s="4"/>
      <c r="F260" s="9"/>
      <c r="G260" s="19">
        <f>D260</f>
        <v>0</v>
      </c>
      <c r="I260" s="46"/>
    </row>
    <row r="261" spans="1:9" s="20" customFormat="1" ht="47.25">
      <c r="A261" s="459"/>
      <c r="B261" s="463"/>
      <c r="C261" s="4" t="s">
        <v>270</v>
      </c>
      <c r="D261" s="17">
        <v>0</v>
      </c>
      <c r="E261" s="4"/>
      <c r="F261" s="9"/>
      <c r="G261" s="19">
        <f aca="true" t="shared" si="15" ref="G261:G266">D261</f>
        <v>0</v>
      </c>
      <c r="I261" s="46"/>
    </row>
    <row r="262" spans="1:9" s="20" customFormat="1" ht="63">
      <c r="A262" s="459"/>
      <c r="B262" s="463"/>
      <c r="C262" s="4" t="s">
        <v>257</v>
      </c>
      <c r="D262" s="17">
        <v>0</v>
      </c>
      <c r="E262" s="4"/>
      <c r="F262" s="9"/>
      <c r="G262" s="19">
        <f t="shared" si="15"/>
        <v>0</v>
      </c>
      <c r="I262" s="46"/>
    </row>
    <row r="263" spans="1:9" s="20" customFormat="1" ht="47.25">
      <c r="A263" s="459"/>
      <c r="B263" s="463"/>
      <c r="C263" s="4" t="s">
        <v>262</v>
      </c>
      <c r="D263" s="17">
        <v>0</v>
      </c>
      <c r="E263" s="4"/>
      <c r="F263" s="9"/>
      <c r="G263" s="19">
        <f t="shared" si="15"/>
        <v>0</v>
      </c>
      <c r="I263" s="46"/>
    </row>
    <row r="264" spans="1:9" s="20" customFormat="1" ht="21.75" customHeight="1" hidden="1">
      <c r="A264" s="459"/>
      <c r="B264" s="463"/>
      <c r="C264" s="4"/>
      <c r="D264" s="5"/>
      <c r="E264" s="4"/>
      <c r="F264" s="9"/>
      <c r="G264" s="19">
        <f t="shared" si="15"/>
        <v>0</v>
      </c>
      <c r="I264" s="46"/>
    </row>
    <row r="265" spans="1:9" s="20" customFormat="1" ht="63">
      <c r="A265" s="459"/>
      <c r="B265" s="463"/>
      <c r="C265" s="4" t="s">
        <v>273</v>
      </c>
      <c r="D265" s="17">
        <v>0</v>
      </c>
      <c r="E265" s="4"/>
      <c r="F265" s="9"/>
      <c r="G265" s="19">
        <f t="shared" si="15"/>
        <v>0</v>
      </c>
      <c r="I265" s="46"/>
    </row>
    <row r="266" spans="1:9" s="20" customFormat="1" ht="66.75" customHeight="1">
      <c r="A266" s="459"/>
      <c r="B266" s="463"/>
      <c r="C266" s="4" t="s">
        <v>282</v>
      </c>
      <c r="D266" s="17">
        <v>0</v>
      </c>
      <c r="E266" s="4"/>
      <c r="F266" s="9"/>
      <c r="G266" s="19">
        <f t="shared" si="15"/>
        <v>0</v>
      </c>
      <c r="I266" s="46"/>
    </row>
    <row r="267" spans="1:9" s="20" customFormat="1" ht="47.25">
      <c r="A267" s="22" t="s">
        <v>137</v>
      </c>
      <c r="B267" s="23" t="s">
        <v>45</v>
      </c>
      <c r="C267" s="4"/>
      <c r="D267" s="24">
        <f>D269+D271+D272+D273+D274+D275+D276</f>
        <v>0</v>
      </c>
      <c r="E267" s="23"/>
      <c r="F267" s="24">
        <f>F268+F269+F270</f>
        <v>0</v>
      </c>
      <c r="G267" s="28">
        <f>D267+F267</f>
        <v>0</v>
      </c>
      <c r="H267" s="48"/>
      <c r="I267" s="46"/>
    </row>
    <row r="268" spans="1:9" s="20" customFormat="1" ht="47.25">
      <c r="A268" s="18" t="s">
        <v>165</v>
      </c>
      <c r="B268" s="4" t="s">
        <v>166</v>
      </c>
      <c r="C268" s="4"/>
      <c r="D268" s="17"/>
      <c r="E268" s="4" t="s">
        <v>267</v>
      </c>
      <c r="F268" s="19">
        <v>0</v>
      </c>
      <c r="G268" s="19">
        <f>F268</f>
        <v>0</v>
      </c>
      <c r="H268" s="33"/>
      <c r="I268" s="46"/>
    </row>
    <row r="269" spans="1:9" s="20" customFormat="1" ht="66" customHeight="1">
      <c r="A269" s="18" t="s">
        <v>94</v>
      </c>
      <c r="B269" s="4" t="s">
        <v>95</v>
      </c>
      <c r="C269" s="4" t="s">
        <v>270</v>
      </c>
      <c r="D269" s="17">
        <v>0</v>
      </c>
      <c r="E269" s="4" t="s">
        <v>270</v>
      </c>
      <c r="F269" s="19">
        <v>0</v>
      </c>
      <c r="G269" s="19">
        <f>D269+F269</f>
        <v>0</v>
      </c>
      <c r="I269" s="46"/>
    </row>
    <row r="270" spans="1:9" s="20" customFormat="1" ht="55.5" customHeight="1">
      <c r="A270" s="18" t="s">
        <v>84</v>
      </c>
      <c r="B270" s="4" t="s">
        <v>85</v>
      </c>
      <c r="C270" s="4"/>
      <c r="D270" s="17"/>
      <c r="E270" s="4" t="s">
        <v>270</v>
      </c>
      <c r="F270" s="19">
        <v>0</v>
      </c>
      <c r="G270" s="19">
        <f>F270</f>
        <v>0</v>
      </c>
      <c r="I270" s="46"/>
    </row>
    <row r="271" spans="1:9" s="20" customFormat="1" ht="47.25">
      <c r="A271" s="459" t="s">
        <v>77</v>
      </c>
      <c r="B271" s="463" t="s">
        <v>92</v>
      </c>
      <c r="C271" s="4" t="s">
        <v>253</v>
      </c>
      <c r="D271" s="17">
        <v>0</v>
      </c>
      <c r="E271" s="4"/>
      <c r="F271" s="9"/>
      <c r="G271" s="19">
        <f aca="true" t="shared" si="16" ref="G271:G276">D271</f>
        <v>0</v>
      </c>
      <c r="I271" s="46"/>
    </row>
    <row r="272" spans="1:9" s="20" customFormat="1" ht="47.25">
      <c r="A272" s="459"/>
      <c r="B272" s="463"/>
      <c r="C272" s="4" t="s">
        <v>270</v>
      </c>
      <c r="D272" s="17">
        <v>0</v>
      </c>
      <c r="E272" s="4"/>
      <c r="F272" s="9"/>
      <c r="G272" s="19">
        <f t="shared" si="16"/>
        <v>0</v>
      </c>
      <c r="I272" s="46"/>
    </row>
    <row r="273" spans="1:9" s="20" customFormat="1" ht="63">
      <c r="A273" s="459"/>
      <c r="B273" s="463"/>
      <c r="C273" s="4" t="s">
        <v>257</v>
      </c>
      <c r="D273" s="17">
        <v>0</v>
      </c>
      <c r="E273" s="4"/>
      <c r="F273" s="9"/>
      <c r="G273" s="19">
        <f t="shared" si="16"/>
        <v>0</v>
      </c>
      <c r="I273" s="46"/>
    </row>
    <row r="274" spans="1:9" s="20" customFormat="1" ht="47.25">
      <c r="A274" s="459"/>
      <c r="B274" s="463"/>
      <c r="C274" s="4" t="s">
        <v>262</v>
      </c>
      <c r="D274" s="17">
        <v>0</v>
      </c>
      <c r="E274" s="4"/>
      <c r="F274" s="9"/>
      <c r="G274" s="19">
        <f t="shared" si="16"/>
        <v>0</v>
      </c>
      <c r="I274" s="46"/>
    </row>
    <row r="275" spans="1:9" s="20" customFormat="1" ht="63">
      <c r="A275" s="459"/>
      <c r="B275" s="463"/>
      <c r="C275" s="4" t="s">
        <v>273</v>
      </c>
      <c r="D275" s="17">
        <v>0</v>
      </c>
      <c r="E275" s="4"/>
      <c r="F275" s="9"/>
      <c r="G275" s="19">
        <f t="shared" si="16"/>
        <v>0</v>
      </c>
      <c r="I275" s="46"/>
    </row>
    <row r="276" spans="1:9" s="20" customFormat="1" ht="63.75" customHeight="1">
      <c r="A276" s="459"/>
      <c r="B276" s="463"/>
      <c r="C276" s="4" t="s">
        <v>282</v>
      </c>
      <c r="D276" s="17">
        <v>0</v>
      </c>
      <c r="E276" s="4"/>
      <c r="F276" s="9"/>
      <c r="G276" s="19">
        <f t="shared" si="16"/>
        <v>0</v>
      </c>
      <c r="I276" s="46"/>
    </row>
    <row r="277" spans="1:9" s="33" customFormat="1" ht="47.25">
      <c r="A277" s="22" t="s">
        <v>138</v>
      </c>
      <c r="B277" s="23" t="s">
        <v>46</v>
      </c>
      <c r="C277" s="23"/>
      <c r="D277" s="24">
        <f>D279+D281+D283+D285+D287+D288+D289+D290+D291+D292</f>
        <v>0</v>
      </c>
      <c r="E277" s="23"/>
      <c r="F277" s="24">
        <f>F280+F284</f>
        <v>0</v>
      </c>
      <c r="G277" s="24">
        <f>D277+F277</f>
        <v>0</v>
      </c>
      <c r="H277" s="48"/>
      <c r="I277" s="46"/>
    </row>
    <row r="278" spans="1:9" s="33" customFormat="1" ht="55.5" customHeight="1" hidden="1">
      <c r="A278" s="18" t="s">
        <v>165</v>
      </c>
      <c r="B278" s="4" t="s">
        <v>166</v>
      </c>
      <c r="C278" s="4" t="s">
        <v>172</v>
      </c>
      <c r="D278" s="17"/>
      <c r="E278" s="4" t="s">
        <v>172</v>
      </c>
      <c r="F278" s="19"/>
      <c r="G278" s="19">
        <v>0</v>
      </c>
      <c r="I278" s="46"/>
    </row>
    <row r="279" spans="1:9" s="33" customFormat="1" ht="69" customHeight="1">
      <c r="A279" s="457" t="s">
        <v>165</v>
      </c>
      <c r="B279" s="461" t="s">
        <v>166</v>
      </c>
      <c r="C279" s="4" t="s">
        <v>282</v>
      </c>
      <c r="D279" s="17">
        <v>0</v>
      </c>
      <c r="E279" s="4"/>
      <c r="F279" s="19"/>
      <c r="G279" s="19">
        <f>D279</f>
        <v>0</v>
      </c>
      <c r="I279" s="46"/>
    </row>
    <row r="280" spans="1:9" s="33" customFormat="1" ht="54.75" customHeight="1">
      <c r="A280" s="458"/>
      <c r="B280" s="462"/>
      <c r="C280" s="4"/>
      <c r="D280" s="17"/>
      <c r="E280" s="4" t="s">
        <v>267</v>
      </c>
      <c r="F280" s="19">
        <v>0</v>
      </c>
      <c r="G280" s="19">
        <f>F280</f>
        <v>0</v>
      </c>
      <c r="I280" s="46"/>
    </row>
    <row r="281" spans="1:9" s="20" customFormat="1" ht="49.5" customHeight="1">
      <c r="A281" s="459" t="s">
        <v>94</v>
      </c>
      <c r="B281" s="463" t="s">
        <v>95</v>
      </c>
      <c r="C281" s="4" t="s">
        <v>270</v>
      </c>
      <c r="D281" s="17">
        <v>0</v>
      </c>
      <c r="E281" s="4"/>
      <c r="F281" s="19"/>
      <c r="G281" s="19">
        <f>D281</f>
        <v>0</v>
      </c>
      <c r="I281" s="46"/>
    </row>
    <row r="282" spans="1:9" s="20" customFormat="1" ht="47.25" hidden="1">
      <c r="A282" s="459"/>
      <c r="B282" s="463"/>
      <c r="C282" s="4"/>
      <c r="D282" s="17"/>
      <c r="E282" s="35" t="s">
        <v>264</v>
      </c>
      <c r="F282" s="39">
        <v>0</v>
      </c>
      <c r="G282" s="39">
        <v>0</v>
      </c>
      <c r="I282" s="46"/>
    </row>
    <row r="283" spans="1:9" s="20" customFormat="1" ht="47.25">
      <c r="A283" s="18" t="s">
        <v>237</v>
      </c>
      <c r="B283" s="4" t="s">
        <v>92</v>
      </c>
      <c r="C283" s="4" t="s">
        <v>259</v>
      </c>
      <c r="D283" s="17">
        <v>0</v>
      </c>
      <c r="E283" s="4"/>
      <c r="F283" s="19"/>
      <c r="G283" s="19">
        <f>D283</f>
        <v>0</v>
      </c>
      <c r="I283" s="46"/>
    </row>
    <row r="284" spans="1:9" s="20" customFormat="1" ht="93.75" customHeight="1">
      <c r="A284" s="18" t="s">
        <v>71</v>
      </c>
      <c r="B284" s="4" t="s">
        <v>221</v>
      </c>
      <c r="C284" s="4"/>
      <c r="D284" s="17"/>
      <c r="E284" s="4" t="s">
        <v>280</v>
      </c>
      <c r="F284" s="19">
        <v>0</v>
      </c>
      <c r="G284" s="19">
        <f>F284</f>
        <v>0</v>
      </c>
      <c r="I284" s="46"/>
    </row>
    <row r="285" spans="1:9" s="20" customFormat="1" ht="47.25">
      <c r="A285" s="459" t="s">
        <v>77</v>
      </c>
      <c r="B285" s="463" t="s">
        <v>92</v>
      </c>
      <c r="C285" s="4" t="s">
        <v>253</v>
      </c>
      <c r="D285" s="17">
        <v>0</v>
      </c>
      <c r="E285" s="4"/>
      <c r="F285" s="9"/>
      <c r="G285" s="19">
        <f>D285</f>
        <v>0</v>
      </c>
      <c r="I285" s="46"/>
    </row>
    <row r="286" spans="1:9" s="20" customFormat="1" ht="21" customHeight="1" hidden="1">
      <c r="A286" s="459"/>
      <c r="B286" s="463"/>
      <c r="C286" s="4"/>
      <c r="D286" s="17"/>
      <c r="E286" s="4"/>
      <c r="F286" s="9"/>
      <c r="G286" s="19">
        <f aca="true" t="shared" si="17" ref="G286:G292">D286</f>
        <v>0</v>
      </c>
      <c r="I286" s="46"/>
    </row>
    <row r="287" spans="1:9" s="20" customFormat="1" ht="63">
      <c r="A287" s="459"/>
      <c r="B287" s="463"/>
      <c r="C287" s="4" t="s">
        <v>258</v>
      </c>
      <c r="D287" s="17">
        <v>0</v>
      </c>
      <c r="E287" s="4"/>
      <c r="F287" s="9"/>
      <c r="G287" s="19">
        <f t="shared" si="17"/>
        <v>0</v>
      </c>
      <c r="I287" s="46"/>
    </row>
    <row r="288" spans="1:9" s="20" customFormat="1" ht="63">
      <c r="A288" s="459"/>
      <c r="B288" s="463"/>
      <c r="C288" s="4" t="s">
        <v>257</v>
      </c>
      <c r="D288" s="17">
        <v>0</v>
      </c>
      <c r="E288" s="4"/>
      <c r="F288" s="9"/>
      <c r="G288" s="19">
        <f t="shared" si="17"/>
        <v>0</v>
      </c>
      <c r="I288" s="46"/>
    </row>
    <row r="289" spans="1:9" s="20" customFormat="1" ht="47.25">
      <c r="A289" s="459"/>
      <c r="B289" s="463"/>
      <c r="C289" s="4" t="s">
        <v>262</v>
      </c>
      <c r="D289" s="17">
        <v>0</v>
      </c>
      <c r="E289" s="4"/>
      <c r="F289" s="9"/>
      <c r="G289" s="19">
        <f t="shared" si="17"/>
        <v>0</v>
      </c>
      <c r="I289" s="46"/>
    </row>
    <row r="290" spans="1:9" s="20" customFormat="1" ht="63">
      <c r="A290" s="459"/>
      <c r="B290" s="463"/>
      <c r="C290" s="4" t="s">
        <v>273</v>
      </c>
      <c r="D290" s="17">
        <v>0</v>
      </c>
      <c r="E290" s="4"/>
      <c r="F290" s="9"/>
      <c r="G290" s="19">
        <f t="shared" si="17"/>
        <v>0</v>
      </c>
      <c r="I290" s="46"/>
    </row>
    <row r="291" spans="1:9" s="20" customFormat="1" ht="47.25">
      <c r="A291" s="459"/>
      <c r="B291" s="463"/>
      <c r="C291" s="4" t="s">
        <v>270</v>
      </c>
      <c r="D291" s="17">
        <v>0</v>
      </c>
      <c r="E291" s="4"/>
      <c r="F291" s="9"/>
      <c r="G291" s="19">
        <f t="shared" si="17"/>
        <v>0</v>
      </c>
      <c r="I291" s="46"/>
    </row>
    <row r="292" spans="1:9" s="20" customFormat="1" ht="65.25" customHeight="1">
      <c r="A292" s="459"/>
      <c r="B292" s="463"/>
      <c r="C292" s="4" t="s">
        <v>282</v>
      </c>
      <c r="D292" s="17">
        <v>0</v>
      </c>
      <c r="E292" s="4"/>
      <c r="F292" s="9"/>
      <c r="G292" s="19">
        <f t="shared" si="17"/>
        <v>0</v>
      </c>
      <c r="I292" s="46"/>
    </row>
    <row r="293" spans="1:9" s="33" customFormat="1" ht="47.25">
      <c r="A293" s="22" t="s">
        <v>139</v>
      </c>
      <c r="B293" s="23" t="s">
        <v>47</v>
      </c>
      <c r="C293" s="23"/>
      <c r="D293" s="24">
        <f>D296+D298+D300+D301+D302+D303+D304</f>
        <v>0</v>
      </c>
      <c r="E293" s="23"/>
      <c r="F293" s="24">
        <f>F294+F295+F296+F297</f>
        <v>0</v>
      </c>
      <c r="G293" s="28">
        <f>D293+F293</f>
        <v>0</v>
      </c>
      <c r="H293" s="48"/>
      <c r="I293" s="46"/>
    </row>
    <row r="294" spans="1:9" s="33" customFormat="1" ht="49.5" customHeight="1">
      <c r="A294" s="18" t="s">
        <v>165</v>
      </c>
      <c r="B294" s="4" t="s">
        <v>166</v>
      </c>
      <c r="C294" s="4"/>
      <c r="D294" s="17"/>
      <c r="E294" s="4" t="s">
        <v>267</v>
      </c>
      <c r="F294" s="19">
        <v>0</v>
      </c>
      <c r="G294" s="19">
        <f>F294</f>
        <v>0</v>
      </c>
      <c r="I294" s="46"/>
    </row>
    <row r="295" spans="1:9" s="33" customFormat="1" ht="49.5" customHeight="1">
      <c r="A295" s="18" t="s">
        <v>84</v>
      </c>
      <c r="B295" s="4" t="s">
        <v>85</v>
      </c>
      <c r="C295" s="4"/>
      <c r="D295" s="17"/>
      <c r="E295" s="4" t="s">
        <v>270</v>
      </c>
      <c r="F295" s="19">
        <v>0</v>
      </c>
      <c r="G295" s="19">
        <f>F295</f>
        <v>0</v>
      </c>
      <c r="I295" s="46"/>
    </row>
    <row r="296" spans="1:9" s="20" customFormat="1" ht="48" customHeight="1">
      <c r="A296" s="18" t="s">
        <v>94</v>
      </c>
      <c r="B296" s="4" t="s">
        <v>95</v>
      </c>
      <c r="C296" s="4" t="s">
        <v>270</v>
      </c>
      <c r="D296" s="17">
        <v>0</v>
      </c>
      <c r="E296" s="4" t="s">
        <v>270</v>
      </c>
      <c r="F296" s="19">
        <v>0</v>
      </c>
      <c r="G296" s="19">
        <f>D296+F296</f>
        <v>0</v>
      </c>
      <c r="I296" s="46"/>
    </row>
    <row r="297" spans="1:9" s="20" customFormat="1" ht="100.5" customHeight="1">
      <c r="A297" s="18" t="s">
        <v>71</v>
      </c>
      <c r="B297" s="4" t="s">
        <v>221</v>
      </c>
      <c r="C297" s="4"/>
      <c r="D297" s="17"/>
      <c r="E297" s="4" t="s">
        <v>280</v>
      </c>
      <c r="F297" s="19">
        <v>0</v>
      </c>
      <c r="G297" s="19">
        <f>F297</f>
        <v>0</v>
      </c>
      <c r="I297" s="46"/>
    </row>
    <row r="298" spans="1:9" s="20" customFormat="1" ht="47.25">
      <c r="A298" s="459" t="s">
        <v>77</v>
      </c>
      <c r="B298" s="463" t="s">
        <v>92</v>
      </c>
      <c r="C298" s="4" t="s">
        <v>253</v>
      </c>
      <c r="D298" s="17">
        <v>0</v>
      </c>
      <c r="E298" s="4"/>
      <c r="F298" s="9"/>
      <c r="G298" s="19">
        <f aca="true" t="shared" si="18" ref="G298:G304">D298</f>
        <v>0</v>
      </c>
      <c r="I298" s="46"/>
    </row>
    <row r="299" spans="1:9" s="20" customFormat="1" ht="30.75" customHeight="1" hidden="1">
      <c r="A299" s="459"/>
      <c r="B299" s="463"/>
      <c r="C299" s="4"/>
      <c r="D299" s="17"/>
      <c r="E299" s="4"/>
      <c r="F299" s="9"/>
      <c r="G299" s="19">
        <f t="shared" si="18"/>
        <v>0</v>
      </c>
      <c r="I299" s="46"/>
    </row>
    <row r="300" spans="1:9" s="20" customFormat="1" ht="63">
      <c r="A300" s="459"/>
      <c r="B300" s="463"/>
      <c r="C300" s="4" t="s">
        <v>257</v>
      </c>
      <c r="D300" s="17">
        <v>0</v>
      </c>
      <c r="E300" s="4"/>
      <c r="F300" s="9"/>
      <c r="G300" s="19">
        <f t="shared" si="18"/>
        <v>0</v>
      </c>
      <c r="I300" s="46"/>
    </row>
    <row r="301" spans="1:9" s="20" customFormat="1" ht="47.25">
      <c r="A301" s="459"/>
      <c r="B301" s="463"/>
      <c r="C301" s="4" t="s">
        <v>262</v>
      </c>
      <c r="D301" s="17">
        <v>0</v>
      </c>
      <c r="E301" s="4"/>
      <c r="F301" s="9"/>
      <c r="G301" s="19">
        <f t="shared" si="18"/>
        <v>0</v>
      </c>
      <c r="I301" s="46"/>
    </row>
    <row r="302" spans="1:9" s="20" customFormat="1" ht="63">
      <c r="A302" s="459"/>
      <c r="B302" s="463"/>
      <c r="C302" s="4" t="s">
        <v>273</v>
      </c>
      <c r="D302" s="17">
        <v>0</v>
      </c>
      <c r="E302" s="4"/>
      <c r="F302" s="9"/>
      <c r="G302" s="19">
        <f t="shared" si="18"/>
        <v>0</v>
      </c>
      <c r="I302" s="46"/>
    </row>
    <row r="303" spans="1:9" s="20" customFormat="1" ht="47.25">
      <c r="A303" s="459"/>
      <c r="B303" s="463"/>
      <c r="C303" s="4" t="s">
        <v>270</v>
      </c>
      <c r="D303" s="17">
        <v>0</v>
      </c>
      <c r="E303" s="4"/>
      <c r="F303" s="9"/>
      <c r="G303" s="19">
        <f t="shared" si="18"/>
        <v>0</v>
      </c>
      <c r="I303" s="46"/>
    </row>
    <row r="304" spans="1:9" s="20" customFormat="1" ht="69" customHeight="1">
      <c r="A304" s="459"/>
      <c r="B304" s="463"/>
      <c r="C304" s="4" t="s">
        <v>282</v>
      </c>
      <c r="D304" s="17">
        <v>0</v>
      </c>
      <c r="E304" s="4"/>
      <c r="F304" s="9"/>
      <c r="G304" s="19">
        <f t="shared" si="18"/>
        <v>0</v>
      </c>
      <c r="I304" s="46"/>
    </row>
    <row r="305" spans="1:9" s="20" customFormat="1" ht="46.5" customHeight="1">
      <c r="A305" s="22" t="s">
        <v>140</v>
      </c>
      <c r="B305" s="23" t="s">
        <v>48</v>
      </c>
      <c r="C305" s="4"/>
      <c r="D305" s="24">
        <f>D306+D308+D309+D311+D312+D314+D315+D316</f>
        <v>0</v>
      </c>
      <c r="E305" s="4"/>
      <c r="F305" s="24">
        <f>F307</f>
        <v>0</v>
      </c>
      <c r="G305" s="24">
        <f>D305+F305</f>
        <v>0</v>
      </c>
      <c r="H305" s="47"/>
      <c r="I305" s="46"/>
    </row>
    <row r="306" spans="1:9" s="20" customFormat="1" ht="67.5" customHeight="1">
      <c r="A306" s="459" t="s">
        <v>165</v>
      </c>
      <c r="B306" s="463" t="s">
        <v>166</v>
      </c>
      <c r="C306" s="4" t="s">
        <v>282</v>
      </c>
      <c r="D306" s="17">
        <v>0</v>
      </c>
      <c r="E306" s="4"/>
      <c r="F306" s="24"/>
      <c r="G306" s="19">
        <f>D306</f>
        <v>0</v>
      </c>
      <c r="H306" s="47"/>
      <c r="I306" s="46"/>
    </row>
    <row r="307" spans="1:9" s="20" customFormat="1" ht="64.5" customHeight="1">
      <c r="A307" s="459"/>
      <c r="B307" s="463"/>
      <c r="C307" s="4"/>
      <c r="D307" s="17"/>
      <c r="E307" s="4" t="s">
        <v>267</v>
      </c>
      <c r="F307" s="19">
        <v>0</v>
      </c>
      <c r="G307" s="19">
        <f>F307</f>
        <v>0</v>
      </c>
      <c r="I307" s="46"/>
    </row>
    <row r="308" spans="1:9" s="20" customFormat="1" ht="45.75" customHeight="1">
      <c r="A308" s="18" t="s">
        <v>94</v>
      </c>
      <c r="B308" s="4" t="s">
        <v>95</v>
      </c>
      <c r="C308" s="4" t="s">
        <v>270</v>
      </c>
      <c r="D308" s="17">
        <v>0</v>
      </c>
      <c r="E308" s="4"/>
      <c r="F308" s="19"/>
      <c r="G308" s="19">
        <f>D308</f>
        <v>0</v>
      </c>
      <c r="I308" s="46"/>
    </row>
    <row r="309" spans="1:9" s="20" customFormat="1" ht="47.25">
      <c r="A309" s="459" t="s">
        <v>77</v>
      </c>
      <c r="B309" s="463" t="s">
        <v>92</v>
      </c>
      <c r="C309" s="4" t="s">
        <v>253</v>
      </c>
      <c r="D309" s="17">
        <v>0</v>
      </c>
      <c r="E309" s="4"/>
      <c r="F309" s="9"/>
      <c r="G309" s="19">
        <f aca="true" t="shared" si="19" ref="G309:G316">D309</f>
        <v>0</v>
      </c>
      <c r="I309" s="46"/>
    </row>
    <row r="310" spans="1:9" s="20" customFormat="1" ht="15.75" customHeight="1" hidden="1">
      <c r="A310" s="459"/>
      <c r="B310" s="463"/>
      <c r="C310" s="4"/>
      <c r="D310" s="17"/>
      <c r="E310" s="4"/>
      <c r="F310" s="19">
        <v>0</v>
      </c>
      <c r="G310" s="19">
        <f t="shared" si="19"/>
        <v>0</v>
      </c>
      <c r="I310" s="46"/>
    </row>
    <row r="311" spans="1:9" s="20" customFormat="1" ht="63">
      <c r="A311" s="459"/>
      <c r="B311" s="463"/>
      <c r="C311" s="4" t="s">
        <v>257</v>
      </c>
      <c r="D311" s="17">
        <v>0</v>
      </c>
      <c r="E311" s="4"/>
      <c r="F311" s="9"/>
      <c r="G311" s="19">
        <f t="shared" si="19"/>
        <v>0</v>
      </c>
      <c r="I311" s="46"/>
    </row>
    <row r="312" spans="1:9" s="20" customFormat="1" ht="47.25">
      <c r="A312" s="459"/>
      <c r="B312" s="463"/>
      <c r="C312" s="4" t="s">
        <v>262</v>
      </c>
      <c r="D312" s="17">
        <v>0</v>
      </c>
      <c r="E312" s="4"/>
      <c r="F312" s="9"/>
      <c r="G312" s="19">
        <f t="shared" si="19"/>
        <v>0</v>
      </c>
      <c r="I312" s="46"/>
    </row>
    <row r="313" spans="1:9" s="20" customFormat="1" ht="24.75" customHeight="1" hidden="1">
      <c r="A313" s="459"/>
      <c r="B313" s="463"/>
      <c r="C313" s="4"/>
      <c r="D313" s="5"/>
      <c r="E313" s="4"/>
      <c r="F313" s="9"/>
      <c r="G313" s="19">
        <f t="shared" si="19"/>
        <v>0</v>
      </c>
      <c r="I313" s="46"/>
    </row>
    <row r="314" spans="1:9" s="20" customFormat="1" ht="63">
      <c r="A314" s="459"/>
      <c r="B314" s="463"/>
      <c r="C314" s="4" t="s">
        <v>273</v>
      </c>
      <c r="D314" s="17">
        <v>0</v>
      </c>
      <c r="E314" s="4"/>
      <c r="F314" s="9"/>
      <c r="G314" s="19">
        <f t="shared" si="19"/>
        <v>0</v>
      </c>
      <c r="I314" s="46"/>
    </row>
    <row r="315" spans="1:9" s="20" customFormat="1" ht="47.25">
      <c r="A315" s="459"/>
      <c r="B315" s="463"/>
      <c r="C315" s="4" t="s">
        <v>270</v>
      </c>
      <c r="D315" s="17">
        <v>0</v>
      </c>
      <c r="E315" s="4"/>
      <c r="F315" s="9"/>
      <c r="G315" s="19">
        <f t="shared" si="19"/>
        <v>0</v>
      </c>
      <c r="I315" s="46"/>
    </row>
    <row r="316" spans="1:9" s="20" customFormat="1" ht="68.25" customHeight="1">
      <c r="A316" s="459"/>
      <c r="B316" s="463"/>
      <c r="C316" s="4" t="s">
        <v>282</v>
      </c>
      <c r="D316" s="17">
        <v>0</v>
      </c>
      <c r="E316" s="4"/>
      <c r="F316" s="9"/>
      <c r="G316" s="19">
        <f t="shared" si="19"/>
        <v>0</v>
      </c>
      <c r="I316" s="46"/>
    </row>
    <row r="317" spans="1:11" s="34" customFormat="1" ht="15.75">
      <c r="A317" s="23"/>
      <c r="B317" s="23" t="s">
        <v>66</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460" t="s">
        <v>200</v>
      </c>
      <c r="B319" s="460"/>
      <c r="C319" s="66"/>
      <c r="D319" s="67"/>
      <c r="E319" s="54"/>
      <c r="F319" s="57" t="s">
        <v>201</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A319:B319"/>
    <mergeCell ref="A281:A282"/>
    <mergeCell ref="B281:B282"/>
    <mergeCell ref="A285:A292"/>
    <mergeCell ref="B285:B292"/>
    <mergeCell ref="A298:A304"/>
    <mergeCell ref="A306:A307"/>
    <mergeCell ref="B306:B307"/>
    <mergeCell ref="A309:A316"/>
    <mergeCell ref="B309:B316"/>
    <mergeCell ref="A249:A254"/>
    <mergeCell ref="B249:B254"/>
    <mergeCell ref="B298:B304"/>
    <mergeCell ref="A260:A266"/>
    <mergeCell ref="B260:B266"/>
    <mergeCell ref="A271:A276"/>
    <mergeCell ref="B271:B276"/>
    <mergeCell ref="A279:A280"/>
    <mergeCell ref="B279:B280"/>
    <mergeCell ref="A245:A246"/>
    <mergeCell ref="B245:B246"/>
    <mergeCell ref="A205:A206"/>
    <mergeCell ref="B205:B206"/>
    <mergeCell ref="A210:A211"/>
    <mergeCell ref="B210:B211"/>
    <mergeCell ref="A230:A231"/>
    <mergeCell ref="B230:B231"/>
    <mergeCell ref="A235:A242"/>
    <mergeCell ref="B235:B242"/>
    <mergeCell ref="C221:C223"/>
    <mergeCell ref="A226:A227"/>
    <mergeCell ref="B226:B227"/>
    <mergeCell ref="A199:A200"/>
    <mergeCell ref="B199:B200"/>
    <mergeCell ref="A201:A203"/>
    <mergeCell ref="B201:B203"/>
    <mergeCell ref="C201:C203"/>
    <mergeCell ref="D202:D203"/>
    <mergeCell ref="A164:A166"/>
    <mergeCell ref="B164:B166"/>
    <mergeCell ref="A169:A170"/>
    <mergeCell ref="B169:B170"/>
    <mergeCell ref="A182:A184"/>
    <mergeCell ref="B182:B184"/>
    <mergeCell ref="A125:A127"/>
    <mergeCell ref="B125:B127"/>
    <mergeCell ref="A128:A129"/>
    <mergeCell ref="B128:B129"/>
    <mergeCell ref="A153:A154"/>
    <mergeCell ref="B153:B154"/>
    <mergeCell ref="A162:A163"/>
    <mergeCell ref="B162:B163"/>
    <mergeCell ref="A134:A138"/>
    <mergeCell ref="B134:B138"/>
    <mergeCell ref="A150:A151"/>
    <mergeCell ref="B150:B151"/>
    <mergeCell ref="A159:A160"/>
    <mergeCell ref="B159:B160"/>
    <mergeCell ref="A155:A157"/>
    <mergeCell ref="B155:B157"/>
    <mergeCell ref="A106:A107"/>
    <mergeCell ref="B106:B107"/>
    <mergeCell ref="A130:A132"/>
    <mergeCell ref="B130:B132"/>
    <mergeCell ref="A110:A111"/>
    <mergeCell ref="B110:B111"/>
    <mergeCell ref="B112:B114"/>
    <mergeCell ref="A113:A114"/>
    <mergeCell ref="A123:A124"/>
    <mergeCell ref="B123:B124"/>
    <mergeCell ref="A108:A109"/>
    <mergeCell ref="B108:B109"/>
    <mergeCell ref="A91:A92"/>
    <mergeCell ref="B91:B92"/>
    <mergeCell ref="A94:A96"/>
    <mergeCell ref="B94:B96"/>
    <mergeCell ref="A97:A98"/>
    <mergeCell ref="B97:B98"/>
    <mergeCell ref="A101:A105"/>
    <mergeCell ref="B101:B105"/>
    <mergeCell ref="A83:A85"/>
    <mergeCell ref="B83:B85"/>
    <mergeCell ref="A62:A63"/>
    <mergeCell ref="B62:B63"/>
    <mergeCell ref="A64:A66"/>
    <mergeCell ref="B64:B66"/>
    <mergeCell ref="A77:A79"/>
    <mergeCell ref="B77:B79"/>
    <mergeCell ref="A80:A82"/>
    <mergeCell ref="B80:B82"/>
    <mergeCell ref="C68:C69"/>
    <mergeCell ref="A72:A76"/>
    <mergeCell ref="B72:B76"/>
    <mergeCell ref="A43:A45"/>
    <mergeCell ref="B43:B45"/>
    <mergeCell ref="A46:A50"/>
    <mergeCell ref="B46:B50"/>
    <mergeCell ref="A58:A60"/>
    <mergeCell ref="B58:B60"/>
    <mergeCell ref="A37:A42"/>
    <mergeCell ref="B37:B42"/>
    <mergeCell ref="A23:A30"/>
    <mergeCell ref="B23:B30"/>
    <mergeCell ref="B14:B15"/>
    <mergeCell ref="A16:A19"/>
    <mergeCell ref="B16:B19"/>
    <mergeCell ref="A34:A36"/>
    <mergeCell ref="B34:B36"/>
    <mergeCell ref="C16:C19"/>
    <mergeCell ref="A5:G5"/>
    <mergeCell ref="B8:B9"/>
    <mergeCell ref="C8:D8"/>
    <mergeCell ref="E8:F8"/>
    <mergeCell ref="A12:A13"/>
    <mergeCell ref="B12:B13"/>
    <mergeCell ref="A14:A15"/>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2017-01-24T14:19:18Z</cp:lastPrinted>
  <dcterms:created xsi:type="dcterms:W3CDTF">1996-10-08T23:32:33Z</dcterms:created>
  <dcterms:modified xsi:type="dcterms:W3CDTF">2017-02-02T12:18:58Z</dcterms:modified>
  <cp:category/>
  <cp:version/>
  <cp:contentType/>
  <cp:contentStatus/>
</cp:coreProperties>
</file>