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5" activeTab="0"/>
  </bookViews>
  <sheets>
    <sheet name="додаток 7" sheetId="1" r:id="rId1"/>
    <sheet name="власні надходж" sheetId="2" state="hidden" r:id="rId2"/>
    <sheet name="в т.ч.погашення" sheetId="3" state="hidden" r:id="rId3"/>
  </sheets>
  <definedNames>
    <definedName name="_xlnm._FilterDatabase" localSheetId="0" hidden="1">'додаток 7'!$A$10:$P$542</definedName>
    <definedName name="_xlnm.Print_Area" localSheetId="2">'в т.ч.погашення'!$A$1:$G$319</definedName>
    <definedName name="_xlnm.Print_Area" localSheetId="1">'власні надходж'!$A$1:$H$329</definedName>
    <definedName name="_xlnm.Print_Area" localSheetId="0">'додаток 7'!$A$1:$I$544</definedName>
  </definedNames>
  <calcPr fullCalcOnLoad="1"/>
</workbook>
</file>

<file path=xl/sharedStrings.xml><?xml version="1.0" encoding="utf-8"?>
<sst xmlns="http://schemas.openxmlformats.org/spreadsheetml/2006/main" count="3953" uniqueCount="1210">
  <si>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</si>
  <si>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</si>
  <si>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</si>
  <si>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</si>
  <si>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</si>
  <si>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</si>
  <si>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</si>
  <si>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</si>
  <si>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</si>
  <si>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</si>
  <si>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</si>
  <si>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</si>
  <si>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</si>
  <si>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</si>
  <si>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</si>
  <si>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</si>
  <si>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</si>
  <si>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</si>
  <si>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</si>
  <si>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</si>
  <si>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</si>
  <si>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</si>
  <si>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</si>
  <si>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</si>
  <si>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</si>
  <si>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</si>
  <si>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</si>
  <si>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</si>
  <si>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</si>
  <si>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</si>
  <si>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</si>
  <si>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</si>
  <si>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</si>
  <si>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</si>
  <si>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</si>
  <si>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</si>
  <si>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</si>
  <si>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</si>
  <si>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</si>
  <si>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</si>
  <si>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</si>
  <si>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</si>
  <si>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</si>
  <si>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</si>
  <si>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</si>
  <si>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</si>
  <si>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</si>
  <si>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</si>
  <si>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</si>
  <si>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</si>
  <si>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</si>
  <si>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</si>
  <si>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</si>
  <si>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</si>
  <si>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</si>
  <si>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</si>
  <si>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</si>
  <si>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</si>
  <si>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</si>
  <si>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</si>
  <si>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</si>
  <si>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</si>
  <si>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</si>
  <si>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</si>
  <si>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</si>
  <si>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</si>
  <si>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</si>
  <si>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</si>
  <si>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</si>
  <si>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</si>
  <si>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</si>
  <si>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</si>
  <si>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</si>
  <si>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</si>
  <si>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</si>
  <si>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</si>
  <si>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</si>
  <si>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</si>
  <si>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</si>
  <si>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</si>
  <si>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</si>
  <si>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</si>
  <si>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</si>
  <si>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</si>
  <si>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</si>
  <si>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</si>
  <si>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</si>
  <si>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</si>
  <si>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</si>
  <si>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</si>
  <si>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</si>
  <si>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</si>
  <si>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</si>
  <si>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</si>
  <si>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</si>
  <si>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</si>
  <si>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</si>
  <si>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</si>
  <si>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</si>
  <si>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</si>
  <si>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</si>
  <si>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</si>
  <si>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</si>
  <si>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</si>
  <si>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</si>
  <si>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</si>
  <si>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</si>
  <si>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</si>
  <si>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</si>
  <si>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</si>
  <si>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</si>
  <si>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</si>
  <si>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</si>
  <si>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</si>
  <si>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</si>
  <si>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</si>
  <si>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</si>
  <si>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</si>
  <si>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</si>
  <si>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</si>
  <si>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</si>
  <si>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</si>
  <si>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</si>
  <si>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</si>
  <si>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</si>
  <si>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070806</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</si>
  <si>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</si>
  <si>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</si>
  <si>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</si>
  <si>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</si>
  <si>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</si>
  <si>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</si>
  <si>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</si>
  <si>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</si>
  <si>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</si>
  <si>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</si>
  <si>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</si>
  <si>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</si>
  <si>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</si>
  <si>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</si>
  <si>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</si>
  <si>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</si>
  <si>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</si>
  <si>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</si>
  <si>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</si>
  <si>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</si>
  <si>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</si>
  <si>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</si>
  <si>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</si>
  <si>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</si>
  <si>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</si>
  <si>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</si>
  <si>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</si>
  <si>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</si>
  <si>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</si>
  <si>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</si>
  <si>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</si>
  <si>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</si>
  <si>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</si>
  <si>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</si>
  <si>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</si>
  <si>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</si>
  <si>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</si>
  <si>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</si>
  <si>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</si>
  <si>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</si>
  <si>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</si>
  <si>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</si>
  <si>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</si>
  <si>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</si>
  <si>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</si>
  <si>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</si>
  <si>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</si>
  <si>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</si>
  <si>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</si>
  <si>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</si>
  <si>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</si>
  <si>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</si>
  <si>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</si>
  <si>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</si>
  <si>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</si>
  <si>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</si>
  <si>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</si>
  <si>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</si>
  <si>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</si>
  <si>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</si>
  <si>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</si>
  <si>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</si>
  <si>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</si>
  <si>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</si>
  <si>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</si>
  <si>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</si>
  <si>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</si>
  <si>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</si>
  <si>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</si>
  <si>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</si>
  <si>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</si>
  <si>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</si>
  <si>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</si>
  <si>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</si>
  <si>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</si>
  <si>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</si>
  <si>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</si>
  <si>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</si>
  <si>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</si>
  <si>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180410</t>
  </si>
  <si>
    <t>Інші заходи, пов'язані з економічною діяльністю</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</si>
  <si>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</si>
  <si>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</si>
  <si>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</si>
  <si>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</si>
  <si>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</si>
  <si>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</si>
  <si>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</si>
  <si>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</si>
  <si>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</si>
  <si>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</si>
  <si>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</si>
  <si>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</si>
  <si>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</si>
  <si>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</si>
  <si>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</si>
  <si>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</si>
  <si>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</si>
  <si>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</si>
  <si>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</si>
  <si>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</si>
  <si>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</si>
  <si>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</si>
  <si>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</si>
  <si>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</si>
  <si>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</si>
  <si>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</si>
  <si>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</si>
  <si>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</si>
  <si>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</si>
  <si>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</si>
  <si>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</si>
  <si>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</si>
  <si>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</si>
  <si>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</si>
  <si>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</si>
  <si>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</si>
  <si>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</si>
  <si>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</si>
  <si>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</si>
  <si>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</si>
  <si>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</si>
  <si>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</si>
  <si>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</si>
  <si>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</si>
  <si>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</si>
  <si>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</si>
  <si>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</si>
  <si>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</si>
  <si>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</si>
  <si>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</si>
  <si>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</si>
  <si>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</si>
  <si>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</si>
  <si>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</si>
  <si>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</si>
  <si>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</si>
  <si>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</si>
  <si>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</si>
  <si>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</si>
  <si>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</si>
  <si>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</si>
  <si>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</si>
  <si>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</si>
  <si>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</si>
  <si>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</si>
  <si>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</si>
  <si>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</si>
  <si>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</si>
  <si>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</si>
  <si>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</si>
  <si>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</si>
  <si>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</si>
  <si>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</si>
  <si>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</si>
  <si>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</si>
  <si>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</si>
  <si>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</si>
  <si>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</si>
  <si>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</si>
  <si>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</si>
  <si>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</si>
  <si>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</si>
  <si>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</si>
  <si>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</si>
  <si>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</si>
  <si>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</si>
  <si>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</si>
  <si>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</si>
  <si>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</si>
  <si>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</si>
  <si>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</si>
  <si>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</si>
  <si>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</si>
  <si>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</si>
  <si>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</si>
  <si>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</si>
  <si>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</si>
  <si>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</si>
  <si>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</si>
  <si>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</si>
  <si>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</si>
  <si>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</si>
  <si>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</si>
  <si>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</si>
  <si>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</si>
  <si>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</si>
  <si>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</si>
  <si>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</si>
  <si>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</si>
  <si>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</si>
  <si>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</si>
  <si>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</si>
  <si>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</si>
  <si>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</si>
  <si>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</si>
  <si>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</si>
  <si>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</si>
  <si>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</si>
  <si>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</si>
  <si>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</si>
  <si>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</si>
  <si>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</si>
  <si>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</si>
  <si>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</si>
  <si>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</si>
  <si>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</si>
  <si>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</si>
  <si>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</si>
  <si>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</si>
  <si>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</si>
  <si>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</si>
  <si>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</si>
  <si>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</si>
  <si>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</si>
  <si>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</si>
  <si>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</si>
  <si>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</si>
  <si>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</si>
  <si>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</si>
  <si>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</si>
  <si>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</si>
  <si>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</si>
  <si>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</si>
  <si>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</si>
  <si>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</si>
  <si>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</si>
  <si>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</si>
  <si>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</si>
  <si>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</si>
  <si>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</si>
  <si>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</si>
  <si>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</si>
  <si>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</si>
  <si>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</si>
  <si>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</si>
  <si>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</si>
  <si>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</si>
  <si>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</si>
  <si>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</si>
  <si>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</si>
  <si>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</si>
  <si>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</si>
  <si>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</si>
  <si>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</si>
  <si>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</si>
  <si>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</si>
  <si>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</si>
  <si>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</si>
  <si>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</si>
  <si>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</si>
  <si>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</si>
  <si>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</si>
  <si>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</si>
  <si>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</si>
  <si>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</si>
  <si>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</si>
  <si>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</si>
  <si>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</si>
  <si>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</si>
  <si>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</si>
  <si>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</si>
  <si>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</si>
  <si>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</si>
  <si>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</si>
  <si>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</si>
  <si>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</si>
  <si>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</si>
  <si>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</si>
  <si>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</si>
  <si>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</si>
  <si>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</si>
  <si>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</si>
  <si>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</si>
  <si>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</si>
  <si>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</si>
  <si>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</si>
  <si>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</si>
  <si>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</si>
  <si>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</si>
  <si>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</si>
  <si>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</si>
  <si>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</si>
  <si>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</si>
  <si>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</si>
  <si>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</si>
  <si>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</si>
  <si>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</si>
  <si>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</si>
  <si>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</si>
  <si>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</si>
  <si>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</si>
  <si>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</si>
  <si>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</si>
  <si>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</si>
  <si>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</si>
  <si>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</si>
  <si>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</si>
  <si>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</si>
  <si>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</si>
  <si>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</si>
  <si>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</si>
  <si>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</si>
  <si>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</si>
  <si>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</si>
  <si>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0111</t>
  </si>
  <si>
    <t>0830</t>
  </si>
  <si>
    <t>0490</t>
  </si>
  <si>
    <t>0133</t>
  </si>
  <si>
    <t>0910</t>
  </si>
  <si>
    <t>0921</t>
  </si>
  <si>
    <t>0960</t>
  </si>
  <si>
    <t>0990</t>
  </si>
  <si>
    <t>1040</t>
  </si>
  <si>
    <t>0810</t>
  </si>
  <si>
    <t>0411</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</si>
  <si>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</si>
  <si>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</si>
  <si>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</si>
  <si>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</si>
  <si>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</si>
  <si>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</si>
  <si>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</si>
  <si>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</si>
  <si>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</si>
  <si>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</si>
  <si>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</si>
  <si>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</si>
  <si>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</si>
  <si>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</si>
  <si>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</si>
  <si>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</si>
  <si>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</si>
  <si>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</si>
  <si>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</si>
  <si>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</si>
  <si>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</si>
  <si>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</si>
  <si>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</si>
  <si>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</si>
  <si>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0180</t>
  </si>
  <si>
    <t>150110</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</si>
  <si>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</si>
  <si>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</si>
  <si>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</si>
  <si>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150112</t>
  </si>
  <si>
    <t>Проведення невідкладних відновлювальних робіт, будівництво та реконструкція позашкільних навчальних закладів</t>
  </si>
  <si>
    <t>Р.О.Пидорич</t>
  </si>
  <si>
    <t>090203</t>
  </si>
  <si>
    <t>090209</t>
  </si>
  <si>
    <t>090214</t>
  </si>
  <si>
    <t>170302</t>
  </si>
  <si>
    <t>Компенсаційні виплати за пільговий проїзд окремих категорій громадян на залізничному транспорті</t>
  </si>
  <si>
    <t>070501</t>
  </si>
  <si>
    <t>0930</t>
  </si>
  <si>
    <t>Програма "Оздоровлення та відпочинок на 2016-2018 роки", затверджена рішенням міської ради від 25.12.2015  № 18</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</si>
  <si>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</si>
  <si>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</si>
  <si>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</si>
  <si>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</si>
  <si>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</si>
  <si>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090501</t>
  </si>
  <si>
    <t>1050</t>
  </si>
  <si>
    <t>Організація та проведення громадських робіт</t>
  </si>
  <si>
    <t>Міська програма "Підтримка комунальних закладів культури міста Запоріжжя у  2016-2018 роках", затверджена рішенням міської ради від 25.12.2015  № 17 (зі змінами)</t>
  </si>
  <si>
    <t>Програма "Освіта на 2016-2018 роки", затверджена рішенням міської ради від 25.12.2015  № 18 (зі змінами)</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</si>
  <si>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</si>
  <si>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</si>
  <si>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підтримки муніципального рейтингу, затверджена рішенням міської ради від 26.02.2016  № 23</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</si>
  <si>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</si>
  <si>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</si>
  <si>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</si>
  <si>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</si>
  <si>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Цільова комплексна програма забезпечення молоді міста Запоріжжя житлом, затверджена рішенням міської ради від 25.12.2015 № 18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</si>
  <si>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</si>
  <si>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</si>
  <si>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</si>
  <si>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</si>
  <si>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</si>
  <si>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</si>
  <si>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</si>
  <si>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</si>
  <si>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</si>
  <si>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</si>
  <si>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</si>
  <si>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</si>
  <si>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</si>
  <si>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</si>
  <si>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</si>
  <si>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</si>
  <si>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"Фізична культура та спорт на 2016-2018 роки", затверджена рішенням міської ради від 25.12.2015 № 18 (зі змінами)</t>
  </si>
  <si>
    <t>130113</t>
  </si>
  <si>
    <t>Департамент правового забезпечення Запорізької міської ради</t>
  </si>
  <si>
    <t>Департамент освіти і науки Запорізької міської ради</t>
  </si>
  <si>
    <t>11</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</si>
  <si>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 (зі змінами)</t>
  </si>
  <si>
    <t>Міська цільова програма "Проведення комплексного обстеження пасажиропотоків на маршрутах міського пасажирського транспорту загального користування в м. Запоріжжі", затверджена рішенням міської ради від 30.06.2016 № 40</t>
  </si>
  <si>
    <t>070303</t>
  </si>
  <si>
    <t>090802</t>
  </si>
  <si>
    <t>Міська цільова програма  "Запорізька Муніципальна Інтегрована Система Обробки Інформації", затверджена рішенням міської ради від 30.06.2016 № 45</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</si>
  <si>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 (зі змінами)</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</si>
  <si>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 (зі змінами)</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</si>
  <si>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t>
  </si>
  <si>
    <t>Міська програма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затверджена рішенням міської ради від  25.08.2016   № 32</t>
  </si>
  <si>
    <t>Департамент з управління житлово-комунальним господарством Запорізької міської ради</t>
  </si>
  <si>
    <t>0317210</t>
  </si>
  <si>
    <t>0317211</t>
  </si>
  <si>
    <t>0317470</t>
  </si>
  <si>
    <t>Перелік місцевих (регіональних) програм, які фінансуватимуться за рахунок коштів бюджету міста у 2017 році</t>
  </si>
  <si>
    <t>0310000</t>
  </si>
  <si>
    <t>0310100</t>
  </si>
  <si>
    <t>010000</t>
  </si>
  <si>
    <t>Державне управління</t>
  </si>
  <si>
    <t>0317200</t>
  </si>
  <si>
    <t>120000</t>
  </si>
  <si>
    <t>Засоби масової інформації</t>
  </si>
  <si>
    <t>Підтримка засобів масової інформації</t>
  </si>
  <si>
    <t>Сприяння діяльності телебачення і радіомовлення</t>
  </si>
  <si>
    <t>0317212</t>
  </si>
  <si>
    <t>Підтримка періодичних видань (газет та журналів)</t>
  </si>
  <si>
    <t>0317400</t>
  </si>
  <si>
    <t>180000</t>
  </si>
  <si>
    <t>Інші послуги, пов'язані з економічною діяльністю</t>
  </si>
  <si>
    <t>0316300</t>
  </si>
  <si>
    <t>150000</t>
  </si>
  <si>
    <t xml:space="preserve">Будівництво </t>
  </si>
  <si>
    <t>0316310</t>
  </si>
  <si>
    <t>Реалізація заходів щодо інвестиційного розвитку території</t>
  </si>
  <si>
    <t>0316322</t>
  </si>
  <si>
    <t>0319100</t>
  </si>
  <si>
    <t>240000</t>
  </si>
  <si>
    <t>Цільові фонди</t>
  </si>
  <si>
    <t>0319180</t>
  </si>
  <si>
    <t>0319181</t>
  </si>
  <si>
    <t>Цільовий фонд, утворений міською радою</t>
  </si>
  <si>
    <t>0318000</t>
  </si>
  <si>
    <t>250000</t>
  </si>
  <si>
    <t>Видатки, не віднесені до основних груп</t>
  </si>
  <si>
    <t>0318600</t>
  </si>
  <si>
    <t>Фінансова підтримка комунальних підприємств, організацій, органів самоорганізації населення</t>
  </si>
  <si>
    <t>Заходи з інвентаризації, оцінки та оформлення права власності об’єктів нерухомості, утримання та охорона об'єктів комунальної власності</t>
  </si>
  <si>
    <t>Підготовка та проведення масових заходів, забезпечення відеоконтролю у місцях масового перебування громадян</t>
  </si>
  <si>
    <t>1010000</t>
  </si>
  <si>
    <t>1010180</t>
  </si>
  <si>
    <t>1010100</t>
  </si>
  <si>
    <t>1011000</t>
  </si>
  <si>
    <t>070000</t>
  </si>
  <si>
    <t>Освіта</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</si>
  <si>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</si>
  <si>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</si>
  <si>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</si>
  <si>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</si>
  <si>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</si>
  <si>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1011090</t>
  </si>
  <si>
    <t>Надання позашкільної освіти позашкільними закладами освіти, заходи із позашкільної роботи з дітьми</t>
  </si>
  <si>
    <t>1011100</t>
  </si>
  <si>
    <t>Підготовка робітничих кадрів закладами професійно-технічної освіти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</si>
  <si>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</si>
  <si>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</si>
  <si>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</si>
  <si>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</si>
  <si>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</si>
  <si>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</si>
  <si>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</si>
  <si>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</si>
  <si>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</si>
  <si>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</si>
  <si>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1013000</t>
  </si>
  <si>
    <t>090000</t>
  </si>
  <si>
    <t>Соціальний захист та соціальне забезпечення</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</si>
  <si>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</si>
  <si>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</si>
  <si>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t>
  </si>
  <si>
    <t>1016300</t>
  </si>
  <si>
    <t>1016310</t>
  </si>
  <si>
    <t>1016330</t>
  </si>
  <si>
    <t>Проведення невідкладних відновлювальних робіт, будівництво та реконструкція загальноосвітніх навчальних закладів</t>
  </si>
  <si>
    <t>1016340</t>
  </si>
  <si>
    <t>150111</t>
  </si>
  <si>
    <t>0922</t>
  </si>
  <si>
    <t>Проведення невідкладних відновлювальних робіт, будівництво та реконструкція спеціалізованих навчальних закладів</t>
  </si>
  <si>
    <t>1016350</t>
  </si>
  <si>
    <t>1019100</t>
  </si>
  <si>
    <t>1019110</t>
  </si>
  <si>
    <t>1019180</t>
  </si>
  <si>
    <t>1019181</t>
  </si>
  <si>
    <t>1110000</t>
  </si>
  <si>
    <t>1110100</t>
  </si>
  <si>
    <t>1110180</t>
  </si>
  <si>
    <t>Керівництво і управління у сфері спорту, сім'ї та молоді</t>
  </si>
  <si>
    <t>1113000</t>
  </si>
  <si>
    <t>1113140</t>
  </si>
  <si>
    <t>Заходи державної політики з питань молоді</t>
  </si>
  <si>
    <t>1115000</t>
  </si>
  <si>
    <t>130000</t>
  </si>
  <si>
    <t>Фізична культура і спорт</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</si>
  <si>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</si>
  <si>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</si>
  <si>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</si>
  <si>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</si>
  <si>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</si>
  <si>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</si>
  <si>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</si>
  <si>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1115050</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</si>
  <si>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</si>
  <si>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1116300</t>
  </si>
  <si>
    <t>1116310</t>
  </si>
  <si>
    <t>1118000</t>
  </si>
  <si>
    <t>1118108</t>
  </si>
  <si>
    <t>1118103</t>
  </si>
  <si>
    <t>1018100</t>
  </si>
  <si>
    <t>Надання та повернення пільгового довгострокового кредиту на будівництво (реконструкцію) та придбання житла</t>
  </si>
  <si>
    <t>1410000</t>
  </si>
  <si>
    <t>Департамент охорони здоров'я Запорізької міської ради</t>
  </si>
  <si>
    <t>1410100</t>
  </si>
  <si>
    <t>1410180</t>
  </si>
  <si>
    <t>Керівництво і управління у сфері охорони здоров'я</t>
  </si>
  <si>
    <t>1412000</t>
  </si>
  <si>
    <t>080000</t>
  </si>
  <si>
    <t>Охорона здоров'я</t>
  </si>
  <si>
    <t>1412010</t>
  </si>
  <si>
    <t>Багатопрофільна стаціонарна медична допомога населенню</t>
  </si>
  <si>
    <t>1412050</t>
  </si>
  <si>
    <t>Лкарсько-акушерська допомога вагітним, породіллям та новонародженим</t>
  </si>
  <si>
    <t>1412120</t>
  </si>
  <si>
    <t>Амбулаторно-поліклінічна допомога населенню</t>
  </si>
  <si>
    <t>1412140</t>
  </si>
  <si>
    <t>Надання стоматологічної допомоги населенню</t>
  </si>
  <si>
    <t>1412170</t>
  </si>
  <si>
    <t>080704</t>
  </si>
  <si>
    <t>0740</t>
  </si>
  <si>
    <t>Інформаційно-методичне та просвітницьке забезпечення в галузі охорони здоров'я</t>
  </si>
  <si>
    <t>1412180</t>
  </si>
  <si>
    <t>Первинна медична допомога населенню</t>
  </si>
  <si>
    <t>1412200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</si>
  <si>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</si>
  <si>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1412210</t>
  </si>
  <si>
    <t>Програми і централізовані заходи у галузі охорони здоров'я</t>
  </si>
  <si>
    <t>1412214</t>
  </si>
  <si>
    <t>1412220</t>
  </si>
  <si>
    <t>Інші заходи в галузі охорони здоров'я</t>
  </si>
  <si>
    <t>1412221</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</si>
  <si>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</si>
  <si>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1412222</t>
  </si>
  <si>
    <t>Медична статистика та інформаційна підтримка виконання програм по галузі охорони здоров'я міста</t>
  </si>
  <si>
    <t>1416300</t>
  </si>
  <si>
    <t>Будівництво</t>
  </si>
  <si>
    <t>1416310</t>
  </si>
  <si>
    <t>1510000</t>
  </si>
  <si>
    <t>1510100</t>
  </si>
  <si>
    <t>1510180</t>
  </si>
  <si>
    <t>Керівництво і управління у сфері соціального захисту населення</t>
  </si>
  <si>
    <t>1513000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</si>
  <si>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</si>
  <si>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</si>
  <si>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</si>
  <si>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</si>
  <si>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</si>
  <si>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</si>
  <si>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</si>
  <si>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Надання пільг окремим категоріям громадян з оплати послуг зв'язку</t>
  </si>
  <si>
    <t>1513035</t>
  </si>
  <si>
    <t>Компенсаційні виплати на пільговий проїзд автомобільним транспортом окремим категоріям громадян</t>
  </si>
  <si>
    <t>1513036</t>
  </si>
  <si>
    <t>Компенсаційні виплати за пільговий проїзд окремих категорій громадян на  водному транспорті</t>
  </si>
  <si>
    <t>1513037</t>
  </si>
  <si>
    <t>1513038</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</si>
  <si>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</si>
  <si>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</si>
  <si>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</si>
  <si>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</si>
  <si>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1513240</t>
  </si>
  <si>
    <t>1513130</t>
  </si>
  <si>
    <t>Здійснення соціальної роботи з вразливими категоріями населення</t>
  </si>
  <si>
    <t>1513131</t>
  </si>
  <si>
    <t>Центри соціальних служб для сім'ї, дітей та молоді</t>
  </si>
  <si>
    <t>1513132</t>
  </si>
  <si>
    <t>1513200</t>
  </si>
  <si>
    <t>Соціальний захист ветеранів війни і праці</t>
  </si>
  <si>
    <t>1513202</t>
  </si>
  <si>
    <t>Надання фінансової підтримки громадським організаціям інвалідів і ветеранів, діяльність яких має соціальну спрямованість</t>
  </si>
  <si>
    <t>1513400</t>
  </si>
  <si>
    <t xml:space="preserve">Міська комплексна програма соціального захисту та інші соціальні виплати населенню </t>
  </si>
  <si>
    <t>1516300</t>
  </si>
  <si>
    <t>1516310</t>
  </si>
  <si>
    <t>2010000</t>
  </si>
  <si>
    <t>2010100</t>
  </si>
  <si>
    <t>2010180</t>
  </si>
  <si>
    <t>Керівництво і управління у сфері справ дітей</t>
  </si>
  <si>
    <t>2013110</t>
  </si>
  <si>
    <t>Заклади і заходи з питань дітей та їх соціального захисту</t>
  </si>
  <si>
    <t>2013112</t>
  </si>
  <si>
    <t>1040 </t>
  </si>
  <si>
    <t>Заходи державної політики з питань дітей та їх соціального захисту</t>
  </si>
  <si>
    <t>2011060</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</si>
  <si>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</si>
  <si>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2310000</t>
  </si>
  <si>
    <t>2310100</t>
  </si>
  <si>
    <t>2310180</t>
  </si>
  <si>
    <t>Керівництво і управління у сфері правового забезпечення</t>
  </si>
  <si>
    <t>2410000</t>
  </si>
  <si>
    <t>2410100</t>
  </si>
  <si>
    <t>2410180</t>
  </si>
  <si>
    <t>2414000</t>
  </si>
  <si>
    <t>110000</t>
  </si>
  <si>
    <t>Культура і мистецтво</t>
  </si>
  <si>
    <t>2414020</t>
  </si>
  <si>
    <t>2414060</t>
  </si>
  <si>
    <t>2414090</t>
  </si>
  <si>
    <t>2414100</t>
  </si>
  <si>
    <t>2414110</t>
  </si>
  <si>
    <t>110300</t>
  </si>
  <si>
    <t>2414200</t>
  </si>
  <si>
    <t>110502</t>
  </si>
  <si>
    <t>2414205</t>
  </si>
  <si>
    <t>Оцінка вартості пам’яток історії та монументального мистецтва</t>
  </si>
  <si>
    <t>2416300</t>
  </si>
  <si>
    <t>2416310</t>
  </si>
  <si>
    <t>Заходи з розвитку туризму</t>
  </si>
  <si>
    <t>2417500</t>
  </si>
  <si>
    <t>2417501</t>
  </si>
  <si>
    <t>3210000</t>
  </si>
  <si>
    <t>3210100</t>
  </si>
  <si>
    <t>3210180</t>
  </si>
  <si>
    <t>Керівництво і управління у сфері підтримки підприємництва, регуляторної політики, організації надання адміністративних послуг</t>
  </si>
  <si>
    <t>3216300</t>
  </si>
  <si>
    <t>3216310</t>
  </si>
  <si>
    <t>3217400</t>
  </si>
  <si>
    <t>3217450</t>
  </si>
  <si>
    <t>Сприяння розвитку малого та середнього підприємництва</t>
  </si>
  <si>
    <t>3218000</t>
  </si>
  <si>
    <t>3218600</t>
  </si>
  <si>
    <t>3310000</t>
  </si>
  <si>
    <t>Департамент реєстраційних послуг міської ради</t>
  </si>
  <si>
    <t>3310100</t>
  </si>
  <si>
    <t>3310180</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</si>
  <si>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</si>
  <si>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4010000</t>
  </si>
  <si>
    <t>Департамент з управління житлового-комунальним господарством Запорізької міської ради</t>
  </si>
  <si>
    <t>4010100</t>
  </si>
  <si>
    <t>4010180</t>
  </si>
  <si>
    <t>Керівництво і управління у сфері житлово-комунального господарства</t>
  </si>
  <si>
    <t>4016000</t>
  </si>
  <si>
    <t>100000</t>
  </si>
  <si>
    <t>Житлово-комунальне господарство</t>
  </si>
  <si>
    <t>4016010</t>
  </si>
  <si>
    <t>Забезпечення надійного та безперебійного функціонування житлово-експлуатаційного господарства</t>
  </si>
  <si>
    <t>4016020</t>
  </si>
  <si>
    <t>Капітальний ремонт об'єктів житлового господарства</t>
  </si>
  <si>
    <t>4016021</t>
  </si>
  <si>
    <t xml:space="preserve">Капітальний ремонт житлового фонду </t>
  </si>
  <si>
    <t>4016022</t>
  </si>
  <si>
    <t>4016100</t>
  </si>
  <si>
    <t>4016300</t>
  </si>
  <si>
    <t>4016310</t>
  </si>
  <si>
    <t>4016320</t>
  </si>
  <si>
    <t>Надання допомоги у вирішенні житлових питань</t>
  </si>
  <si>
    <t>4016324</t>
  </si>
  <si>
    <t>Будівництво та придбання житла для окремих категорій населення</t>
  </si>
  <si>
    <t>4016400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</si>
  <si>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</si>
  <si>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4017400</t>
  </si>
  <si>
    <t>4017470</t>
  </si>
  <si>
    <t>Внески до статутного капіталу суб'єктів господарювання</t>
  </si>
  <si>
    <t>4018000</t>
  </si>
  <si>
    <t>4018600</t>
  </si>
  <si>
    <t>4018605</t>
  </si>
  <si>
    <t>4019100</t>
  </si>
  <si>
    <t>4019110</t>
  </si>
  <si>
    <t>4110000</t>
  </si>
  <si>
    <t>Департамент інфраструктури та благоустрою міста Запорізької міської ради</t>
  </si>
  <si>
    <t>4110100</t>
  </si>
  <si>
    <t>4110180</t>
  </si>
  <si>
    <t>Керівництво і управління у сфері інфраструктури та благоустрою</t>
  </si>
  <si>
    <t>4113000</t>
  </si>
  <si>
    <t>4113240</t>
  </si>
  <si>
    <t>4113400</t>
  </si>
  <si>
    <t>4116000</t>
  </si>
  <si>
    <t>4116060</t>
  </si>
  <si>
    <t>4116300</t>
  </si>
  <si>
    <t>4116310</t>
  </si>
  <si>
    <t>4116600</t>
  </si>
  <si>
    <t>170000</t>
  </si>
  <si>
    <t>Транспорт, дорожнє господарство, зв'язок, телекомунікації та інформатика</t>
  </si>
  <si>
    <t>4117400</t>
  </si>
  <si>
    <t>4118000</t>
  </si>
  <si>
    <t>4118600</t>
  </si>
  <si>
    <t>4118603</t>
  </si>
  <si>
    <t>4119100</t>
  </si>
  <si>
    <t>4119110</t>
  </si>
  <si>
    <t>4510000</t>
  </si>
  <si>
    <t>4510100</t>
  </si>
  <si>
    <t>4510180</t>
  </si>
  <si>
    <t>Керівництво і управління у сфері управління майном права комунальної власності</t>
  </si>
  <si>
    <t>4518000</t>
  </si>
  <si>
    <t>4518600</t>
  </si>
  <si>
    <t>4518605</t>
  </si>
  <si>
    <t>4810000</t>
  </si>
  <si>
    <t>4810100</t>
  </si>
  <si>
    <t>4810180</t>
  </si>
  <si>
    <t>Керівництво і управління у сфері містобудування та архітектури</t>
  </si>
  <si>
    <t>4816430</t>
  </si>
  <si>
    <t>4818000</t>
  </si>
  <si>
    <t>4818600</t>
  </si>
  <si>
    <t>4818602</t>
  </si>
  <si>
    <t>4910000</t>
  </si>
  <si>
    <t>Інспекція державного архітектурно-будівельного контролю Запорізької міської ради</t>
  </si>
  <si>
    <t>4910100</t>
  </si>
  <si>
    <t>4910180</t>
  </si>
  <si>
    <t>Керівництво і управління у сфері державного архітеркурно-будівельного контролю</t>
  </si>
  <si>
    <t>5010000</t>
  </si>
  <si>
    <t>5010100</t>
  </si>
  <si>
    <t>5010180</t>
  </si>
  <si>
    <t>Керівництво і управління у сфері контролю за дотриманням законодавства про благоустрій</t>
  </si>
  <si>
    <t>5610000</t>
  </si>
  <si>
    <t>5610100</t>
  </si>
  <si>
    <t>5610180</t>
  </si>
  <si>
    <t>Керівництво і управління у сфері земельних відносин</t>
  </si>
  <si>
    <t>5617300</t>
  </si>
  <si>
    <t>Сільське і лісове господарство, рибне господарство та мисливство</t>
  </si>
  <si>
    <t>5617310</t>
  </si>
  <si>
    <t>0421</t>
  </si>
  <si>
    <t>Проведення заходів із землеустрою</t>
  </si>
  <si>
    <t>6010000</t>
  </si>
  <si>
    <t>6010100</t>
  </si>
  <si>
    <t>6010180</t>
  </si>
  <si>
    <t>Керівництво і управління у сфері охорони навколишнього природного  середовища</t>
  </si>
  <si>
    <t>6016300</t>
  </si>
  <si>
    <t>6016310</t>
  </si>
  <si>
    <t>6018000</t>
  </si>
  <si>
    <t>6018600</t>
  </si>
  <si>
    <t>6018602</t>
  </si>
  <si>
    <t>6019100</t>
  </si>
  <si>
    <t>6019110</t>
  </si>
  <si>
    <t>6510000</t>
  </si>
  <si>
    <t>6510100</t>
  </si>
  <si>
    <t>6510180</t>
  </si>
  <si>
    <t>Керівництво і управління у сфері транспортну та зв'язку</t>
  </si>
  <si>
    <t>6516300</t>
  </si>
  <si>
    <t>6516310</t>
  </si>
  <si>
    <t>6516600</t>
  </si>
  <si>
    <t>6516640</t>
  </si>
  <si>
    <t>6516700</t>
  </si>
  <si>
    <t>6517400</t>
  </si>
  <si>
    <t>6517470</t>
  </si>
  <si>
    <t>6518600</t>
  </si>
  <si>
    <t>6518602</t>
  </si>
  <si>
    <t>6518606</t>
  </si>
  <si>
    <t>6710000</t>
  </si>
  <si>
    <t>6710100</t>
  </si>
  <si>
    <t>6710180</t>
  </si>
  <si>
    <t>Керівництво і управління у сфері техногенно-екологічної безпеки цивільного захисту та надзвичайних ситуацій</t>
  </si>
  <si>
    <t>6717800</t>
  </si>
  <si>
    <t>210000</t>
  </si>
  <si>
    <t>Запобігання та ліквідація надзвичайних ситуацій та наслідків стихійного лиха</t>
  </si>
  <si>
    <t>6717810</t>
  </si>
  <si>
    <t>6717840</t>
  </si>
  <si>
    <t xml:space="preserve">Організація рятування на водах </t>
  </si>
  <si>
    <t>7310000</t>
  </si>
  <si>
    <t>7310100</t>
  </si>
  <si>
    <t>7310180</t>
  </si>
  <si>
    <t>Керівництво і управління у сфері соціально-економічного розвитку</t>
  </si>
  <si>
    <t>7316300</t>
  </si>
  <si>
    <t>7316310</t>
  </si>
  <si>
    <t>7316400</t>
  </si>
  <si>
    <t>7317400</t>
  </si>
  <si>
    <t>7317470</t>
  </si>
  <si>
    <t>7318000</t>
  </si>
  <si>
    <t>7318600</t>
  </si>
  <si>
    <t>7318602</t>
  </si>
  <si>
    <t>7319100</t>
  </si>
  <si>
    <t>7319180</t>
  </si>
  <si>
    <t>7319181</t>
  </si>
  <si>
    <t>7510000</t>
  </si>
  <si>
    <t>7510100</t>
  </si>
  <si>
    <t>7510180</t>
  </si>
  <si>
    <t>Керівництво і управління у сфері бюджету та фінансів</t>
  </si>
  <si>
    <t>7518000</t>
  </si>
  <si>
    <t>7518600</t>
  </si>
  <si>
    <t>7518607</t>
  </si>
  <si>
    <t>7610000</t>
  </si>
  <si>
    <t>7618000</t>
  </si>
  <si>
    <t>7618370</t>
  </si>
  <si>
    <t>Субвенція з місцевого бюджету державному бюджету на виконання програм соціально-економічного та культурного розвитку регіонів</t>
  </si>
  <si>
    <t>7618800</t>
  </si>
  <si>
    <t>250380</t>
  </si>
  <si>
    <t>9010000</t>
  </si>
  <si>
    <t>9010100</t>
  </si>
  <si>
    <t>9010180</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</si>
  <si>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</si>
  <si>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9016000</t>
  </si>
  <si>
    <t>9016010</t>
  </si>
  <si>
    <t>9016060</t>
  </si>
  <si>
    <t>9016300</t>
  </si>
  <si>
    <t>9016310</t>
  </si>
  <si>
    <t>9018000</t>
  </si>
  <si>
    <t>9018600</t>
  </si>
  <si>
    <t>Підтримка призову на військову службу та заходи з мобілізації</t>
  </si>
  <si>
    <t>9110000</t>
  </si>
  <si>
    <t>9110100</t>
  </si>
  <si>
    <t>9110180</t>
  </si>
  <si>
    <t>9116000</t>
  </si>
  <si>
    <t>9116010</t>
  </si>
  <si>
    <t>9116060</t>
  </si>
  <si>
    <t>9116300</t>
  </si>
  <si>
    <t>9116310</t>
  </si>
  <si>
    <t>9119100</t>
  </si>
  <si>
    <t>9119180</t>
  </si>
  <si>
    <t>9119181</t>
  </si>
  <si>
    <t>9210000</t>
  </si>
  <si>
    <t xml:space="preserve"> Районна адміністрація Запорізької міської ради по Вознесенівському району</t>
  </si>
  <si>
    <t>9210100</t>
  </si>
  <si>
    <t>9210180</t>
  </si>
  <si>
    <t>9216000</t>
  </si>
  <si>
    <t>9216010</t>
  </si>
  <si>
    <t>9216060</t>
  </si>
  <si>
    <t>9216300</t>
  </si>
  <si>
    <t>9216310</t>
  </si>
  <si>
    <t>9218600</t>
  </si>
  <si>
    <t>9118000</t>
  </si>
  <si>
    <t>9118600</t>
  </si>
  <si>
    <t>9219100</t>
  </si>
  <si>
    <t>9219181</t>
  </si>
  <si>
    <t>9310000</t>
  </si>
  <si>
    <t xml:space="preserve"> Районна адміністрація Запорізької міської ради по Олександрівському району</t>
  </si>
  <si>
    <t>9310100</t>
  </si>
  <si>
    <t>9310180</t>
  </si>
  <si>
    <t>9316000</t>
  </si>
  <si>
    <t>9316010</t>
  </si>
  <si>
    <t>9316060</t>
  </si>
  <si>
    <t>9316300</t>
  </si>
  <si>
    <t>9316310</t>
  </si>
  <si>
    <t>9218000</t>
  </si>
  <si>
    <t>9318000</t>
  </si>
  <si>
    <t>9318600</t>
  </si>
  <si>
    <t>9319100</t>
  </si>
  <si>
    <t>9319181</t>
  </si>
  <si>
    <t>9410000</t>
  </si>
  <si>
    <t xml:space="preserve"> Районна адміністрація Запорізької міської ради по Шевченківському району</t>
  </si>
  <si>
    <t>9410100</t>
  </si>
  <si>
    <t>9410180</t>
  </si>
  <si>
    <t>9416000</t>
  </si>
  <si>
    <t>9416010</t>
  </si>
  <si>
    <t>9416060</t>
  </si>
  <si>
    <t>9416300</t>
  </si>
  <si>
    <t>9416310</t>
  </si>
  <si>
    <t>9418000</t>
  </si>
  <si>
    <t>9418600</t>
  </si>
  <si>
    <t>9419100</t>
  </si>
  <si>
    <t>9510000</t>
  </si>
  <si>
    <t xml:space="preserve"> Районна адміністрація Запорізької міської ради по Заводському району</t>
  </si>
  <si>
    <t>9510100</t>
  </si>
  <si>
    <t>9510180</t>
  </si>
  <si>
    <t>9516300</t>
  </si>
  <si>
    <t>9516310</t>
  </si>
  <si>
    <t>9516000</t>
  </si>
  <si>
    <t>9516010</t>
  </si>
  <si>
    <t>9516060</t>
  </si>
  <si>
    <t>9610000</t>
  </si>
  <si>
    <t xml:space="preserve"> Районна адміністрація Запорізької міської ради по Комунарському району</t>
  </si>
  <si>
    <t>9610100</t>
  </si>
  <si>
    <t>9610180</t>
  </si>
  <si>
    <t>9616000</t>
  </si>
  <si>
    <t>9616010</t>
  </si>
  <si>
    <t>9616300</t>
  </si>
  <si>
    <t>9616310</t>
  </si>
  <si>
    <t>9518000</t>
  </si>
  <si>
    <t>9518600</t>
  </si>
  <si>
    <t>9519100</t>
  </si>
  <si>
    <t>9549181</t>
  </si>
  <si>
    <t>9618000</t>
  </si>
  <si>
    <t>9618600</t>
  </si>
  <si>
    <t>9618608</t>
  </si>
  <si>
    <t>9619100</t>
  </si>
  <si>
    <t>9619181</t>
  </si>
  <si>
    <t>9649181</t>
  </si>
  <si>
    <t>9019100</t>
  </si>
  <si>
    <t>9019180</t>
  </si>
  <si>
    <t>9019181</t>
  </si>
  <si>
    <t>Керівництво і управління у сфері освіти і науки</t>
  </si>
  <si>
    <t>100204</t>
  </si>
  <si>
    <t>4116650</t>
  </si>
  <si>
    <t>4117470</t>
  </si>
  <si>
    <t>9449181</t>
  </si>
  <si>
    <t>9616060</t>
  </si>
  <si>
    <t>Утримання та розвиток інфраструктури доріг</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</si>
  <si>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</si>
  <si>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Код типової програмної класифікації видатків та кредитування місцевих бюджетів (КТПККВК)</t>
  </si>
  <si>
    <t>0170</t>
  </si>
  <si>
    <t>0100</t>
  </si>
  <si>
    <t>7200</t>
  </si>
  <si>
    <t>7210</t>
  </si>
  <si>
    <t>7211</t>
  </si>
  <si>
    <t>7212</t>
  </si>
  <si>
    <t>6300</t>
  </si>
  <si>
    <t>6310</t>
  </si>
  <si>
    <t>6322</t>
  </si>
  <si>
    <t>7400</t>
  </si>
  <si>
    <t>7470</t>
  </si>
  <si>
    <t>8000</t>
  </si>
  <si>
    <t>8600</t>
  </si>
  <si>
    <t>8602</t>
  </si>
  <si>
    <t>8605</t>
  </si>
  <si>
    <t>8606</t>
  </si>
  <si>
    <t>8607</t>
  </si>
  <si>
    <t>9100</t>
  </si>
  <si>
    <t>9180</t>
  </si>
  <si>
    <t>9181</t>
  </si>
  <si>
    <t>1000</t>
  </si>
  <si>
    <t>1010</t>
  </si>
  <si>
    <t>1100</t>
  </si>
  <si>
    <t>1170</t>
  </si>
  <si>
    <t>1180</t>
  </si>
  <si>
    <t>1190</t>
  </si>
  <si>
    <t>1200</t>
  </si>
  <si>
    <t>1210</t>
  </si>
  <si>
    <t>3000</t>
  </si>
  <si>
    <t>3160</t>
  </si>
  <si>
    <t>3240</t>
  </si>
  <si>
    <t>6330</t>
  </si>
  <si>
    <t>6340</t>
  </si>
  <si>
    <t>6350</t>
  </si>
  <si>
    <t>9110</t>
  </si>
  <si>
    <t>3140</t>
  </si>
  <si>
    <t>5000</t>
  </si>
  <si>
    <t>5010</t>
  </si>
  <si>
    <t>5011</t>
  </si>
  <si>
    <t>5012</t>
  </si>
  <si>
    <t>5050</t>
  </si>
  <si>
    <t>8100</t>
  </si>
  <si>
    <t>8103</t>
  </si>
  <si>
    <t>8108</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</si>
  <si>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</si>
  <si>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</si>
  <si>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</si>
  <si>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</si>
  <si>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</si>
  <si>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</si>
  <si>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</si>
  <si>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</si>
  <si>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</si>
  <si>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</si>
  <si>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</si>
  <si>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</si>
  <si>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</si>
  <si>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</si>
  <si>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</si>
  <si>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</si>
  <si>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</si>
  <si>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</si>
  <si>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</si>
  <si>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</si>
  <si>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</si>
  <si>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</si>
  <si>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</si>
  <si>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3130</t>
  </si>
  <si>
    <t>3131</t>
  </si>
  <si>
    <t>3132</t>
  </si>
  <si>
    <t>3200</t>
  </si>
  <si>
    <t>3202</t>
  </si>
  <si>
    <t>3400</t>
  </si>
  <si>
    <t>3401</t>
  </si>
  <si>
    <t>3110</t>
  </si>
  <si>
    <t>3112</t>
  </si>
  <si>
    <t>4000</t>
  </si>
  <si>
    <t>4020</t>
  </si>
  <si>
    <t>4060</t>
  </si>
  <si>
    <t>4090</t>
  </si>
  <si>
    <t>4100</t>
  </si>
  <si>
    <t>4110</t>
  </si>
  <si>
    <t>4200</t>
  </si>
  <si>
    <t>4205</t>
  </si>
  <si>
    <t>7500</t>
  </si>
  <si>
    <t>7501</t>
  </si>
  <si>
    <t>7450</t>
  </si>
  <si>
    <t>6000</t>
  </si>
  <si>
    <t>6010</t>
  </si>
  <si>
    <t>6020</t>
  </si>
  <si>
    <t>6021</t>
  </si>
  <si>
    <t>6022</t>
  </si>
  <si>
    <t>6100</t>
  </si>
  <si>
    <t>6320</t>
  </si>
  <si>
    <t>6324</t>
  </si>
  <si>
    <t>6400</t>
  </si>
  <si>
    <t>6060</t>
  </si>
  <si>
    <t>6600</t>
  </si>
  <si>
    <t>6650</t>
  </si>
  <si>
    <t>8603</t>
  </si>
  <si>
    <t>6430</t>
  </si>
  <si>
    <t>7300</t>
  </si>
  <si>
    <t>7310</t>
  </si>
  <si>
    <t>6640</t>
  </si>
  <si>
    <t>6700</t>
  </si>
  <si>
    <t>7800</t>
  </si>
  <si>
    <t>7810</t>
  </si>
  <si>
    <t>7840</t>
  </si>
  <si>
    <t>8370</t>
  </si>
  <si>
    <t>8800</t>
  </si>
  <si>
    <t>8608</t>
  </si>
  <si>
    <t>1113401</t>
  </si>
  <si>
    <t>1113400</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</si>
  <si>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</si>
  <si>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Проведення навчально-тренувальних зборів і змагань з не олімпійських видів спорту</t>
  </si>
  <si>
    <t>Централізований бухгалтерський та фінансовий облік у сфері фізичної культури та спорту</t>
  </si>
  <si>
    <t>Програма розвитку та утримання житлово-комунального господарства м. Запоріжжя на 2016-2018 роки, затверджена рішенням міської ради від 25.12.2015  № 25 (зі змінами)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</si>
  <si>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рішенням міської ради від 30.03.2016  № 16</t>
  </si>
  <si>
    <t>Інші видатки в сфері житлово-комунального господарства та фінансування заходів з дезінсекції та дератизації</t>
  </si>
  <si>
    <t xml:space="preserve">Програма "Фінансова підтримка комунального науково-виробничого підприємства "Екоцентр" на 2016 рік, затверджена рішенням від              № </t>
  </si>
  <si>
    <t>Керівництво і управління у сфері культури та мистецтва, туризму</t>
  </si>
  <si>
    <t>Організаційне, інформаційно-аналітичне та матеріально-технічне забезпечення діяльності міської ради та її виконавчого комітету</t>
  </si>
  <si>
    <t>Програма Громадський бюджет</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</si>
  <si>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 (зі змінами)</t>
  </si>
  <si>
    <t>Міська цільова програма забезпечення членства Запорізької міської ради в Асоціаціях, затверджена рішенням міської ради від 25.12.2015  №  3 (зі змінами)</t>
  </si>
  <si>
    <t>Міська  програма  "Запорізька Муніципальна Інтегрована Система Обробки Інформації", затверджена рішенням міської ради від 30.06.2016 № 45 (зі змінами)</t>
  </si>
  <si>
    <t>Програма соціального захисту населення міста Запоріжжя "З теплом до людей" на 2016-2017 роки, затверджена рішенням міської ради від   28.09.2016 № 41</t>
  </si>
  <si>
    <t>7317500</t>
  </si>
  <si>
    <t>1115030</t>
  </si>
  <si>
    <t>1115031</t>
  </si>
  <si>
    <t>Розвиток дитячо-юнацького та резервного спорту</t>
  </si>
  <si>
    <t>1115040</t>
  </si>
  <si>
    <t>5031</t>
  </si>
  <si>
    <t>5030</t>
  </si>
  <si>
    <t>5040</t>
  </si>
  <si>
    <t>Підтримка і розвиток спортивної інфрастуртури</t>
  </si>
  <si>
    <t>1115041</t>
  </si>
  <si>
    <t>5041</t>
  </si>
  <si>
    <t>1115060</t>
  </si>
  <si>
    <t>5060</t>
  </si>
  <si>
    <t>1115062</t>
  </si>
  <si>
    <t>5062</t>
  </si>
  <si>
    <t>9419180</t>
  </si>
  <si>
    <t>9519180</t>
  </si>
  <si>
    <t>Програма економічного і соціального розвитку м.Запоріжжя на 2017 рік, затверджена рішенням міської ради від 21.12.2016  № 47</t>
  </si>
  <si>
    <t>Міська цільова програма  організації та відзначення в м. Запоріжжя загальнодержавних, міських та районних свят, державних пам'ятних дат, та історичних подій на 2017 рік, затверджена рішенням міської ради від  21.12.2016 № 22</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</si>
  <si>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21.12.2016 № 16</t>
  </si>
  <si>
    <t>Міська  програма "Цифрова стратегія міста на 2017-2020 роки", затверджена рішенням міської ради від  21.12.2016 № 24</t>
  </si>
  <si>
    <t>Програма  використання коштів цільового фонду міської ради на 2017рік, затверджена рішенням міської ради від 21.12.2016  № 31</t>
  </si>
  <si>
    <t>Програма фінансування заходів з питань сім'ї та молоді на 2017 рік, затверджена рішенням міської ради від 21.12.2016 № 14</t>
  </si>
  <si>
    <t>Міська програма підтримки обдарованої молоді м. Запоріжжя, затверджена рішенням міської ради від 21.12.2016 № 14</t>
  </si>
  <si>
    <t>Програма "Розвитку первинної медико-санітарної допомоги міста Запоріжжя на 2017 рік", затверджена рішенням міської ради від 21.12.2016 № 12</t>
  </si>
  <si>
    <t>Програма використання коштів депутатського фонду у 2017 році, затверджена рішенням міської ради від 21.12.2016  № 27</t>
  </si>
  <si>
    <t>Програма розвитку туризму в місті Запоріжжі на 2017-2019 роки, затверджена рішенням міської ради від 21.12.2016 № 10</t>
  </si>
  <si>
    <t xml:space="preserve"> Програма фінансування деяких заходів щодо сприяння  розвитку малого та середнього підприємництва у місті Запоріжжі на 2017 рік, затверджена рішенням міської ради від 21.12.2016  №  35</t>
  </si>
  <si>
    <t>Програма проведення в м. Запоріжжі Покровського ярмарку з нагоди святкування Дня міста у 2017 році, затверджена рішенням міської ради від  21.12.2016 № 8</t>
  </si>
  <si>
    <t>Програма "Фінансова підтримка комунального підприємства "Преса" на 2017 рік", затверджена рішенням міської ради від 21.12.2016  № 38</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</si>
  <si>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2017-2019 роки, затверджена рішенням міської ради від 21.12.2016  № 6</t>
  </si>
  <si>
    <t>Міська цільова програма "Безпечне місто Запоріжжя", затверджена рішенням від 21.12.2016 № 30</t>
  </si>
  <si>
    <t>Міська цільова програма запобігання і ліквідації надзвичайних ситуацій техногенного та природного характеру, організація рятування на водах на 2017-2019 роки, затверджена рішенням міської ради від 21.12.2016 № 36</t>
  </si>
  <si>
    <t>Програма підтримки діяльності органів самоорганізації населення міста Запоріжжя, затверджена рішенням міської ради від 21.12.2016 № 26</t>
  </si>
  <si>
    <t xml:space="preserve"> Програма "Фінансування заходів з дератизації відкритих стацій та дезінсекції анофелогенних водоймищ м. Запоріжжя ", затверджена рішенням міської ради від 21.12.2016 № 25</t>
  </si>
  <si>
    <t xml:space="preserve"> Програма "Сприяння органів місцевого самоврядування призову громадян  м. Запоріжжя ", затверджена рішенням міської ради від 21.12.2016  № 41</t>
  </si>
  <si>
    <t>Програма сприяння молодіжному руху "Молодь для міста" на 2017-2018 роки, затверджена рішенням міської ради від 21.12.2016  № 23</t>
  </si>
  <si>
    <t>Програма підтримки діяльності органів самоорганізації населення міста Запоріжжя, затверджена рішенням міської ради від 21.12.2016    № 26</t>
  </si>
  <si>
    <t>Програма підтримки діяльності органів самоорганізації населення міста Запоріжжя, затверджена рішенням міської ради від 21.12.2016   № 26</t>
  </si>
  <si>
    <t>Програма розвитку і функціонування української мови в м. Запоріжжя на  2016-2020 роки, затверджена рішенням міської ради від 30.11.2016 № 98</t>
  </si>
  <si>
    <t>Міська цільова Програма «ВІКНА» по заміні старих вікон на нові енергозберігаючі у бюджетних установах міста Запоріжжя на 2017- 2021 роки, затверджена рішенням міської ради від  30.11.2016 № 83</t>
  </si>
  <si>
    <t>Міська цільова програма розширення мережі філій Центру надання адміністративних послуг у м. Запоріжжі, затверджена рішенням міської ради від  26.10.2016 № 39</t>
  </si>
  <si>
    <t>0961</t>
  </si>
  <si>
    <t>4016050</t>
  </si>
  <si>
    <t>6050</t>
  </si>
  <si>
    <t>Фінансова підтримка обєктів комунального господарства</t>
  </si>
  <si>
    <t>4016051</t>
  </si>
  <si>
    <t>6051</t>
  </si>
  <si>
    <t>Забезпечення функціонування теплових мереж</t>
  </si>
  <si>
    <t>Програма  використання коштів цільового фонду міської ради на 2017рік, затверджена рішенням міської ради від 21.12.2016  № 31 (зі змінами)</t>
  </si>
  <si>
    <t>Програма розвитку та утримання житлово-комунального господарства м. Запоріжжя на 2017-2019 роки, затверджена рішенням міської ради від 21.12.2016  № 5  (зі змінами)</t>
  </si>
  <si>
    <t>Програма розвитку та утримання житлово-комунального господарства м. Запоріжжя на 2017-2019 роки, затверджена рішенням міської ради від 21.12.2016  № 5  (зі змінами) (зі змінами)</t>
  </si>
  <si>
    <t>Програма "Муніципальної аварійної служби та служби технічного обслуговування систем диспетчеризації ліфтів м. Запоріжжя на 2017-2019 роки", затверджена рішенням міської ради від 21.12.2016  № 60 (зі змінами)</t>
  </si>
  <si>
    <t>Програма "Про фінансування природоохоронних заходів за рахунок екологічних надходжень на 2017-2019 роки", затверджена рішенням міської ради від 21.12.2016 № 34 (зі змінами)</t>
  </si>
  <si>
    <t>7319110</t>
  </si>
  <si>
    <t>6519100</t>
  </si>
  <si>
    <t>6519110</t>
  </si>
  <si>
    <t>1113141</t>
  </si>
  <si>
    <t>3141</t>
  </si>
  <si>
    <t>Здійснення заходів  та реалізації проектів на виконання Державної цільової соціальної програми "Молодь України"</t>
  </si>
  <si>
    <t xml:space="preserve">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Національної поліції України, Служби безпеки України на 2017 рік, затверджена рішенням міської ради від  № </t>
  </si>
  <si>
    <t>1011070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</si>
  <si>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</si>
  <si>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Програма  розвитку інфраструктури та комплексного благоустрою міста Запоріжжя на 2017-2019 роки, затверджена рішенням міської ради від 21.12.2016  № 7 (зі змінами)</t>
  </si>
  <si>
    <t>0310180</t>
  </si>
  <si>
    <t>Керівництво і управління у сфері забезпечення діяльності міської ради та її виконавчого комітету</t>
  </si>
  <si>
    <t>0621</t>
  </si>
  <si>
    <t xml:space="preserve"> Програма "Фінансування заходів з дератизації відкритих стацій та дезінсекції анофелогенних водоймищ м. Запоріжжя", затверджена рішенням міської ради від 21.12.2016 № 25</t>
  </si>
  <si>
    <t>29.03.2017 №59</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</si>
</sst>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 numFmtId="209" formatCode="#,##0.000"/>
  </numFmts>
  <fonts count="108">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4"/>
      <color indexed="10"/>
      <name val="Times New Roman"/>
      <family val="1"/>
    </font>
    <font>
      <b/>
      <sz val="12"/>
      <color indexed="17"/>
      <name val="Times New Roman"/>
      <family val="1"/>
    </font>
    <font>
      <b/>
      <sz val="14"/>
      <color indexed="10"/>
      <name val="Times New Roman"/>
      <family val="1"/>
    </font>
    <font>
      <sz val="12"/>
      <color indexed="17"/>
      <name val="Times New Roman"/>
      <family val="1"/>
    </font>
    <font>
      <sz val="18"/>
      <name val="Arial Cyr"/>
      <family val="0"/>
    </font>
    <font>
      <b/>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0"/>
      <color indexed="10"/>
      <name val="Arial Cyr"/>
      <family val="0"/>
    </font>
    <font>
      <b/>
      <sz val="16"/>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30"/>
      <name val="Times New Roman"/>
      <family val="1"/>
    </font>
    <font>
      <b/>
      <sz val="12"/>
      <color indexed="9"/>
      <name val="Times New Roman"/>
      <family val="1"/>
    </font>
    <font>
      <sz val="10"/>
      <color indexed="56"/>
      <name val="Arial Cyr"/>
      <family val="0"/>
    </font>
    <font>
      <sz val="12"/>
      <color indexed="60"/>
      <name val="Times New Roman"/>
      <family val="1"/>
    </font>
    <font>
      <sz val="12"/>
      <color indexed="8"/>
      <name val="Times New Roman"/>
      <family val="1"/>
    </font>
    <font>
      <sz val="10"/>
      <color indexed="60"/>
      <name val="Arial"/>
      <family val="2"/>
    </font>
    <font>
      <b/>
      <sz val="12"/>
      <color indexed="8"/>
      <name val="Times New Roman"/>
      <family val="1"/>
    </font>
    <font>
      <sz val="12"/>
      <color indexed="9"/>
      <name val="Times New Roman"/>
      <family val="1"/>
    </font>
    <font>
      <b/>
      <sz val="14"/>
      <color indexed="40"/>
      <name val="Times New Roman"/>
      <family val="1"/>
    </font>
    <font>
      <b/>
      <sz val="14"/>
      <color indexed="8"/>
      <name val="Times New Roman"/>
      <family val="1"/>
    </font>
    <font>
      <b/>
      <sz val="12"/>
      <color indexed="40"/>
      <name val="Times New Roman"/>
      <family val="1"/>
    </font>
    <font>
      <sz val="8"/>
      <name val="Segoe UI"/>
      <family val="2"/>
    </font>
    <font>
      <b/>
      <u val="single"/>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
      <b/>
      <sz val="12"/>
      <color rgb="FF0070C0"/>
      <name val="Times New Roman"/>
      <family val="1"/>
    </font>
    <font>
      <b/>
      <sz val="12"/>
      <color rgb="FF006600"/>
      <name val="Times New Roman"/>
      <family val="1"/>
    </font>
    <font>
      <sz val="12"/>
      <color rgb="FF006600"/>
      <name val="Times New Roman"/>
      <family val="1"/>
    </font>
    <font>
      <b/>
      <sz val="12"/>
      <color rgb="FFFF0000"/>
      <name val="Times New Roman"/>
      <family val="1"/>
    </font>
    <font>
      <sz val="12"/>
      <color rgb="FFFF0000"/>
      <name val="Times New Roman"/>
      <family val="1"/>
    </font>
    <font>
      <b/>
      <sz val="12"/>
      <color theme="0"/>
      <name val="Times New Roman"/>
      <family val="1"/>
    </font>
    <font>
      <sz val="10"/>
      <color rgb="FF002060"/>
      <name val="Arial Cyr"/>
      <family val="0"/>
    </font>
    <font>
      <sz val="12"/>
      <color theme="3" tint="-0.24997000396251678"/>
      <name val="Times New Roman"/>
      <family val="1"/>
    </font>
    <font>
      <sz val="12"/>
      <color theme="5" tint="-0.24997000396251678"/>
      <name val="Times New Roman"/>
      <family val="1"/>
    </font>
    <font>
      <sz val="12"/>
      <color rgb="FF008000"/>
      <name val="Times New Roman"/>
      <family val="1"/>
    </font>
    <font>
      <sz val="12"/>
      <color theme="1"/>
      <name val="Times New Roman"/>
      <family val="1"/>
    </font>
    <font>
      <sz val="12"/>
      <color rgb="FF002060"/>
      <name val="Times New Roman"/>
      <family val="1"/>
    </font>
    <font>
      <sz val="10"/>
      <color theme="5" tint="-0.24997000396251678"/>
      <name val="Arial"/>
      <family val="2"/>
    </font>
    <font>
      <b/>
      <sz val="12"/>
      <color theme="1"/>
      <name val="Times New Roman"/>
      <family val="1"/>
    </font>
    <font>
      <sz val="12"/>
      <color theme="0"/>
      <name val="Times New Roman"/>
      <family val="1"/>
    </font>
    <font>
      <b/>
      <sz val="14"/>
      <color rgb="FF00B0F0"/>
      <name val="Times New Roman"/>
      <family val="1"/>
    </font>
    <font>
      <b/>
      <sz val="14"/>
      <color theme="1"/>
      <name val="Times New Roman"/>
      <family val="1"/>
    </font>
    <font>
      <b/>
      <sz val="12"/>
      <color rgb="FF00B0F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8" borderId="7"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32" borderId="0" applyNumberFormat="0" applyBorder="0" applyAlignment="0" applyProtection="0"/>
  </cellStyleXfs>
  <cellXfs count="451">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33" borderId="0" xfId="0" applyFont="1" applyFill="1" applyAlignment="1">
      <alignment horizontal="center" vertical="center" wrapText="1"/>
    </xf>
    <xf numFmtId="1" fontId="1" fillId="33" borderId="0" xfId="0" applyNumberFormat="1" applyFont="1" applyFill="1" applyAlignment="1">
      <alignment horizontal="center" vertical="center" wrapText="1"/>
    </xf>
    <xf numFmtId="0" fontId="1" fillId="34"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33"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wrapText="1"/>
    </xf>
    <xf numFmtId="0" fontId="17" fillId="35" borderId="0" xfId="0" applyFont="1" applyFill="1" applyBorder="1" applyAlignment="1">
      <alignment wrapText="1"/>
    </xf>
    <xf numFmtId="1" fontId="1" fillId="35" borderId="10" xfId="0" applyNumberFormat="1" applyFont="1" applyFill="1" applyBorder="1" applyAlignment="1">
      <alignment horizontal="right" vertical="center" wrapText="1"/>
    </xf>
    <xf numFmtId="1" fontId="11" fillId="35" borderId="10" xfId="0" applyNumberFormat="1" applyFont="1" applyFill="1" applyBorder="1" applyAlignment="1">
      <alignment vertical="center" wrapText="1"/>
    </xf>
    <xf numFmtId="1" fontId="26" fillId="35" borderId="10" xfId="0" applyNumberFormat="1" applyFont="1" applyFill="1" applyBorder="1" applyAlignment="1">
      <alignment vertical="center" wrapText="1"/>
    </xf>
    <xf numFmtId="1" fontId="2" fillId="35" borderId="10" xfId="0" applyNumberFormat="1" applyFont="1" applyFill="1" applyBorder="1" applyAlignment="1">
      <alignment vertical="center" wrapText="1"/>
    </xf>
    <xf numFmtId="0" fontId="26" fillId="35" borderId="10" xfId="0" applyFont="1" applyFill="1" applyBorder="1" applyAlignment="1">
      <alignment vertical="center" wrapText="1"/>
    </xf>
    <xf numFmtId="1" fontId="1" fillId="35" borderId="10" xfId="0" applyNumberFormat="1" applyFont="1" applyFill="1" applyBorder="1" applyAlignment="1">
      <alignment horizontal="center" vertical="center" wrapText="1"/>
    </xf>
    <xf numFmtId="1" fontId="89" fillId="35" borderId="10" xfId="0" applyNumberFormat="1" applyFont="1" applyFill="1" applyBorder="1" applyAlignment="1">
      <alignment vertical="center" wrapText="1"/>
    </xf>
    <xf numFmtId="0" fontId="1" fillId="35" borderId="10" xfId="0" applyFont="1" applyFill="1" applyBorder="1" applyAlignment="1">
      <alignment wrapText="1"/>
    </xf>
    <xf numFmtId="0" fontId="1" fillId="35" borderId="0" xfId="0" applyFont="1" applyFill="1" applyAlignment="1">
      <alignment wrapText="1"/>
    </xf>
    <xf numFmtId="49" fontId="2" fillId="35" borderId="11"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1" fillId="35" borderId="0" xfId="0" applyFont="1" applyFill="1" applyAlignment="1">
      <alignment horizontal="center" vertical="center" wrapText="1"/>
    </xf>
    <xf numFmtId="0" fontId="89" fillId="35" borderId="13" xfId="0" applyFont="1" applyFill="1" applyBorder="1" applyAlignment="1">
      <alignment horizontal="center" vertical="center" wrapText="1"/>
    </xf>
    <xf numFmtId="0" fontId="2" fillId="35" borderId="0" xfId="0" applyFont="1" applyFill="1" applyAlignment="1">
      <alignment horizontal="center" vertical="center" wrapText="1"/>
    </xf>
    <xf numFmtId="0" fontId="2" fillId="35" borderId="0" xfId="0" applyFont="1" applyFill="1" applyAlignment="1">
      <alignment wrapText="1"/>
    </xf>
    <xf numFmtId="0" fontId="1" fillId="35" borderId="0" xfId="0" applyFont="1" applyFill="1" applyBorder="1" applyAlignment="1">
      <alignment wrapText="1"/>
    </xf>
    <xf numFmtId="0" fontId="27" fillId="35" borderId="0" xfId="0" applyFont="1" applyFill="1" applyAlignment="1">
      <alignment wrapText="1"/>
    </xf>
    <xf numFmtId="0" fontId="3" fillId="35" borderId="0" xfId="0" applyFont="1" applyFill="1" applyAlignment="1">
      <alignment wrapText="1"/>
    </xf>
    <xf numFmtId="0" fontId="3" fillId="35" borderId="0" xfId="0" applyFont="1" applyFill="1" applyBorder="1" applyAlignment="1">
      <alignment wrapText="1"/>
    </xf>
    <xf numFmtId="0" fontId="6" fillId="35" borderId="10" xfId="0" applyFont="1" applyFill="1" applyBorder="1" applyAlignment="1">
      <alignment horizontal="center" vertical="center" wrapText="1"/>
    </xf>
    <xf numFmtId="1" fontId="2" fillId="35" borderId="0" xfId="0" applyNumberFormat="1" applyFont="1" applyFill="1" applyAlignment="1">
      <alignment horizontal="center" vertical="center" wrapText="1"/>
    </xf>
    <xf numFmtId="1" fontId="1" fillId="35" borderId="0" xfId="0" applyNumberFormat="1" applyFont="1" applyFill="1" applyBorder="1" applyAlignment="1">
      <alignment horizontal="center" vertical="center" wrapText="1"/>
    </xf>
    <xf numFmtId="1" fontId="1" fillId="35" borderId="0" xfId="0" applyNumberFormat="1" applyFont="1" applyFill="1" applyAlignment="1">
      <alignment horizontal="center" vertical="center" wrapText="1"/>
    </xf>
    <xf numFmtId="0" fontId="28" fillId="35" borderId="0" xfId="0" applyFont="1" applyFill="1" applyAlignment="1">
      <alignment horizontal="center" vertical="center" wrapText="1"/>
    </xf>
    <xf numFmtId="0" fontId="21" fillId="35" borderId="0" xfId="0" applyFont="1" applyFill="1" applyAlignment="1">
      <alignment horizontal="center" vertical="center" wrapText="1"/>
    </xf>
    <xf numFmtId="0" fontId="21" fillId="35" borderId="0" xfId="0" applyFont="1" applyFill="1" applyBorder="1" applyAlignment="1">
      <alignment horizontal="center" vertical="center" wrapText="1"/>
    </xf>
    <xf numFmtId="1" fontId="90" fillId="35" borderId="0" xfId="0" applyNumberFormat="1" applyFont="1" applyFill="1" applyAlignment="1">
      <alignment horizontal="center" vertical="center" wrapText="1"/>
    </xf>
    <xf numFmtId="0" fontId="89" fillId="35" borderId="0" xfId="0" applyFont="1" applyFill="1" applyAlignment="1">
      <alignment horizontal="center" vertical="center" wrapText="1"/>
    </xf>
    <xf numFmtId="1" fontId="89" fillId="35" borderId="0" xfId="0" applyNumberFormat="1" applyFont="1" applyFill="1" applyAlignment="1">
      <alignment horizontal="center" vertical="center" wrapText="1"/>
    </xf>
    <xf numFmtId="0" fontId="89" fillId="35"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1" fontId="2" fillId="35" borderId="0" xfId="0" applyNumberFormat="1" applyFont="1" applyFill="1" applyAlignment="1">
      <alignment vertical="center" wrapText="1"/>
    </xf>
    <xf numFmtId="1" fontId="1" fillId="35" borderId="0" xfId="0" applyNumberFormat="1" applyFont="1" applyFill="1" applyAlignment="1">
      <alignment vertical="center" wrapText="1"/>
    </xf>
    <xf numFmtId="0" fontId="1" fillId="35" borderId="0" xfId="0" applyFont="1" applyFill="1" applyAlignment="1">
      <alignment vertical="center" wrapText="1"/>
    </xf>
    <xf numFmtId="0" fontId="1" fillId="35" borderId="0" xfId="0" applyFont="1" applyFill="1" applyBorder="1" applyAlignment="1">
      <alignment vertical="center" wrapText="1"/>
    </xf>
    <xf numFmtId="0" fontId="33" fillId="35" borderId="0" xfId="0" applyFont="1" applyFill="1" applyAlignment="1">
      <alignment/>
    </xf>
    <xf numFmtId="0" fontId="34" fillId="35" borderId="0" xfId="0" applyFont="1" applyFill="1" applyAlignment="1">
      <alignment/>
    </xf>
    <xf numFmtId="0" fontId="33" fillId="35" borderId="0" xfId="0" applyFont="1" applyFill="1" applyBorder="1" applyAlignment="1">
      <alignment/>
    </xf>
    <xf numFmtId="0" fontId="29" fillId="35" borderId="0" xfId="0" applyFont="1" applyFill="1" applyBorder="1" applyAlignment="1">
      <alignment wrapText="1"/>
    </xf>
    <xf numFmtId="0" fontId="30" fillId="35" borderId="0" xfId="0" applyFont="1" applyFill="1" applyBorder="1" applyAlignment="1">
      <alignment wrapText="1"/>
    </xf>
    <xf numFmtId="0" fontId="91" fillId="35" borderId="0" xfId="0" applyFont="1" applyFill="1" applyAlignment="1">
      <alignment horizontal="center" vertical="center" wrapText="1"/>
    </xf>
    <xf numFmtId="1" fontId="91" fillId="35" borderId="0" xfId="0" applyNumberFormat="1" applyFont="1" applyFill="1" applyAlignment="1">
      <alignment horizontal="center" vertical="center" wrapText="1"/>
    </xf>
    <xf numFmtId="0" fontId="92" fillId="35" borderId="0" xfId="0" applyFont="1" applyFill="1" applyAlignment="1">
      <alignment horizontal="center" vertical="center" wrapText="1"/>
    </xf>
    <xf numFmtId="0" fontId="92" fillId="35" borderId="0" xfId="0" applyFont="1" applyFill="1" applyBorder="1" applyAlignment="1">
      <alignment horizontal="center" vertical="center" wrapText="1"/>
    </xf>
    <xf numFmtId="0" fontId="91" fillId="35" borderId="0" xfId="0" applyFont="1" applyFill="1" applyBorder="1" applyAlignment="1">
      <alignment horizontal="center" vertical="center" wrapText="1"/>
    </xf>
    <xf numFmtId="1" fontId="2" fillId="35" borderId="0" xfId="0" applyNumberFormat="1" applyFont="1" applyFill="1" applyBorder="1" applyAlignment="1">
      <alignment vertical="center" wrapText="1"/>
    </xf>
    <xf numFmtId="1" fontId="2" fillId="35" borderId="0" xfId="0" applyNumberFormat="1" applyFont="1" applyFill="1" applyBorder="1" applyAlignment="1">
      <alignment horizontal="right" vertical="center" wrapText="1"/>
    </xf>
    <xf numFmtId="49" fontId="1" fillId="35" borderId="11" xfId="0" applyNumberFormat="1" applyFont="1" applyFill="1" applyBorder="1" applyAlignment="1">
      <alignment vertical="center" wrapText="1"/>
    </xf>
    <xf numFmtId="0" fontId="2" fillId="35" borderId="0" xfId="0" applyFont="1" applyFill="1" applyBorder="1" applyAlignment="1">
      <alignment horizontal="right" vertical="center" wrapText="1"/>
    </xf>
    <xf numFmtId="0" fontId="9" fillId="35" borderId="0" xfId="0" applyFont="1" applyFill="1" applyBorder="1" applyAlignment="1">
      <alignment horizontal="right" wrapText="1"/>
    </xf>
    <xf numFmtId="0" fontId="9" fillId="35" borderId="0" xfId="0" applyFont="1" applyFill="1" applyBorder="1" applyAlignment="1">
      <alignment horizontal="right"/>
    </xf>
    <xf numFmtId="0" fontId="27" fillId="35" borderId="0" xfId="0" applyFont="1" applyFill="1" applyBorder="1" applyAlignment="1">
      <alignment horizontal="right" wrapText="1"/>
    </xf>
    <xf numFmtId="0" fontId="2" fillId="35" borderId="0" xfId="0" applyFont="1" applyFill="1" applyBorder="1" applyAlignment="1">
      <alignment horizontal="right" wrapText="1"/>
    </xf>
    <xf numFmtId="1" fontId="34" fillId="35" borderId="0" xfId="0" applyNumberFormat="1" applyFont="1" applyFill="1" applyBorder="1" applyAlignment="1">
      <alignment horizontal="right"/>
    </xf>
    <xf numFmtId="1" fontId="2" fillId="35" borderId="0" xfId="0" applyNumberFormat="1" applyFont="1" applyFill="1" applyBorder="1" applyAlignment="1">
      <alignment horizontal="right" wrapText="1"/>
    </xf>
    <xf numFmtId="0" fontId="1" fillId="35" borderId="0" xfId="0" applyFont="1" applyFill="1" applyBorder="1" applyAlignment="1">
      <alignment horizontal="right" wrapText="1"/>
    </xf>
    <xf numFmtId="0" fontId="31" fillId="35" borderId="0" xfId="0" applyFont="1" applyFill="1" applyBorder="1" applyAlignment="1">
      <alignment horizontal="right" wrapText="1"/>
    </xf>
    <xf numFmtId="0" fontId="30" fillId="35" borderId="0" xfId="0" applyFont="1" applyFill="1" applyBorder="1" applyAlignment="1">
      <alignment horizontal="right" wrapText="1"/>
    </xf>
    <xf numFmtId="0" fontId="17" fillId="35" borderId="0" xfId="0" applyFont="1" applyFill="1" applyBorder="1" applyAlignment="1">
      <alignment horizontal="right" wrapText="1"/>
    </xf>
    <xf numFmtId="1" fontId="17" fillId="35" borderId="0" xfId="0" applyNumberFormat="1" applyFont="1" applyFill="1" applyBorder="1" applyAlignment="1">
      <alignment horizontal="right" wrapText="1"/>
    </xf>
    <xf numFmtId="0" fontId="1" fillId="35" borderId="0" xfId="0" applyFont="1" applyFill="1" applyBorder="1" applyAlignment="1">
      <alignment horizontal="center" vertical="center" wrapText="1"/>
    </xf>
    <xf numFmtId="0" fontId="1" fillId="35" borderId="11" xfId="0" applyFont="1" applyFill="1" applyBorder="1" applyAlignment="1">
      <alignment vertical="center" wrapText="1"/>
    </xf>
    <xf numFmtId="0" fontId="93" fillId="35" borderId="0" xfId="0" applyFont="1" applyFill="1" applyAlignment="1">
      <alignment horizontal="center" vertical="center" wrapText="1"/>
    </xf>
    <xf numFmtId="0" fontId="94" fillId="35" borderId="0" xfId="0" applyFont="1" applyFill="1" applyAlignment="1">
      <alignment horizontal="center" vertical="center" wrapText="1"/>
    </xf>
    <xf numFmtId="0" fontId="94" fillId="35" borderId="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2"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1" fillId="36" borderId="0" xfId="0" applyNumberFormat="1" applyFont="1" applyFill="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4" xfId="0" applyNumberFormat="1" applyFont="1" applyFill="1" applyBorder="1" applyAlignment="1">
      <alignment horizontal="center" vertical="center" wrapText="1"/>
    </xf>
    <xf numFmtId="0" fontId="2" fillId="35" borderId="12" xfId="0"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95" fillId="35" borderId="0" xfId="0" applyFont="1" applyFill="1" applyBorder="1" applyAlignment="1">
      <alignment horizontal="right"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center" wrapText="1"/>
    </xf>
    <xf numFmtId="1" fontId="17" fillId="35" borderId="0" xfId="0" applyNumberFormat="1" applyFont="1" applyFill="1" applyBorder="1" applyAlignment="1">
      <alignment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2" fontId="1" fillId="35" borderId="10" xfId="58"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5" xfId="0" applyFont="1" applyFill="1" applyBorder="1" applyAlignment="1">
      <alignment horizontal="center" vertical="center" wrapText="1"/>
    </xf>
    <xf numFmtId="49" fontId="1" fillId="35" borderId="0" xfId="0" applyNumberFormat="1" applyFont="1" applyFill="1" applyBorder="1" applyAlignment="1">
      <alignment horizontal="center" vertical="center" wrapText="1"/>
    </xf>
    <xf numFmtId="0" fontId="0" fillId="0" borderId="10" xfId="0" applyFill="1" applyBorder="1" applyAlignment="1">
      <alignment horizontal="left" wrapText="1"/>
    </xf>
    <xf numFmtId="0" fontId="96" fillId="0" borderId="10" xfId="0" applyFont="1" applyFill="1" applyBorder="1" applyAlignment="1">
      <alignment horizontal="left" wrapText="1"/>
    </xf>
    <xf numFmtId="0" fontId="0" fillId="0" borderId="10" xfId="0" applyBorder="1" applyAlignment="1">
      <alignment horizontal="left" wrapText="1"/>
    </xf>
    <xf numFmtId="0" fontId="96" fillId="0" borderId="10" xfId="0" applyFont="1" applyBorder="1" applyAlignment="1">
      <alignment horizontal="left" wrapText="1"/>
    </xf>
    <xf numFmtId="0" fontId="1" fillId="35" borderId="10" xfId="0" applyFont="1" applyFill="1" applyBorder="1" applyAlignment="1">
      <alignment horizontal="left" vertical="center" wrapText="1"/>
    </xf>
    <xf numFmtId="49" fontId="97" fillId="35" borderId="11" xfId="0" applyNumberFormat="1" applyFont="1" applyFill="1" applyBorder="1" applyAlignment="1">
      <alignment horizontal="center" vertical="center" wrapText="1"/>
    </xf>
    <xf numFmtId="0" fontId="97" fillId="35" borderId="11" xfId="0" applyFont="1" applyFill="1" applyBorder="1" applyAlignment="1">
      <alignment horizontal="center" vertical="center" wrapText="1"/>
    </xf>
    <xf numFmtId="0" fontId="97" fillId="35" borderId="13" xfId="0" applyFont="1" applyFill="1" applyBorder="1" applyAlignment="1">
      <alignment horizontal="center" vertical="center" wrapText="1"/>
    </xf>
    <xf numFmtId="0" fontId="1" fillId="35" borderId="11" xfId="0" applyFont="1" applyFill="1" applyBorder="1" applyAlignment="1">
      <alignment horizontal="left" vertical="center" wrapText="1"/>
    </xf>
    <xf numFmtId="49" fontId="98" fillId="35" borderId="11" xfId="0" applyNumberFormat="1" applyFont="1" applyFill="1" applyBorder="1" applyAlignment="1">
      <alignment horizontal="center" vertical="center" wrapText="1"/>
    </xf>
    <xf numFmtId="0" fontId="98" fillId="35" borderId="10" xfId="0" applyFont="1" applyFill="1" applyBorder="1" applyAlignment="1">
      <alignment horizontal="center" vertical="center" wrapText="1"/>
    </xf>
    <xf numFmtId="0" fontId="1" fillId="35" borderId="0" xfId="0" applyFont="1" applyFill="1" applyBorder="1" applyAlignment="1">
      <alignment horizontal="left" vertical="center" wrapText="1"/>
    </xf>
    <xf numFmtId="49" fontId="0" fillId="0" borderId="10" xfId="0" applyNumberFormat="1" applyBorder="1" applyAlignment="1">
      <alignment horizontal="center" vertical="center"/>
    </xf>
    <xf numFmtId="0" fontId="26"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1" fontId="1" fillId="35" borderId="13"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1" fontId="2" fillId="35" borderId="12" xfId="0"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9" fillId="0" borderId="10" xfId="0" applyFont="1" applyBorder="1" applyAlignment="1">
      <alignment horizontal="left" wrapText="1"/>
    </xf>
    <xf numFmtId="0" fontId="11" fillId="35"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0" fillId="0" borderId="10" xfId="0" applyNumberFormat="1" applyFont="1" applyFill="1" applyBorder="1" applyAlignment="1">
      <alignment/>
    </xf>
    <xf numFmtId="0" fontId="0" fillId="0" borderId="0" xfId="0" applyFont="1" applyAlignment="1">
      <alignment/>
    </xf>
    <xf numFmtId="0" fontId="8" fillId="0" borderId="0" xfId="0" applyFont="1" applyFill="1" applyAlignment="1">
      <alignment/>
    </xf>
    <xf numFmtId="49" fontId="1" fillId="35" borderId="13" xfId="0" applyNumberFormat="1" applyFont="1" applyFill="1" applyBorder="1" applyAlignment="1">
      <alignment horizontal="center" vertical="center" wrapText="1"/>
    </xf>
    <xf numFmtId="1" fontId="1" fillId="35" borderId="0" xfId="0" applyNumberFormat="1" applyFont="1" applyFill="1" applyBorder="1" applyAlignment="1">
      <alignment horizontal="right" vertical="center" wrapText="1"/>
    </xf>
    <xf numFmtId="0" fontId="1" fillId="35" borderId="0" xfId="0" applyFont="1" applyFill="1" applyBorder="1" applyAlignment="1">
      <alignment horizontal="right" vertical="center"/>
    </xf>
    <xf numFmtId="1" fontId="26" fillId="35" borderId="0" xfId="0" applyNumberFormat="1" applyFont="1" applyFill="1" applyBorder="1" applyAlignment="1">
      <alignment horizontal="right" vertical="center" wrapText="1"/>
    </xf>
    <xf numFmtId="1" fontId="89" fillId="35" borderId="0" xfId="0" applyNumberFormat="1" applyFont="1" applyFill="1" applyBorder="1" applyAlignment="1">
      <alignment vertical="center" wrapText="1"/>
    </xf>
    <xf numFmtId="1" fontId="1" fillId="35" borderId="0" xfId="0" applyNumberFormat="1" applyFont="1" applyFill="1" applyBorder="1" applyAlignment="1">
      <alignment vertical="center" wrapText="1"/>
    </xf>
    <xf numFmtId="0" fontId="1" fillId="35" borderId="0" xfId="0" applyFont="1" applyFill="1" applyBorder="1" applyAlignment="1">
      <alignment horizontal="right" vertical="center" wrapText="1"/>
    </xf>
    <xf numFmtId="1" fontId="1" fillId="35" borderId="0" xfId="0" applyNumberFormat="1" applyFont="1" applyFill="1" applyBorder="1" applyAlignment="1">
      <alignment horizontal="right" vertical="center"/>
    </xf>
    <xf numFmtId="0" fontId="26" fillId="35" borderId="0" xfId="0" applyFont="1" applyFill="1" applyBorder="1" applyAlignment="1">
      <alignment horizontal="right" vertical="center" wrapText="1"/>
    </xf>
    <xf numFmtId="1" fontId="26" fillId="35" borderId="0" xfId="0" applyNumberFormat="1" applyFont="1" applyFill="1" applyBorder="1" applyAlignment="1">
      <alignment vertical="center" wrapText="1"/>
    </xf>
    <xf numFmtId="1" fontId="99" fillId="35" borderId="0" xfId="0" applyNumberFormat="1" applyFont="1" applyFill="1" applyBorder="1" applyAlignment="1">
      <alignment horizontal="right" vertical="center" wrapText="1"/>
    </xf>
    <xf numFmtId="2" fontId="1" fillId="35" borderId="0" xfId="58" applyNumberFormat="1" applyFont="1" applyFill="1" applyBorder="1" applyAlignment="1">
      <alignment vertical="center" wrapText="1"/>
    </xf>
    <xf numFmtId="0" fontId="89" fillId="35" borderId="0" xfId="0" applyFont="1" applyFill="1" applyBorder="1" applyAlignment="1">
      <alignment horizontal="right" vertical="center" wrapText="1"/>
    </xf>
    <xf numFmtId="0" fontId="2" fillId="35" borderId="0" xfId="0" applyFont="1" applyFill="1" applyBorder="1" applyAlignment="1">
      <alignment vertical="center" wrapText="1"/>
    </xf>
    <xf numFmtId="0" fontId="26" fillId="35" borderId="0" xfId="0" applyFont="1" applyFill="1" applyBorder="1" applyAlignment="1">
      <alignment vertical="center" wrapText="1"/>
    </xf>
    <xf numFmtId="1" fontId="26" fillId="35" borderId="0" xfId="0" applyNumberFormat="1" applyFont="1" applyFill="1" applyBorder="1" applyAlignment="1">
      <alignment vertical="center" wrapText="1"/>
    </xf>
    <xf numFmtId="1" fontId="100" fillId="35" borderId="0" xfId="0" applyNumberFormat="1" applyFont="1" applyFill="1" applyBorder="1" applyAlignment="1">
      <alignment horizontal="right" vertical="center" wrapText="1"/>
    </xf>
    <xf numFmtId="0" fontId="94" fillId="35" borderId="0" xfId="0" applyFont="1" applyFill="1" applyBorder="1" applyAlignment="1">
      <alignment horizontal="right" vertical="center" wrapText="1"/>
    </xf>
    <xf numFmtId="1" fontId="96" fillId="0" borderId="0" xfId="0" applyNumberFormat="1" applyFont="1" applyBorder="1" applyAlignment="1">
      <alignment horizontal="right"/>
    </xf>
    <xf numFmtId="1" fontId="39" fillId="0" borderId="0" xfId="0" applyNumberFormat="1" applyFont="1" applyBorder="1" applyAlignment="1">
      <alignment horizontal="right"/>
    </xf>
    <xf numFmtId="1" fontId="8" fillId="0" borderId="0" xfId="0" applyNumberFormat="1" applyFont="1" applyFill="1" applyBorder="1" applyAlignment="1">
      <alignment horizontal="right"/>
    </xf>
    <xf numFmtId="1" fontId="89" fillId="35" borderId="0" xfId="0" applyNumberFormat="1" applyFont="1" applyFill="1" applyBorder="1" applyAlignment="1">
      <alignment horizontal="right" vertical="center" wrapText="1"/>
    </xf>
    <xf numFmtId="49" fontId="0" fillId="0" borderId="10" xfId="0" applyNumberFormat="1" applyFill="1" applyBorder="1" applyAlignment="1">
      <alignment horizontal="center" vertical="center"/>
    </xf>
    <xf numFmtId="0" fontId="1" fillId="35" borderId="13" xfId="0" applyFont="1" applyFill="1" applyBorder="1" applyAlignment="1">
      <alignment horizontal="center" vertical="center" wrapText="1"/>
    </xf>
    <xf numFmtId="49" fontId="1" fillId="0" borderId="11" xfId="0" applyNumberFormat="1" applyFont="1" applyBorder="1" applyAlignment="1">
      <alignment horizontal="center" vertical="center"/>
    </xf>
    <xf numFmtId="0" fontId="1" fillId="35" borderId="13" xfId="0" applyFont="1" applyFill="1" applyBorder="1" applyAlignment="1">
      <alignment horizontal="center" vertical="center" wrapText="1"/>
    </xf>
    <xf numFmtId="49" fontId="1" fillId="0" borderId="10" xfId="0" applyNumberFormat="1" applyFont="1" applyBorder="1" applyAlignment="1">
      <alignment horizontal="center" vertical="center"/>
    </xf>
    <xf numFmtId="3" fontId="2" fillId="35" borderId="10" xfId="0" applyNumberFormat="1" applyFont="1" applyFill="1" applyBorder="1" applyAlignment="1">
      <alignment vertical="center" wrapText="1"/>
    </xf>
    <xf numFmtId="1" fontId="2" fillId="35" borderId="0" xfId="0" applyNumberFormat="1" applyFont="1" applyFill="1" applyBorder="1" applyAlignment="1">
      <alignment horizontal="center" vertical="center" wrapText="1"/>
    </xf>
    <xf numFmtId="1" fontId="0" fillId="0" borderId="0" xfId="0" applyNumberFormat="1" applyFont="1" applyFill="1" applyBorder="1" applyAlignment="1">
      <alignment/>
    </xf>
    <xf numFmtId="0" fontId="0" fillId="0" borderId="0" xfId="0" applyFont="1" applyBorder="1" applyAlignment="1">
      <alignment/>
    </xf>
    <xf numFmtId="0" fontId="8" fillId="0" borderId="0" xfId="0" applyFont="1" applyFill="1" applyBorder="1" applyAlignment="1">
      <alignment/>
    </xf>
    <xf numFmtId="1" fontId="94" fillId="35" borderId="0" xfId="0" applyNumberFormat="1" applyFont="1" applyFill="1" applyBorder="1" applyAlignment="1">
      <alignment horizontal="right" vertical="center" wrapText="1"/>
    </xf>
    <xf numFmtId="1" fontId="94" fillId="35" borderId="0" xfId="0" applyNumberFormat="1" applyFont="1" applyFill="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49" fontId="1" fillId="0" borderId="11" xfId="0" applyNumberFormat="1" applyFont="1" applyFill="1" applyBorder="1" applyAlignment="1">
      <alignment horizontal="center" vertical="center"/>
    </xf>
    <xf numFmtId="0" fontId="1" fillId="0" borderId="11" xfId="0" applyFont="1" applyFill="1" applyBorder="1" applyAlignment="1">
      <alignment vertical="center" wrapText="1"/>
    </xf>
    <xf numFmtId="0" fontId="101" fillId="0" borderId="10" xfId="0" applyFont="1" applyFill="1" applyBorder="1" applyAlignment="1">
      <alignment horizontal="center" vertical="center" wrapText="1"/>
    </xf>
    <xf numFmtId="0" fontId="101" fillId="0" borderId="10" xfId="0" applyFont="1" applyBorder="1" applyAlignment="1">
      <alignment horizontal="center" vertical="center" wrapText="1"/>
    </xf>
    <xf numFmtId="0" fontId="1" fillId="35" borderId="14" xfId="0" applyFont="1" applyFill="1" applyBorder="1" applyAlignment="1">
      <alignment horizontal="left" vertical="center" wrapText="1"/>
    </xf>
    <xf numFmtId="49" fontId="2" fillId="35" borderId="14" xfId="0" applyNumberFormat="1" applyFont="1" applyFill="1" applyBorder="1" applyAlignment="1">
      <alignment horizontal="center" vertical="center" wrapText="1"/>
    </xf>
    <xf numFmtId="0" fontId="2" fillId="35" borderId="10" xfId="0" applyFont="1" applyFill="1" applyBorder="1" applyAlignment="1">
      <alignment horizontal="center" vertical="center"/>
    </xf>
    <xf numFmtId="49" fontId="1" fillId="35" borderId="11"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1" fontId="1" fillId="35" borderId="12" xfId="0" applyNumberFormat="1" applyFont="1" applyFill="1" applyBorder="1" applyAlignment="1">
      <alignment vertical="center" wrapText="1"/>
    </xf>
    <xf numFmtId="0" fontId="38" fillId="35" borderId="0" xfId="0" applyFont="1" applyFill="1" applyBorder="1" applyAlignment="1">
      <alignment horizontal="left"/>
    </xf>
    <xf numFmtId="0" fontId="35" fillId="35" borderId="0" xfId="0" applyFont="1" applyFill="1" applyBorder="1" applyAlignment="1">
      <alignment/>
    </xf>
    <xf numFmtId="0" fontId="14" fillId="34" borderId="10" xfId="0" applyFont="1" applyFill="1" applyBorder="1" applyAlignment="1">
      <alignment vertical="center" wrapText="1"/>
    </xf>
    <xf numFmtId="0" fontId="1" fillId="35" borderId="10" xfId="0" applyFont="1" applyFill="1" applyBorder="1" applyAlignment="1">
      <alignment vertical="center" wrapText="1"/>
    </xf>
    <xf numFmtId="49" fontId="102" fillId="0"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101" fillId="0" borderId="10" xfId="0" applyNumberFormat="1" applyFont="1" applyBorder="1" applyAlignment="1">
      <alignment horizontal="center" vertical="center"/>
    </xf>
    <xf numFmtId="49" fontId="101" fillId="0" borderId="10" xfId="0" applyNumberFormat="1" applyFont="1" applyFill="1" applyBorder="1" applyAlignment="1">
      <alignment horizontal="center" vertical="center"/>
    </xf>
    <xf numFmtId="49" fontId="18" fillId="0" borderId="10" xfId="0" applyNumberFormat="1" applyFont="1" applyBorder="1" applyAlignment="1">
      <alignment horizontal="center" vertical="center"/>
    </xf>
    <xf numFmtId="49" fontId="100" fillId="0" borderId="10" xfId="0" applyNumberFormat="1" applyFont="1" applyBorder="1" applyAlignment="1">
      <alignment horizontal="center" vertical="center"/>
    </xf>
    <xf numFmtId="49" fontId="94" fillId="0" borderId="10" xfId="0" applyNumberFormat="1" applyFont="1" applyBorder="1" applyAlignment="1">
      <alignment horizontal="center" vertical="center"/>
    </xf>
    <xf numFmtId="49" fontId="18" fillId="0" borderId="10" xfId="0" applyNumberFormat="1" applyFont="1" applyFill="1" applyBorder="1" applyAlignment="1">
      <alignment horizontal="center" vertical="center"/>
    </xf>
    <xf numFmtId="49" fontId="101" fillId="0" borderId="10" xfId="0" applyNumberFormat="1" applyFont="1" applyFill="1" applyBorder="1" applyAlignment="1">
      <alignment horizontal="center" vertical="center" wrapText="1"/>
    </xf>
    <xf numFmtId="49" fontId="1" fillId="0" borderId="10" xfId="0" applyNumberFormat="1" applyFont="1" applyBorder="1" applyAlignment="1" quotePrefix="1">
      <alignment horizontal="center" vertical="center"/>
    </xf>
    <xf numFmtId="49" fontId="1" fillId="0" borderId="10" xfId="0" applyNumberFormat="1" applyFont="1" applyFill="1" applyBorder="1" applyAlignment="1" quotePrefix="1">
      <alignment horizontal="center" vertical="center"/>
    </xf>
    <xf numFmtId="49" fontId="100" fillId="0" borderId="11" xfId="0" applyNumberFormat="1" applyFont="1" applyBorder="1" applyAlignment="1">
      <alignment horizontal="center" vertical="center"/>
    </xf>
    <xf numFmtId="0" fontId="100" fillId="0" borderId="11" xfId="0" applyFont="1" applyBorder="1" applyAlignment="1">
      <alignment vertical="center" wrapText="1"/>
    </xf>
    <xf numFmtId="1" fontId="103" fillId="35" borderId="0" xfId="0" applyNumberFormat="1" applyFont="1" applyFill="1" applyAlignment="1">
      <alignment horizontal="center" vertical="center" wrapText="1"/>
    </xf>
    <xf numFmtId="0" fontId="100" fillId="35" borderId="0" xfId="0" applyFont="1" applyFill="1" applyAlignment="1">
      <alignment horizontal="center" vertical="center" wrapText="1"/>
    </xf>
    <xf numFmtId="0" fontId="100" fillId="35" borderId="0" xfId="0" applyFont="1" applyFill="1" applyBorder="1" applyAlignment="1">
      <alignment horizontal="center" vertical="center" wrapText="1"/>
    </xf>
    <xf numFmtId="49" fontId="100" fillId="0" borderId="10" xfId="0" applyNumberFormat="1" applyFont="1" applyFill="1" applyBorder="1" applyAlignment="1">
      <alignment horizontal="center" vertical="center"/>
    </xf>
    <xf numFmtId="0" fontId="100" fillId="0" borderId="10" xfId="0" applyFont="1" applyBorder="1" applyAlignment="1">
      <alignment horizontal="left" vertical="center" wrapText="1"/>
    </xf>
    <xf numFmtId="49" fontId="100" fillId="0" borderId="10" xfId="0" applyNumberFormat="1" applyFont="1" applyFill="1" applyBorder="1" applyAlignment="1">
      <alignment vertical="center"/>
    </xf>
    <xf numFmtId="0" fontId="100" fillId="0" borderId="10" xfId="0" applyFont="1" applyFill="1" applyBorder="1" applyAlignment="1">
      <alignment vertical="center" wrapText="1"/>
    </xf>
    <xf numFmtId="0" fontId="100" fillId="0" borderId="10"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49" fontId="100" fillId="0" borderId="11" xfId="0" applyNumberFormat="1" applyFont="1" applyBorder="1" applyAlignment="1">
      <alignment horizontal="center" vertical="center"/>
    </xf>
    <xf numFmtId="49" fontId="1" fillId="35" borderId="10" xfId="0" applyNumberFormat="1" applyFont="1" applyFill="1" applyBorder="1" applyAlignment="1">
      <alignment vertical="center" wrapText="1"/>
    </xf>
    <xf numFmtId="0" fontId="1" fillId="35" borderId="12" xfId="0" applyFont="1" applyFill="1" applyBorder="1" applyAlignment="1">
      <alignment vertical="center" wrapText="1"/>
    </xf>
    <xf numFmtId="0" fontId="1"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0" xfId="0" applyFont="1" applyFill="1" applyBorder="1" applyAlignment="1">
      <alignment vertical="center"/>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01" fillId="0" borderId="10" xfId="0" applyFont="1" applyBorder="1" applyAlignment="1">
      <alignment vertical="center" wrapText="1"/>
    </xf>
    <xf numFmtId="0" fontId="100" fillId="0" borderId="10" xfId="0" applyFont="1" applyBorder="1" applyAlignment="1">
      <alignment vertical="center" wrapText="1"/>
    </xf>
    <xf numFmtId="0" fontId="101" fillId="0" borderId="10" xfId="0" applyFont="1" applyFill="1" applyBorder="1" applyAlignment="1">
      <alignment vertical="center" wrapText="1"/>
    </xf>
    <xf numFmtId="0" fontId="101" fillId="0" borderId="10" xfId="0" applyFont="1" applyBorder="1" applyAlignment="1">
      <alignment horizontal="left" vertical="center" wrapText="1"/>
    </xf>
    <xf numFmtId="0" fontId="101" fillId="0" borderId="10" xfId="0" applyFont="1" applyFill="1" applyBorder="1" applyAlignment="1">
      <alignment horizontal="left" vertical="center" wrapText="1"/>
    </xf>
    <xf numFmtId="0" fontId="100"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94"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0" xfId="0" applyFont="1" applyFill="1" applyBorder="1" applyAlignment="1">
      <alignment horizontal="left"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vertical="center"/>
    </xf>
    <xf numFmtId="1" fontId="26" fillId="35" borderId="10" xfId="0" applyNumberFormat="1" applyFont="1" applyFill="1" applyBorder="1" applyAlignment="1">
      <alignment vertical="center" wrapText="1"/>
    </xf>
    <xf numFmtId="1" fontId="100" fillId="35" borderId="10" xfId="0" applyNumberFormat="1" applyFont="1" applyFill="1" applyBorder="1" applyAlignment="1">
      <alignment vertical="center" wrapText="1"/>
    </xf>
    <xf numFmtId="1" fontId="1" fillId="35" borderId="10" xfId="0" applyNumberFormat="1" applyFont="1" applyFill="1" applyBorder="1" applyAlignment="1">
      <alignment vertical="center"/>
    </xf>
    <xf numFmtId="1" fontId="2" fillId="35" borderId="14" xfId="0" applyNumberFormat="1" applyFont="1" applyFill="1" applyBorder="1" applyAlignment="1">
      <alignment vertical="center" wrapText="1"/>
    </xf>
    <xf numFmtId="0" fontId="26" fillId="35" borderId="10" xfId="0" applyFont="1" applyFill="1" applyBorder="1" applyAlignment="1">
      <alignment vertical="center" wrapText="1"/>
    </xf>
    <xf numFmtId="0" fontId="89" fillId="35" borderId="10" xfId="0" applyFont="1" applyFill="1" applyBorder="1" applyAlignment="1">
      <alignment vertical="center" wrapText="1"/>
    </xf>
    <xf numFmtId="1" fontId="99" fillId="35" borderId="10" xfId="0" applyNumberFormat="1" applyFont="1" applyFill="1" applyBorder="1" applyAlignment="1">
      <alignment vertical="center" wrapText="1"/>
    </xf>
    <xf numFmtId="1" fontId="1" fillId="35" borderId="11" xfId="0" applyNumberFormat="1" applyFont="1" applyFill="1" applyBorder="1" applyAlignment="1">
      <alignment vertical="center" wrapText="1"/>
    </xf>
    <xf numFmtId="0" fontId="94" fillId="35" borderId="10" xfId="0" applyFont="1" applyFill="1" applyBorder="1" applyAlignment="1">
      <alignment vertical="center" wrapText="1"/>
    </xf>
    <xf numFmtId="1" fontId="96" fillId="0" borderId="10" xfId="0" applyNumberFormat="1" applyFont="1" applyBorder="1" applyAlignment="1">
      <alignment/>
    </xf>
    <xf numFmtId="1" fontId="39" fillId="0" borderId="10" xfId="0" applyNumberFormat="1" applyFont="1" applyBorder="1" applyAlignment="1">
      <alignment/>
    </xf>
    <xf numFmtId="1" fontId="8" fillId="0" borderId="10" xfId="0" applyNumberFormat="1" applyFont="1" applyFill="1" applyBorder="1" applyAlignment="1">
      <alignment/>
    </xf>
    <xf numFmtId="49" fontId="1" fillId="35" borderId="10" xfId="0" applyNumberFormat="1" applyFont="1" applyFill="1" applyBorder="1" applyAlignment="1">
      <alignment horizontal="right" vertical="center" wrapText="1"/>
    </xf>
    <xf numFmtId="1" fontId="2" fillId="35" borderId="10" xfId="0" applyNumberFormat="1" applyFont="1" applyFill="1" applyBorder="1" applyAlignment="1">
      <alignment vertical="center"/>
    </xf>
    <xf numFmtId="1" fontId="2" fillId="35" borderId="10" xfId="58" applyNumberFormat="1" applyFont="1" applyFill="1" applyBorder="1" applyAlignment="1">
      <alignment vertical="center" wrapText="1"/>
    </xf>
    <xf numFmtId="1" fontId="1" fillId="35" borderId="10" xfId="58" applyNumberFormat="1" applyFont="1" applyFill="1" applyBorder="1" applyAlignment="1">
      <alignment vertical="center" wrapText="1"/>
    </xf>
    <xf numFmtId="1" fontId="103" fillId="35" borderId="10" xfId="0" applyNumberFormat="1" applyFont="1" applyFill="1" applyBorder="1" applyAlignment="1">
      <alignment vertical="center" wrapText="1"/>
    </xf>
    <xf numFmtId="0" fontId="100" fillId="35" borderId="10" xfId="0" applyFont="1" applyFill="1" applyBorder="1" applyAlignment="1">
      <alignment vertical="center" wrapText="1"/>
    </xf>
    <xf numFmtId="0" fontId="103" fillId="35" borderId="10" xfId="0" applyFont="1" applyFill="1" applyBorder="1" applyAlignment="1">
      <alignment vertical="center" wrapText="1"/>
    </xf>
    <xf numFmtId="1" fontId="103" fillId="35" borderId="11" xfId="0" applyNumberFormat="1" applyFont="1" applyFill="1" applyBorder="1" applyAlignment="1">
      <alignment vertical="center" wrapText="1"/>
    </xf>
    <xf numFmtId="1" fontId="2" fillId="35" borderId="11" xfId="0" applyNumberFormat="1" applyFont="1" applyFill="1" applyBorder="1" applyAlignment="1">
      <alignment vertical="center" wrapText="1"/>
    </xf>
    <xf numFmtId="49" fontId="2" fillId="35" borderId="10" xfId="0" applyNumberFormat="1" applyFont="1" applyFill="1" applyBorder="1" applyAlignment="1">
      <alignment horizontal="center" vertical="center"/>
    </xf>
    <xf numFmtId="0" fontId="97" fillId="35" borderId="10" xfId="0" applyFont="1" applyFill="1" applyBorder="1" applyAlignment="1">
      <alignment horizontal="center" vertical="center" wrapText="1"/>
    </xf>
    <xf numFmtId="0" fontId="100" fillId="0" borderId="10" xfId="0" applyFont="1" applyBorder="1" applyAlignment="1">
      <alignment horizontal="left" vertical="center" wrapText="1" indent="1"/>
    </xf>
    <xf numFmtId="0" fontId="1" fillId="35" borderId="13" xfId="0" applyFont="1" applyFill="1" applyBorder="1" applyAlignment="1">
      <alignment horizontal="center" vertical="center" wrapText="1"/>
    </xf>
    <xf numFmtId="49" fontId="100" fillId="0" borderId="11" xfId="0" applyNumberFormat="1" applyFont="1" applyBorder="1" applyAlignment="1">
      <alignment horizontal="center" vertical="center"/>
    </xf>
    <xf numFmtId="49" fontId="1" fillId="35" borderId="11"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xf>
    <xf numFmtId="49" fontId="100" fillId="0" borderId="11"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35" borderId="11" xfId="0" applyFont="1" applyFill="1" applyBorder="1" applyAlignment="1">
      <alignment horizontal="center" vertical="center" wrapText="1"/>
    </xf>
    <xf numFmtId="0" fontId="1" fillId="0" borderId="11" xfId="0" applyFont="1" applyBorder="1" applyAlignment="1">
      <alignment horizontal="left" vertical="center" wrapText="1" indent="1"/>
    </xf>
    <xf numFmtId="0" fontId="1" fillId="35" borderId="10" xfId="0" applyFont="1" applyFill="1" applyBorder="1" applyAlignment="1">
      <alignment horizontal="center" vertical="center" wrapText="1"/>
    </xf>
    <xf numFmtId="49" fontId="1" fillId="0" borderId="17" xfId="0" applyNumberFormat="1" applyFont="1" applyBorder="1" applyAlignment="1">
      <alignment vertical="center"/>
    </xf>
    <xf numFmtId="49" fontId="1" fillId="0" borderId="12" xfId="0" applyNumberFormat="1" applyFont="1" applyBorder="1" applyAlignment="1">
      <alignment vertical="center"/>
    </xf>
    <xf numFmtId="0" fontId="1" fillId="0" borderId="12" xfId="0" applyFont="1" applyBorder="1" applyAlignment="1">
      <alignment vertical="center" wrapText="1"/>
    </xf>
    <xf numFmtId="0" fontId="26" fillId="35" borderId="12" xfId="0" applyFont="1" applyFill="1" applyBorder="1" applyAlignment="1">
      <alignment horizontal="center" vertical="center" wrapText="1"/>
    </xf>
    <xf numFmtId="0" fontId="26" fillId="35" borderId="12" xfId="0" applyFont="1" applyFill="1" applyBorder="1" applyAlignment="1">
      <alignment vertical="center" wrapText="1"/>
    </xf>
    <xf numFmtId="49" fontId="1" fillId="0" borderId="10" xfId="0" applyNumberFormat="1" applyFont="1" applyBorder="1" applyAlignment="1">
      <alignment vertical="center"/>
    </xf>
    <xf numFmtId="49" fontId="1" fillId="35" borderId="12" xfId="0" applyNumberFormat="1" applyFont="1" applyFill="1" applyBorder="1" applyAlignment="1">
      <alignment vertical="center" wrapText="1"/>
    </xf>
    <xf numFmtId="49" fontId="1" fillId="0" borderId="11" xfId="0" applyNumberFormat="1" applyFont="1" applyBorder="1" applyAlignment="1">
      <alignment vertical="center"/>
    </xf>
    <xf numFmtId="0" fontId="1" fillId="0" borderId="10" xfId="0" applyFont="1" applyBorder="1" applyAlignment="1">
      <alignment horizontal="left" vertical="center" wrapText="1" indent="1"/>
    </xf>
    <xf numFmtId="0" fontId="1" fillId="0" borderId="11" xfId="0" applyFont="1" applyFill="1" applyBorder="1" applyAlignment="1">
      <alignment horizontal="left" vertical="center" wrapText="1" indent="1"/>
    </xf>
    <xf numFmtId="0" fontId="1" fillId="0" borderId="10" xfId="0" applyFont="1" applyFill="1" applyBorder="1" applyAlignment="1">
      <alignment horizontal="left" vertical="center" wrapText="1" indent="1"/>
    </xf>
    <xf numFmtId="0" fontId="100" fillId="35" borderId="10" xfId="0" applyFont="1" applyFill="1" applyBorder="1" applyAlignment="1">
      <alignment horizontal="left" vertical="center" wrapText="1"/>
    </xf>
    <xf numFmtId="0" fontId="1" fillId="0" borderId="10" xfId="0" applyFont="1" applyBorder="1" applyAlignment="1">
      <alignment vertical="top" wrapText="1"/>
    </xf>
    <xf numFmtId="49" fontId="1" fillId="35" borderId="10" xfId="0" applyNumberFormat="1" applyFont="1" applyFill="1" applyBorder="1" applyAlignment="1">
      <alignment horizontal="center" vertical="center" wrapText="1"/>
    </xf>
    <xf numFmtId="49" fontId="100" fillId="0" borderId="11" xfId="0" applyNumberFormat="1" applyFont="1" applyBorder="1" applyAlignment="1">
      <alignment horizontal="center" vertical="center"/>
    </xf>
    <xf numFmtId="49" fontId="1" fillId="35" borderId="11" xfId="0" applyNumberFormat="1" applyFont="1" applyFill="1" applyBorder="1" applyAlignment="1">
      <alignment horizontal="center" vertical="center" wrapText="1"/>
    </xf>
    <xf numFmtId="0" fontId="38" fillId="35" borderId="18" xfId="0" applyFont="1" applyFill="1" applyBorder="1" applyAlignment="1">
      <alignment horizontal="center" vertical="center"/>
    </xf>
    <xf numFmtId="0" fontId="38" fillId="35" borderId="18" xfId="0" applyFont="1" applyFill="1" applyBorder="1" applyAlignment="1">
      <alignment horizontal="left" vertical="center"/>
    </xf>
    <xf numFmtId="0" fontId="38" fillId="35" borderId="18" xfId="0" applyFont="1" applyFill="1" applyBorder="1" applyAlignment="1">
      <alignment horizontal="left"/>
    </xf>
    <xf numFmtId="0" fontId="38" fillId="35" borderId="19" xfId="0" applyFont="1" applyFill="1" applyBorder="1" applyAlignment="1">
      <alignment horizontal="left"/>
    </xf>
    <xf numFmtId="0" fontId="1" fillId="35" borderId="12" xfId="0" applyFont="1" applyFill="1" applyBorder="1" applyAlignment="1">
      <alignment wrapText="1"/>
    </xf>
    <xf numFmtId="0" fontId="2" fillId="35" borderId="0" xfId="0" applyFont="1" applyFill="1" applyBorder="1" applyAlignment="1">
      <alignment wrapText="1"/>
    </xf>
    <xf numFmtId="1" fontId="32" fillId="35" borderId="0" xfId="0" applyNumberFormat="1" applyFont="1" applyFill="1" applyBorder="1" applyAlignment="1">
      <alignment wrapText="1"/>
    </xf>
    <xf numFmtId="1" fontId="32" fillId="35" borderId="0" xfId="0" applyNumberFormat="1" applyFont="1" applyFill="1" applyBorder="1" applyAlignment="1">
      <alignment vertical="center" wrapText="1"/>
    </xf>
    <xf numFmtId="1" fontId="37" fillId="35" borderId="0" xfId="0" applyNumberFormat="1" applyFont="1" applyFill="1" applyBorder="1" applyAlignment="1">
      <alignment wrapText="1"/>
    </xf>
    <xf numFmtId="1" fontId="1" fillId="35" borderId="0" xfId="0" applyNumberFormat="1" applyFont="1" applyFill="1" applyBorder="1" applyAlignment="1">
      <alignment wrapText="1"/>
    </xf>
    <xf numFmtId="0" fontId="104" fillId="35" borderId="0" xfId="0" applyFont="1" applyFill="1" applyBorder="1" applyAlignment="1">
      <alignment horizontal="center" vertical="center" wrapText="1"/>
    </xf>
    <xf numFmtId="1" fontId="104" fillId="35" borderId="0" xfId="0" applyNumberFormat="1" applyFont="1" applyFill="1" applyBorder="1" applyAlignment="1">
      <alignment vertical="center" wrapText="1"/>
    </xf>
    <xf numFmtId="0" fontId="104" fillId="35" borderId="0" xfId="0" applyFont="1" applyFill="1" applyBorder="1" applyAlignment="1">
      <alignment wrapText="1"/>
    </xf>
    <xf numFmtId="0" fontId="100" fillId="36" borderId="0" xfId="0" applyFont="1" applyFill="1" applyBorder="1" applyAlignment="1">
      <alignment horizontal="center" vertical="center" wrapText="1"/>
    </xf>
    <xf numFmtId="0" fontId="26" fillId="35" borderId="0" xfId="0" applyFont="1" applyFill="1" applyBorder="1" applyAlignment="1">
      <alignment horizontal="center" vertical="center" wrapText="1"/>
    </xf>
    <xf numFmtId="0" fontId="29" fillId="35" borderId="0" xfId="0" applyFont="1" applyFill="1" applyBorder="1" applyAlignment="1">
      <alignment horizontal="center" vertical="center" wrapText="1"/>
    </xf>
    <xf numFmtId="1" fontId="29" fillId="35" borderId="0" xfId="0" applyNumberFormat="1" applyFont="1" applyFill="1" applyBorder="1" applyAlignment="1">
      <alignment vertical="center" wrapText="1"/>
    </xf>
    <xf numFmtId="1" fontId="29" fillId="35" borderId="0" xfId="0" applyNumberFormat="1" applyFont="1" applyFill="1" applyBorder="1" applyAlignment="1">
      <alignment wrapText="1"/>
    </xf>
    <xf numFmtId="0" fontId="31" fillId="35" borderId="0" xfId="0" applyFont="1" applyFill="1" applyBorder="1" applyAlignment="1">
      <alignment wrapText="1"/>
    </xf>
    <xf numFmtId="0" fontId="1" fillId="37" borderId="0" xfId="0" applyFont="1" applyFill="1" applyBorder="1" applyAlignment="1">
      <alignment horizontal="center" vertical="center" wrapText="1"/>
    </xf>
    <xf numFmtId="0" fontId="30" fillId="35" borderId="0" xfId="0" applyFont="1" applyFill="1" applyBorder="1" applyAlignment="1">
      <alignment horizontal="center" vertical="center" wrapText="1"/>
    </xf>
    <xf numFmtId="0" fontId="30" fillId="35" borderId="0" xfId="0" applyFont="1" applyFill="1" applyBorder="1" applyAlignment="1">
      <alignment vertical="center" wrapText="1"/>
    </xf>
    <xf numFmtId="1" fontId="30" fillId="35" borderId="0" xfId="0" applyNumberFormat="1" applyFont="1" applyFill="1" applyBorder="1" applyAlignment="1">
      <alignment wrapText="1"/>
    </xf>
    <xf numFmtId="1" fontId="105" fillId="35" borderId="0" xfId="0" applyNumberFormat="1" applyFont="1" applyFill="1" applyBorder="1" applyAlignment="1">
      <alignment wrapText="1"/>
    </xf>
    <xf numFmtId="0" fontId="17" fillId="35" borderId="0" xfId="0" applyFont="1" applyFill="1" applyBorder="1" applyAlignment="1">
      <alignment horizontal="center" vertical="center" wrapText="1"/>
    </xf>
    <xf numFmtId="0" fontId="17" fillId="35" borderId="0" xfId="0" applyFont="1" applyFill="1" applyBorder="1" applyAlignment="1">
      <alignment horizontal="left" wrapText="1"/>
    </xf>
    <xf numFmtId="1" fontId="106" fillId="35" borderId="0" xfId="0" applyNumberFormat="1" applyFont="1" applyFill="1" applyBorder="1" applyAlignment="1">
      <alignment wrapText="1"/>
    </xf>
    <xf numFmtId="1" fontId="15" fillId="35" borderId="0" xfId="0" applyNumberFormat="1" applyFont="1" applyFill="1" applyBorder="1" applyAlignment="1">
      <alignment wrapText="1"/>
    </xf>
    <xf numFmtId="0" fontId="0" fillId="0" borderId="0" xfId="0" applyBorder="1" applyAlignment="1">
      <alignment vertical="center" wrapText="1"/>
    </xf>
    <xf numFmtId="0" fontId="8" fillId="0" borderId="0" xfId="0" applyFont="1" applyFill="1" applyBorder="1" applyAlignment="1">
      <alignment vertical="center" wrapText="1"/>
    </xf>
    <xf numFmtId="1" fontId="2" fillId="35" borderId="0" xfId="0" applyNumberFormat="1" applyFont="1" applyFill="1" applyBorder="1" applyAlignment="1">
      <alignment wrapText="1"/>
    </xf>
    <xf numFmtId="0" fontId="41" fillId="0" borderId="0" xfId="0" applyFont="1" applyBorder="1" applyAlignment="1">
      <alignment vertical="center" wrapText="1"/>
    </xf>
    <xf numFmtId="0" fontId="41" fillId="0" borderId="0" xfId="0" applyFont="1" applyFill="1" applyBorder="1" applyAlignment="1">
      <alignment vertical="center" wrapText="1"/>
    </xf>
    <xf numFmtId="0" fontId="15" fillId="35" borderId="0" xfId="0" applyFont="1" applyFill="1" applyBorder="1" applyAlignment="1">
      <alignment wrapText="1"/>
    </xf>
    <xf numFmtId="1" fontId="15" fillId="36" borderId="0" xfId="0" applyNumberFormat="1" applyFont="1" applyFill="1" applyBorder="1" applyAlignment="1">
      <alignment wrapText="1"/>
    </xf>
    <xf numFmtId="0" fontId="17" fillId="35" borderId="0" xfId="0" applyFont="1" applyFill="1" applyBorder="1" applyAlignment="1">
      <alignment vertical="center" wrapText="1"/>
    </xf>
    <xf numFmtId="0" fontId="36" fillId="35" borderId="0" xfId="0" applyFont="1" applyFill="1" applyBorder="1" applyAlignment="1">
      <alignment wrapText="1"/>
    </xf>
    <xf numFmtId="3" fontId="30" fillId="35" borderId="0" xfId="0" applyNumberFormat="1" applyFont="1" applyFill="1" applyBorder="1" applyAlignment="1">
      <alignment wrapText="1"/>
    </xf>
    <xf numFmtId="3" fontId="107" fillId="35" borderId="0" xfId="0" applyNumberFormat="1" applyFont="1" applyFill="1" applyBorder="1" applyAlignment="1">
      <alignment wrapText="1"/>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0" fillId="35" borderId="0" xfId="0" applyFont="1" applyFill="1" applyBorder="1" applyAlignment="1">
      <alignment horizontal="center" vertical="center" wrapText="1"/>
    </xf>
    <xf numFmtId="49" fontId="100" fillId="0" borderId="11" xfId="0" applyNumberFormat="1" applyFont="1" applyBorder="1" applyAlignment="1">
      <alignment horizontal="center" vertical="center"/>
    </xf>
    <xf numFmtId="49" fontId="100" fillId="0" borderId="12"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0" fontId="19" fillId="35" borderId="0" xfId="0" applyFont="1" applyFill="1" applyBorder="1" applyAlignment="1">
      <alignment horizont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xf>
    <xf numFmtId="49" fontId="1" fillId="0" borderId="10" xfId="0" applyNumberFormat="1" applyFont="1" applyBorder="1" applyAlignment="1">
      <alignment horizontal="center" vertical="center"/>
    </xf>
    <xf numFmtId="49" fontId="1" fillId="35" borderId="17"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9" fillId="0" borderId="0" xfId="0" applyFont="1" applyAlignment="1">
      <alignment horizont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71" fillId="35"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K668"/>
  <sheetViews>
    <sheetView showZeros="0" tabSelected="1" view="pageBreakPreview" zoomScale="75" zoomScaleSheetLayoutView="75" zoomScalePageLayoutView="0" workbookViewId="0" topLeftCell="A25">
      <pane ySplit="10455" topLeftCell="A575" activePane="topLeft" state="split"/>
      <selection pane="topLeft" activeCell="F18" sqref="F18"/>
      <selection pane="bottomLeft" activeCell="E577" sqref="E577"/>
    </sheetView>
  </sheetViews>
  <sheetFormatPr defaultColWidth="9.140625" defaultRowHeight="12.75"/>
  <cols>
    <col min="1" max="2" width="10.8515625" style="94" customWidth="1"/>
    <col min="3" max="3" width="13.57421875" style="94" hidden="1" customWidth="1"/>
    <col min="4" max="4" width="12.57421875" style="94" customWidth="1"/>
    <col min="5" max="5" width="51.421875" style="116" customWidth="1"/>
    <col min="6" max="6" width="67.140625" style="85" customWidth="1"/>
    <col min="7" max="7" width="20.421875" style="85" customWidth="1"/>
    <col min="8" max="8" width="23.421875" style="85" customWidth="1"/>
    <col min="9" max="9" width="23.57421875" style="84" customWidth="1"/>
    <col min="10" max="10" width="18.421875" style="135" customWidth="1"/>
    <col min="11" max="11" width="14.421875" style="97" customWidth="1"/>
    <col min="12" max="12" width="12.140625" style="85" customWidth="1"/>
    <col min="13" max="13" width="13.57421875" style="85" customWidth="1"/>
    <col min="14" max="14" width="11.57421875" style="98" customWidth="1"/>
    <col min="15" max="15" width="12.57421875" style="85" customWidth="1"/>
    <col min="16" max="16384" width="9.140625" style="85" customWidth="1"/>
  </cols>
  <sheetData>
    <row r="1" spans="1:10" ht="41.25" customHeight="1">
      <c r="A1" s="143"/>
      <c r="B1" s="143"/>
      <c r="C1" s="143"/>
      <c r="D1" s="143"/>
      <c r="E1" s="117"/>
      <c r="F1" s="98"/>
      <c r="G1" s="266" t="s">
        <v>124</v>
      </c>
      <c r="H1" s="267"/>
      <c r="I1" s="267"/>
      <c r="J1" s="132"/>
    </row>
    <row r="2" spans="1:10" ht="30" customHeight="1">
      <c r="A2" s="143"/>
      <c r="B2" s="143"/>
      <c r="C2" s="143"/>
      <c r="D2" s="143"/>
      <c r="E2" s="117"/>
      <c r="F2" s="98"/>
      <c r="G2" s="266" t="s">
        <v>123</v>
      </c>
      <c r="H2" s="267"/>
      <c r="I2" s="267"/>
      <c r="J2" s="133"/>
    </row>
    <row r="3" spans="1:10" ht="28.5" customHeight="1">
      <c r="A3" s="143"/>
      <c r="B3" s="143"/>
      <c r="C3" s="143"/>
      <c r="D3" s="143"/>
      <c r="E3" s="117"/>
      <c r="F3" s="98"/>
      <c r="G3" s="450" t="s">
        <v>1209</v>
      </c>
      <c r="H3" s="267"/>
      <c r="I3" s="267"/>
      <c r="J3" s="133"/>
    </row>
    <row r="4" spans="1:10" ht="27" customHeight="1">
      <c r="A4" s="143"/>
      <c r="B4" s="143"/>
      <c r="C4" s="143"/>
      <c r="D4" s="143"/>
      <c r="E4" s="117"/>
      <c r="F4" s="143"/>
      <c r="G4" s="98"/>
      <c r="H4" s="98"/>
      <c r="I4" s="267"/>
      <c r="J4" s="133"/>
    </row>
    <row r="5" spans="1:9" ht="9.75" customHeight="1">
      <c r="A5" s="143"/>
      <c r="B5" s="143"/>
      <c r="C5" s="143"/>
      <c r="D5" s="143"/>
      <c r="E5" s="117"/>
      <c r="F5" s="98"/>
      <c r="G5" s="98"/>
      <c r="H5" s="98"/>
      <c r="I5" s="98"/>
    </row>
    <row r="6" spans="1:14" s="100" customFormat="1" ht="51.75" customHeight="1">
      <c r="A6" s="430" t="s">
        <v>534</v>
      </c>
      <c r="B6" s="430"/>
      <c r="C6" s="430"/>
      <c r="D6" s="430"/>
      <c r="E6" s="430"/>
      <c r="F6" s="430"/>
      <c r="G6" s="430"/>
      <c r="H6" s="430"/>
      <c r="I6" s="430"/>
      <c r="J6" s="134"/>
      <c r="K6" s="99"/>
      <c r="N6" s="101"/>
    </row>
    <row r="7" spans="1:9" ht="15" customHeight="1">
      <c r="A7" s="143"/>
      <c r="B7" s="143"/>
      <c r="C7" s="143"/>
      <c r="D7" s="143"/>
      <c r="E7" s="117"/>
      <c r="F7" s="98"/>
      <c r="G7" s="98"/>
      <c r="H7" s="98"/>
      <c r="I7" s="98"/>
    </row>
    <row r="8" spans="1:9" ht="16.5" customHeight="1">
      <c r="A8" s="143"/>
      <c r="B8" s="143"/>
      <c r="C8" s="143"/>
      <c r="D8" s="143"/>
      <c r="E8" s="117"/>
      <c r="F8" s="98"/>
      <c r="G8" s="98"/>
      <c r="H8" s="98"/>
      <c r="I8" s="138" t="s">
        <v>504</v>
      </c>
    </row>
    <row r="9" spans="1:14" s="94" customFormat="1" ht="90">
      <c r="A9" s="102" t="s">
        <v>118</v>
      </c>
      <c r="B9" s="102" t="s">
        <v>1013</v>
      </c>
      <c r="C9" s="102" t="s">
        <v>119</v>
      </c>
      <c r="D9" s="102" t="s">
        <v>120</v>
      </c>
      <c r="E9" s="268" t="s">
        <v>1012</v>
      </c>
      <c r="F9" s="214" t="s">
        <v>121</v>
      </c>
      <c r="G9" s="269" t="s">
        <v>59</v>
      </c>
      <c r="H9" s="269" t="s">
        <v>62</v>
      </c>
      <c r="I9" s="214" t="s">
        <v>122</v>
      </c>
      <c r="J9" s="131"/>
      <c r="N9" s="143"/>
    </row>
    <row r="10" spans="1:14" s="94" customFormat="1" ht="16.5" customHeight="1">
      <c r="A10" s="294">
        <v>1</v>
      </c>
      <c r="B10" s="294">
        <v>2</v>
      </c>
      <c r="C10" s="214">
        <v>3</v>
      </c>
      <c r="D10" s="294">
        <v>3</v>
      </c>
      <c r="E10" s="294">
        <v>4</v>
      </c>
      <c r="F10" s="214">
        <v>5</v>
      </c>
      <c r="G10" s="262">
        <v>6</v>
      </c>
      <c r="H10" s="262">
        <v>7</v>
      </c>
      <c r="I10" s="214">
        <v>8</v>
      </c>
      <c r="J10" s="131"/>
      <c r="K10" s="96"/>
      <c r="N10" s="143"/>
    </row>
    <row r="11" spans="1:14" s="94" customFormat="1" ht="15.75" customHeight="1">
      <c r="A11" s="86"/>
      <c r="B11" s="86" t="s">
        <v>132</v>
      </c>
      <c r="C11" s="86" t="s">
        <v>132</v>
      </c>
      <c r="D11" s="86"/>
      <c r="E11" s="89" t="s">
        <v>508</v>
      </c>
      <c r="F11" s="150"/>
      <c r="G11" s="80">
        <f>G12</f>
        <v>26247913</v>
      </c>
      <c r="H11" s="80">
        <f>H12</f>
        <v>41946360</v>
      </c>
      <c r="I11" s="80">
        <f>I12</f>
        <v>68194273</v>
      </c>
      <c r="J11" s="129"/>
      <c r="K11" s="103"/>
      <c r="N11" s="143"/>
    </row>
    <row r="12" spans="1:14" s="94" customFormat="1" ht="15.75" customHeight="1">
      <c r="A12" s="194" t="s">
        <v>535</v>
      </c>
      <c r="B12" s="194"/>
      <c r="C12" s="270"/>
      <c r="D12" s="270"/>
      <c r="E12" s="195" t="s">
        <v>508</v>
      </c>
      <c r="F12" s="182"/>
      <c r="G12" s="80">
        <f>G13+G16+G20+G23+G25+G36</f>
        <v>26247913</v>
      </c>
      <c r="H12" s="80">
        <f>H13+H16+H20+H23+H25+H36</f>
        <v>41946360</v>
      </c>
      <c r="I12" s="80">
        <f>G12+H12</f>
        <v>68194273</v>
      </c>
      <c r="J12" s="129"/>
      <c r="K12" s="103"/>
      <c r="N12" s="143"/>
    </row>
    <row r="13" spans="1:14" s="94" customFormat="1" ht="15.75" customHeight="1">
      <c r="A13" s="190" t="s">
        <v>536</v>
      </c>
      <c r="B13" s="190" t="s">
        <v>1015</v>
      </c>
      <c r="C13" s="190" t="s">
        <v>537</v>
      </c>
      <c r="D13" s="190"/>
      <c r="E13" s="191" t="s">
        <v>538</v>
      </c>
      <c r="F13" s="192"/>
      <c r="G13" s="80">
        <f>G14</f>
        <v>0</v>
      </c>
      <c r="H13" s="80">
        <f>H14</f>
        <v>16095308</v>
      </c>
      <c r="I13" s="80">
        <f>I14</f>
        <v>16095308</v>
      </c>
      <c r="J13" s="129"/>
      <c r="K13" s="103"/>
      <c r="N13" s="143"/>
    </row>
    <row r="14" spans="1:14" s="94" customFormat="1" ht="44.25" customHeight="1">
      <c r="A14" s="377" t="s">
        <v>1205</v>
      </c>
      <c r="B14" s="377" t="s">
        <v>466</v>
      </c>
      <c r="C14" s="261" t="s">
        <v>164</v>
      </c>
      <c r="D14" s="291" t="s">
        <v>431</v>
      </c>
      <c r="E14" s="361" t="s">
        <v>1206</v>
      </c>
      <c r="F14" s="345" t="s">
        <v>1158</v>
      </c>
      <c r="G14" s="75"/>
      <c r="H14" s="75">
        <f>10500000-124445+5719753</f>
        <v>16095308</v>
      </c>
      <c r="I14" s="75">
        <f>G14+H14</f>
        <v>16095308</v>
      </c>
      <c r="J14" s="129"/>
      <c r="K14" s="103"/>
      <c r="N14" s="143"/>
    </row>
    <row r="15" spans="1:14" s="94" customFormat="1" ht="48" customHeight="1" hidden="1">
      <c r="A15" s="291"/>
      <c r="B15" s="291" t="s">
        <v>1014</v>
      </c>
      <c r="C15" s="261" t="s">
        <v>164</v>
      </c>
      <c r="D15" s="291" t="s">
        <v>431</v>
      </c>
      <c r="E15" s="189" t="s">
        <v>1135</v>
      </c>
      <c r="F15" s="347" t="s">
        <v>1161</v>
      </c>
      <c r="G15" s="80"/>
      <c r="H15" s="80"/>
      <c r="I15" s="80"/>
      <c r="J15" s="129"/>
      <c r="K15" s="103"/>
      <c r="N15" s="143"/>
    </row>
    <row r="16" spans="1:14" s="94" customFormat="1" ht="15.75" customHeight="1">
      <c r="A16" s="190" t="s">
        <v>539</v>
      </c>
      <c r="B16" s="190" t="s">
        <v>1016</v>
      </c>
      <c r="C16" s="190" t="s">
        <v>540</v>
      </c>
      <c r="D16" s="190"/>
      <c r="E16" s="191" t="s">
        <v>541</v>
      </c>
      <c r="F16" s="182"/>
      <c r="G16" s="80">
        <f>G17</f>
        <v>8726760</v>
      </c>
      <c r="H16" s="80">
        <f>H17</f>
        <v>5814455</v>
      </c>
      <c r="I16" s="80">
        <f>I17</f>
        <v>14541215</v>
      </c>
      <c r="J16" s="129"/>
      <c r="K16" s="103"/>
      <c r="N16" s="143"/>
    </row>
    <row r="17" spans="1:14" s="94" customFormat="1" ht="15.75" customHeight="1">
      <c r="A17" s="291" t="s">
        <v>531</v>
      </c>
      <c r="B17" s="291" t="s">
        <v>1017</v>
      </c>
      <c r="C17" s="261"/>
      <c r="D17" s="291"/>
      <c r="E17" s="193" t="s">
        <v>542</v>
      </c>
      <c r="F17" s="182"/>
      <c r="G17" s="75">
        <f>G18+G19</f>
        <v>8726760</v>
      </c>
      <c r="H17" s="75">
        <f>H18+H19</f>
        <v>5814455</v>
      </c>
      <c r="I17" s="75">
        <f aca="true" t="shared" si="0" ref="I17:I22">G17+H17</f>
        <v>14541215</v>
      </c>
      <c r="J17" s="129"/>
      <c r="K17" s="103"/>
      <c r="N17" s="143"/>
    </row>
    <row r="18" spans="1:15" s="94" customFormat="1" ht="66" customHeight="1">
      <c r="A18" s="291" t="s">
        <v>532</v>
      </c>
      <c r="B18" s="291" t="s">
        <v>1018</v>
      </c>
      <c r="C18" s="261" t="s">
        <v>30</v>
      </c>
      <c r="D18" s="291" t="s">
        <v>432</v>
      </c>
      <c r="E18" s="214" t="s">
        <v>543</v>
      </c>
      <c r="F18" s="347" t="s">
        <v>521</v>
      </c>
      <c r="G18" s="75">
        <v>7826760</v>
      </c>
      <c r="H18" s="75">
        <f>3437510+2376945</f>
        <v>5814455</v>
      </c>
      <c r="I18" s="75">
        <f t="shared" si="0"/>
        <v>13641215</v>
      </c>
      <c r="J18" s="219"/>
      <c r="K18" s="103"/>
      <c r="N18" s="104"/>
      <c r="O18" s="105"/>
    </row>
    <row r="19" spans="1:14" s="94" customFormat="1" ht="54" customHeight="1">
      <c r="A19" s="291" t="s">
        <v>544</v>
      </c>
      <c r="B19" s="291" t="s">
        <v>1019</v>
      </c>
      <c r="C19" s="261">
        <v>120201</v>
      </c>
      <c r="D19" s="341" t="s">
        <v>432</v>
      </c>
      <c r="E19" s="347" t="s">
        <v>545</v>
      </c>
      <c r="F19" s="174" t="s">
        <v>526</v>
      </c>
      <c r="G19" s="75">
        <v>900000</v>
      </c>
      <c r="H19" s="75"/>
      <c r="I19" s="75">
        <f t="shared" si="0"/>
        <v>900000</v>
      </c>
      <c r="J19" s="219"/>
      <c r="K19" s="96"/>
      <c r="N19" s="143"/>
    </row>
    <row r="20" spans="1:14" s="94" customFormat="1" ht="15.75" customHeight="1" hidden="1">
      <c r="A20" s="190" t="s">
        <v>549</v>
      </c>
      <c r="B20" s="190" t="s">
        <v>1020</v>
      </c>
      <c r="C20" s="190" t="s">
        <v>550</v>
      </c>
      <c r="D20" s="190"/>
      <c r="E20" s="191" t="s">
        <v>551</v>
      </c>
      <c r="F20" s="182"/>
      <c r="G20" s="75">
        <f>G21+G22</f>
        <v>0</v>
      </c>
      <c r="H20" s="75">
        <f>H21+H22</f>
        <v>0</v>
      </c>
      <c r="I20" s="75">
        <f t="shared" si="0"/>
        <v>0</v>
      </c>
      <c r="J20" s="219"/>
      <c r="K20" s="96"/>
      <c r="N20" s="143"/>
    </row>
    <row r="21" spans="1:14" s="94" customFormat="1" ht="31.5" customHeight="1" hidden="1">
      <c r="A21" s="240" t="s">
        <v>552</v>
      </c>
      <c r="B21" s="240" t="s">
        <v>1021</v>
      </c>
      <c r="C21" s="271" t="s">
        <v>83</v>
      </c>
      <c r="D21" s="197" t="s">
        <v>433</v>
      </c>
      <c r="E21" s="189" t="s">
        <v>553</v>
      </c>
      <c r="F21" s="182"/>
      <c r="G21" s="75"/>
      <c r="H21" s="75"/>
      <c r="I21" s="75">
        <f t="shared" si="0"/>
        <v>0</v>
      </c>
      <c r="J21" s="219"/>
      <c r="K21" s="96"/>
      <c r="N21" s="143"/>
    </row>
    <row r="22" spans="1:14" s="94" customFormat="1" ht="157.5" customHeight="1" hidden="1">
      <c r="A22" s="240" t="s">
        <v>554</v>
      </c>
      <c r="B22" s="240" t="s">
        <v>1022</v>
      </c>
      <c r="C22" s="197" t="s">
        <v>210</v>
      </c>
      <c r="D22" s="197" t="s">
        <v>443</v>
      </c>
      <c r="E22" s="189" t="s">
        <v>211</v>
      </c>
      <c r="F22" s="182"/>
      <c r="G22" s="75"/>
      <c r="H22" s="75"/>
      <c r="I22" s="75">
        <f t="shared" si="0"/>
        <v>0</v>
      </c>
      <c r="J22" s="219"/>
      <c r="K22" s="96"/>
      <c r="N22" s="143"/>
    </row>
    <row r="23" spans="1:14" s="94" customFormat="1" ht="15.75" customHeight="1" hidden="1">
      <c r="A23" s="190" t="s">
        <v>546</v>
      </c>
      <c r="B23" s="190" t="s">
        <v>1023</v>
      </c>
      <c r="C23" s="190" t="s">
        <v>547</v>
      </c>
      <c r="D23" s="190"/>
      <c r="E23" s="191" t="s">
        <v>548</v>
      </c>
      <c r="F23" s="182"/>
      <c r="G23" s="75">
        <f>G24</f>
        <v>0</v>
      </c>
      <c r="H23" s="75">
        <f>H24</f>
        <v>0</v>
      </c>
      <c r="I23" s="75">
        <f>I24</f>
        <v>0</v>
      </c>
      <c r="J23" s="219"/>
      <c r="K23" s="96"/>
      <c r="N23" s="143"/>
    </row>
    <row r="24" spans="1:14" s="94" customFormat="1" ht="63.75" customHeight="1" hidden="1">
      <c r="A24" s="181" t="s">
        <v>533</v>
      </c>
      <c r="B24" s="181" t="s">
        <v>1024</v>
      </c>
      <c r="C24" s="181" t="s">
        <v>97</v>
      </c>
      <c r="D24" s="181" t="s">
        <v>433</v>
      </c>
      <c r="E24" s="189" t="s">
        <v>789</v>
      </c>
      <c r="F24" s="173" t="s">
        <v>525</v>
      </c>
      <c r="G24" s="75"/>
      <c r="H24" s="75"/>
      <c r="I24" s="75">
        <f>G24+H24</f>
        <v>0</v>
      </c>
      <c r="J24" s="219"/>
      <c r="K24" s="103"/>
      <c r="N24" s="143"/>
    </row>
    <row r="25" spans="1:14" s="94" customFormat="1" ht="15.75" customHeight="1">
      <c r="A25" s="190" t="s">
        <v>561</v>
      </c>
      <c r="B25" s="190" t="s">
        <v>1025</v>
      </c>
      <c r="C25" s="190" t="s">
        <v>562</v>
      </c>
      <c r="D25" s="190"/>
      <c r="E25" s="191" t="s">
        <v>563</v>
      </c>
      <c r="F25" s="180"/>
      <c r="G25" s="80">
        <f>G26</f>
        <v>17521153</v>
      </c>
      <c r="H25" s="80">
        <f>H26</f>
        <v>19648766</v>
      </c>
      <c r="I25" s="80">
        <f>I26</f>
        <v>37169919</v>
      </c>
      <c r="J25" s="219"/>
      <c r="K25" s="103"/>
      <c r="N25" s="143"/>
    </row>
    <row r="26" spans="1:14" s="94" customFormat="1" ht="15.75" customHeight="1" hidden="1">
      <c r="A26" s="181" t="s">
        <v>564</v>
      </c>
      <c r="B26" s="181" t="s">
        <v>1026</v>
      </c>
      <c r="C26" s="181" t="s">
        <v>76</v>
      </c>
      <c r="D26" s="197"/>
      <c r="E26" s="347"/>
      <c r="F26" s="180"/>
      <c r="G26" s="75">
        <f>G27+G28+G29+G30+G32+G34+G31+G33+G35</f>
        <v>17521153</v>
      </c>
      <c r="H26" s="75">
        <f>H27+H28+H29+H30+H32+H34+H31+H33+H35</f>
        <v>19648766</v>
      </c>
      <c r="I26" s="75">
        <f>I27+I28+I29+I30+I32+I34+I31+I33+I35</f>
        <v>37169919</v>
      </c>
      <c r="J26" s="219"/>
      <c r="K26" s="103"/>
      <c r="N26" s="143"/>
    </row>
    <row r="27" spans="1:14" s="94" customFormat="1" ht="63">
      <c r="A27" s="130" t="s">
        <v>564</v>
      </c>
      <c r="B27" s="341" t="s">
        <v>1026</v>
      </c>
      <c r="C27" s="344" t="s">
        <v>76</v>
      </c>
      <c r="D27" s="341" t="s">
        <v>434</v>
      </c>
      <c r="E27" s="144" t="s">
        <v>91</v>
      </c>
      <c r="F27" s="347" t="s">
        <v>1160</v>
      </c>
      <c r="G27" s="75">
        <f>5271980+181717-37</f>
        <v>5453660</v>
      </c>
      <c r="H27" s="75"/>
      <c r="I27" s="75">
        <f aca="true" t="shared" si="1" ref="I27:I35">G27+H27</f>
        <v>5453660</v>
      </c>
      <c r="J27" s="219"/>
      <c r="K27" s="103"/>
      <c r="N27" s="143"/>
    </row>
    <row r="28" spans="1:14" s="94" customFormat="1" ht="47.25" customHeight="1" hidden="1">
      <c r="A28" s="130" t="s">
        <v>564</v>
      </c>
      <c r="B28" s="341" t="s">
        <v>1026</v>
      </c>
      <c r="C28" s="344" t="s">
        <v>76</v>
      </c>
      <c r="D28" s="341" t="s">
        <v>434</v>
      </c>
      <c r="E28" s="144" t="s">
        <v>91</v>
      </c>
      <c r="F28" s="180" t="s">
        <v>485</v>
      </c>
      <c r="G28" s="75"/>
      <c r="H28" s="75"/>
      <c r="I28" s="75">
        <f t="shared" si="1"/>
        <v>0</v>
      </c>
      <c r="J28" s="219"/>
      <c r="K28" s="103"/>
      <c r="N28" s="143"/>
    </row>
    <row r="29" spans="1:14" s="94" customFormat="1" ht="47.25" customHeight="1" hidden="1">
      <c r="A29" s="130" t="s">
        <v>564</v>
      </c>
      <c r="B29" s="341" t="s">
        <v>1026</v>
      </c>
      <c r="C29" s="344" t="s">
        <v>76</v>
      </c>
      <c r="D29" s="341" t="s">
        <v>434</v>
      </c>
      <c r="E29" s="144" t="s">
        <v>91</v>
      </c>
      <c r="F29" s="180"/>
      <c r="G29" s="75"/>
      <c r="H29" s="75"/>
      <c r="I29" s="75">
        <f t="shared" si="1"/>
        <v>0</v>
      </c>
      <c r="J29" s="219"/>
      <c r="K29" s="103"/>
      <c r="N29" s="143"/>
    </row>
    <row r="30" spans="1:14" s="94" customFormat="1" ht="47.25" customHeight="1">
      <c r="A30" s="130" t="s">
        <v>564</v>
      </c>
      <c r="B30" s="341" t="s">
        <v>1026</v>
      </c>
      <c r="C30" s="344" t="s">
        <v>76</v>
      </c>
      <c r="D30" s="341" t="s">
        <v>434</v>
      </c>
      <c r="E30" s="144" t="s">
        <v>91</v>
      </c>
      <c r="F30" s="347" t="s">
        <v>1137</v>
      </c>
      <c r="G30" s="75">
        <v>324855</v>
      </c>
      <c r="H30" s="75"/>
      <c r="I30" s="75">
        <f t="shared" si="1"/>
        <v>324855</v>
      </c>
      <c r="J30" s="219"/>
      <c r="K30" s="103"/>
      <c r="N30" s="143"/>
    </row>
    <row r="31" spans="1:14" s="94" customFormat="1" ht="63" customHeight="1">
      <c r="A31" s="296" t="s">
        <v>564</v>
      </c>
      <c r="B31" s="355" t="s">
        <v>1026</v>
      </c>
      <c r="C31" s="355" t="s">
        <v>76</v>
      </c>
      <c r="D31" s="355" t="s">
        <v>434</v>
      </c>
      <c r="E31" s="269" t="s">
        <v>91</v>
      </c>
      <c r="F31" s="346" t="s">
        <v>1159</v>
      </c>
      <c r="G31" s="75">
        <v>170000</v>
      </c>
      <c r="H31" s="75"/>
      <c r="I31" s="75">
        <f t="shared" si="1"/>
        <v>170000</v>
      </c>
      <c r="J31" s="219"/>
      <c r="K31" s="103"/>
      <c r="N31" s="143"/>
    </row>
    <row r="32" spans="1:14" s="94" customFormat="1" ht="47.25">
      <c r="A32" s="355" t="s">
        <v>564</v>
      </c>
      <c r="B32" s="355" t="s">
        <v>1026</v>
      </c>
      <c r="C32" s="355" t="s">
        <v>76</v>
      </c>
      <c r="D32" s="355" t="s">
        <v>434</v>
      </c>
      <c r="E32" s="269" t="s">
        <v>91</v>
      </c>
      <c r="F32" s="353" t="s">
        <v>1138</v>
      </c>
      <c r="G32" s="75">
        <v>382771</v>
      </c>
      <c r="H32" s="75"/>
      <c r="I32" s="75">
        <f t="shared" si="1"/>
        <v>382771</v>
      </c>
      <c r="J32" s="219"/>
      <c r="K32" s="103"/>
      <c r="N32" s="143"/>
    </row>
    <row r="33" spans="1:14" s="94" customFormat="1" ht="47.25">
      <c r="A33" s="341" t="s">
        <v>564</v>
      </c>
      <c r="B33" s="341" t="s">
        <v>1026</v>
      </c>
      <c r="C33" s="344" t="s">
        <v>76</v>
      </c>
      <c r="D33" s="341" t="s">
        <v>434</v>
      </c>
      <c r="E33" s="144" t="s">
        <v>91</v>
      </c>
      <c r="F33" s="348" t="s">
        <v>1177</v>
      </c>
      <c r="G33" s="75">
        <f>200000-61000</f>
        <v>139000</v>
      </c>
      <c r="H33" s="75"/>
      <c r="I33" s="75">
        <f t="shared" si="1"/>
        <v>139000</v>
      </c>
      <c r="J33" s="219"/>
      <c r="K33" s="103"/>
      <c r="N33" s="143"/>
    </row>
    <row r="34" spans="1:14" s="94" customFormat="1" ht="47.25" customHeight="1">
      <c r="A34" s="341" t="s">
        <v>564</v>
      </c>
      <c r="B34" s="341" t="s">
        <v>1026</v>
      </c>
      <c r="C34" s="428" t="s">
        <v>76</v>
      </c>
      <c r="D34" s="341" t="s">
        <v>434</v>
      </c>
      <c r="E34" s="144" t="s">
        <v>91</v>
      </c>
      <c r="F34" s="347" t="s">
        <v>1139</v>
      </c>
      <c r="G34" s="75">
        <f>3739648+3255750</f>
        <v>6995398</v>
      </c>
      <c r="H34" s="75">
        <v>177000</v>
      </c>
      <c r="I34" s="75">
        <f t="shared" si="1"/>
        <v>7172398</v>
      </c>
      <c r="J34" s="219"/>
      <c r="K34" s="103"/>
      <c r="N34" s="143"/>
    </row>
    <row r="35" spans="1:14" s="94" customFormat="1" ht="47.25" customHeight="1">
      <c r="A35" s="341" t="s">
        <v>564</v>
      </c>
      <c r="B35" s="341" t="s">
        <v>1026</v>
      </c>
      <c r="C35" s="429"/>
      <c r="D35" s="341" t="s">
        <v>434</v>
      </c>
      <c r="E35" s="144" t="s">
        <v>91</v>
      </c>
      <c r="F35" s="347" t="s">
        <v>1161</v>
      </c>
      <c r="G35" s="75">
        <v>4055469</v>
      </c>
      <c r="H35" s="75">
        <v>19471766</v>
      </c>
      <c r="I35" s="75">
        <f t="shared" si="1"/>
        <v>23527235</v>
      </c>
      <c r="J35" s="219"/>
      <c r="K35" s="103"/>
      <c r="N35" s="143"/>
    </row>
    <row r="36" spans="1:14" s="94" customFormat="1" ht="15.75" customHeight="1">
      <c r="A36" s="190" t="s">
        <v>555</v>
      </c>
      <c r="B36" s="190" t="s">
        <v>1031</v>
      </c>
      <c r="C36" s="190" t="s">
        <v>556</v>
      </c>
      <c r="D36" s="190"/>
      <c r="E36" s="191" t="s">
        <v>557</v>
      </c>
      <c r="F36" s="180"/>
      <c r="G36" s="80">
        <f>G37</f>
        <v>0</v>
      </c>
      <c r="H36" s="80">
        <f>H37</f>
        <v>387831</v>
      </c>
      <c r="I36" s="80">
        <f>I37</f>
        <v>387831</v>
      </c>
      <c r="J36" s="219"/>
      <c r="K36" s="103"/>
      <c r="N36" s="143"/>
    </row>
    <row r="37" spans="1:14" s="94" customFormat="1" ht="63" customHeight="1">
      <c r="A37" s="181" t="s">
        <v>558</v>
      </c>
      <c r="B37" s="181" t="s">
        <v>1032</v>
      </c>
      <c r="C37" s="181" t="s">
        <v>70</v>
      </c>
      <c r="D37" s="357" t="s">
        <v>434</v>
      </c>
      <c r="E37" s="189" t="s">
        <v>220</v>
      </c>
      <c r="F37" s="361" t="s">
        <v>1190</v>
      </c>
      <c r="G37" s="75">
        <f>G38</f>
        <v>0</v>
      </c>
      <c r="H37" s="75">
        <f>83150+304681</f>
        <v>387831</v>
      </c>
      <c r="I37" s="75">
        <f>G37+H37</f>
        <v>387831</v>
      </c>
      <c r="J37" s="219"/>
      <c r="K37" s="103"/>
      <c r="N37" s="143"/>
    </row>
    <row r="38" spans="1:14" s="94" customFormat="1" ht="47.25" customHeight="1" hidden="1">
      <c r="A38" s="291" t="s">
        <v>559</v>
      </c>
      <c r="B38" s="291" t="s">
        <v>1033</v>
      </c>
      <c r="C38" s="261" t="s">
        <v>70</v>
      </c>
      <c r="D38" s="291" t="s">
        <v>434</v>
      </c>
      <c r="E38" s="214" t="s">
        <v>560</v>
      </c>
      <c r="F38" s="347" t="s">
        <v>1162</v>
      </c>
      <c r="G38" s="298"/>
      <c r="H38" s="298">
        <v>83150</v>
      </c>
      <c r="I38" s="298">
        <f>H38+G38</f>
        <v>83150</v>
      </c>
      <c r="J38" s="220"/>
      <c r="K38" s="103"/>
      <c r="N38" s="143"/>
    </row>
    <row r="39" spans="1:14" s="94" customFormat="1" ht="31.5" customHeight="1">
      <c r="A39" s="86"/>
      <c r="B39" s="86" t="s">
        <v>140</v>
      </c>
      <c r="C39" s="86" t="s">
        <v>140</v>
      </c>
      <c r="D39" s="86"/>
      <c r="E39" s="89" t="s">
        <v>519</v>
      </c>
      <c r="F39" s="150"/>
      <c r="G39" s="80">
        <f>G40</f>
        <v>175778111</v>
      </c>
      <c r="H39" s="80">
        <f>H40</f>
        <v>131863835</v>
      </c>
      <c r="I39" s="80">
        <f>I40</f>
        <v>307641946</v>
      </c>
      <c r="J39" s="129"/>
      <c r="K39" s="103"/>
      <c r="N39" s="143"/>
    </row>
    <row r="40" spans="1:14" s="94" customFormat="1" ht="30" customHeight="1">
      <c r="A40" s="244" t="s">
        <v>568</v>
      </c>
      <c r="B40" s="244"/>
      <c r="C40" s="244"/>
      <c r="D40" s="244"/>
      <c r="E40" s="195" t="s">
        <v>519</v>
      </c>
      <c r="F40" s="182"/>
      <c r="G40" s="75">
        <f>G41+G43+G70+G73+G78</f>
        <v>175778111</v>
      </c>
      <c r="H40" s="75">
        <f>H41+H43+H70+H73+H78</f>
        <v>131863835</v>
      </c>
      <c r="I40" s="75">
        <f>G40+H40</f>
        <v>307641946</v>
      </c>
      <c r="J40" s="219"/>
      <c r="K40" s="96"/>
      <c r="N40" s="143"/>
    </row>
    <row r="41" spans="1:14" s="94" customFormat="1" ht="15.75" customHeight="1" hidden="1">
      <c r="A41" s="272" t="s">
        <v>570</v>
      </c>
      <c r="B41" s="272" t="s">
        <v>1015</v>
      </c>
      <c r="C41" s="272" t="s">
        <v>537</v>
      </c>
      <c r="D41" s="272"/>
      <c r="E41" s="191" t="s">
        <v>538</v>
      </c>
      <c r="F41" s="182"/>
      <c r="G41" s="75">
        <f>G42</f>
        <v>0</v>
      </c>
      <c r="H41" s="75">
        <f>H42</f>
        <v>0</v>
      </c>
      <c r="I41" s="75">
        <f aca="true" t="shared" si="2" ref="I41:I118">G41+H41</f>
        <v>0</v>
      </c>
      <c r="J41" s="219"/>
      <c r="K41" s="96"/>
      <c r="N41" s="143"/>
    </row>
    <row r="42" spans="1:14" s="94" customFormat="1" ht="31.5" customHeight="1" hidden="1">
      <c r="A42" s="244" t="s">
        <v>569</v>
      </c>
      <c r="B42" s="244" t="s">
        <v>466</v>
      </c>
      <c r="C42" s="244" t="s">
        <v>164</v>
      </c>
      <c r="D42" s="244" t="s">
        <v>431</v>
      </c>
      <c r="E42" s="301" t="s">
        <v>1005</v>
      </c>
      <c r="F42" s="158" t="s">
        <v>491</v>
      </c>
      <c r="G42" s="75"/>
      <c r="H42" s="75"/>
      <c r="I42" s="75">
        <f t="shared" si="2"/>
        <v>0</v>
      </c>
      <c r="J42" s="219"/>
      <c r="K42" s="103"/>
      <c r="N42" s="143"/>
    </row>
    <row r="43" spans="1:14" s="94" customFormat="1" ht="15.75" customHeight="1">
      <c r="A43" s="190" t="s">
        <v>571</v>
      </c>
      <c r="B43" s="190" t="s">
        <v>1034</v>
      </c>
      <c r="C43" s="190" t="s">
        <v>572</v>
      </c>
      <c r="D43" s="190"/>
      <c r="E43" s="191" t="s">
        <v>573</v>
      </c>
      <c r="F43" s="180"/>
      <c r="G43" s="80">
        <f>G44+G45+G47+G48+G49+G51+G52+G55+G56+G57+G58+G59+G60+G61+G62+G63+G65+G66+G67+G68+G69+G53+G64+G46+G50+G54</f>
        <v>164968639</v>
      </c>
      <c r="H43" s="80">
        <f>H44+H45+H47+H48+H49+H51+H52+H55+H56+H57+H58+H59+H60+H61+H62+H63+H65+H66+H67+H68+H69+H53+H64+H46+H50+H54</f>
        <v>46105179</v>
      </c>
      <c r="I43" s="80">
        <f>I44+I45+I47+I48+I49+I51+I52+I55+I56+I57+I58+I59+I60+I61+I62+I63+I65+I66+I67+I68+I69+I53+I64+I46+I50+I54</f>
        <v>211073818</v>
      </c>
      <c r="J43" s="219"/>
      <c r="K43" s="103"/>
      <c r="N43" s="143"/>
    </row>
    <row r="44" spans="1:14" s="94" customFormat="1" ht="33" customHeight="1">
      <c r="A44" s="356" t="s">
        <v>575</v>
      </c>
      <c r="B44" s="356" t="s">
        <v>1035</v>
      </c>
      <c r="C44" s="428" t="s">
        <v>66</v>
      </c>
      <c r="D44" s="356" t="s">
        <v>435</v>
      </c>
      <c r="E44" s="144" t="s">
        <v>574</v>
      </c>
      <c r="F44" s="158" t="s">
        <v>491</v>
      </c>
      <c r="G44" s="75">
        <f>52237816-6573989+(48000)+(432050)+4000000-1038000</f>
        <v>49105877</v>
      </c>
      <c r="H44" s="75">
        <f>25063114+758478+(260450)-1156115-841560</f>
        <v>24084367</v>
      </c>
      <c r="I44" s="75">
        <f t="shared" si="2"/>
        <v>73190244</v>
      </c>
      <c r="J44" s="219"/>
      <c r="K44" s="103"/>
      <c r="M44" s="105"/>
      <c r="N44" s="104"/>
    </row>
    <row r="45" spans="1:14" s="94" customFormat="1" ht="70.5" customHeight="1" hidden="1">
      <c r="A45" s="356" t="s">
        <v>575</v>
      </c>
      <c r="B45" s="356" t="s">
        <v>1035</v>
      </c>
      <c r="C45" s="434"/>
      <c r="D45" s="356" t="s">
        <v>435</v>
      </c>
      <c r="E45" s="144" t="s">
        <v>574</v>
      </c>
      <c r="F45" s="150" t="s">
        <v>470</v>
      </c>
      <c r="G45" s="75"/>
      <c r="H45" s="75"/>
      <c r="I45" s="75">
        <f t="shared" si="2"/>
        <v>0</v>
      </c>
      <c r="J45" s="219"/>
      <c r="K45" s="103"/>
      <c r="M45" s="105"/>
      <c r="N45" s="104"/>
    </row>
    <row r="46" spans="1:14" s="94" customFormat="1" ht="54.75" customHeight="1">
      <c r="A46" s="356" t="s">
        <v>575</v>
      </c>
      <c r="B46" s="356" t="s">
        <v>1035</v>
      </c>
      <c r="C46" s="434"/>
      <c r="D46" s="356" t="s">
        <v>435</v>
      </c>
      <c r="E46" s="144" t="s">
        <v>574</v>
      </c>
      <c r="F46" s="352" t="s">
        <v>1181</v>
      </c>
      <c r="G46" s="75">
        <f>3200000+9800000-5000000</f>
        <v>8000000</v>
      </c>
      <c r="H46" s="75"/>
      <c r="I46" s="75">
        <f t="shared" si="2"/>
        <v>8000000</v>
      </c>
      <c r="J46" s="219"/>
      <c r="K46" s="103"/>
      <c r="M46" s="105"/>
      <c r="N46" s="104"/>
    </row>
    <row r="47" spans="1:14" s="94" customFormat="1" ht="31.5">
      <c r="A47" s="356" t="s">
        <v>575</v>
      </c>
      <c r="B47" s="356" t="s">
        <v>1035</v>
      </c>
      <c r="C47" s="429"/>
      <c r="D47" s="356" t="s">
        <v>435</v>
      </c>
      <c r="E47" s="144" t="s">
        <v>574</v>
      </c>
      <c r="F47" s="90" t="s">
        <v>1166</v>
      </c>
      <c r="G47" s="315">
        <f>122020+30000+159700-23600+140610+100490-1400+185462+228884+10000</f>
        <v>952166</v>
      </c>
      <c r="H47" s="315">
        <f>24900+96800+23600+243400-5000+5000+129000+85000</f>
        <v>602700</v>
      </c>
      <c r="I47" s="315">
        <f t="shared" si="2"/>
        <v>1554866</v>
      </c>
      <c r="J47" s="221"/>
      <c r="K47" s="96"/>
      <c r="N47" s="143"/>
    </row>
    <row r="48" spans="1:14" s="94" customFormat="1" ht="60.75" customHeight="1">
      <c r="A48" s="244" t="s">
        <v>576</v>
      </c>
      <c r="B48" s="367" t="s">
        <v>450</v>
      </c>
      <c r="C48" s="433" t="s">
        <v>67</v>
      </c>
      <c r="D48" s="244" t="s">
        <v>436</v>
      </c>
      <c r="E48" s="374" t="s">
        <v>577</v>
      </c>
      <c r="F48" s="158" t="s">
        <v>491</v>
      </c>
      <c r="G48" s="75">
        <f>44973762-735315+(39800)+(225400)+6000000-2117283</f>
        <v>48386364</v>
      </c>
      <c r="H48" s="75">
        <f>9658098-220917+(23000)+(1769000)+2415170+272264+103335</f>
        <v>14019950</v>
      </c>
      <c r="I48" s="75">
        <f t="shared" si="2"/>
        <v>62406314</v>
      </c>
      <c r="J48" s="219"/>
      <c r="K48" s="103"/>
      <c r="L48" s="105"/>
      <c r="M48" s="105"/>
      <c r="N48" s="143"/>
    </row>
    <row r="49" spans="1:14" s="94" customFormat="1" ht="61.5" customHeight="1">
      <c r="A49" s="244" t="s">
        <v>576</v>
      </c>
      <c r="B49" s="367" t="s">
        <v>450</v>
      </c>
      <c r="C49" s="433"/>
      <c r="D49" s="244" t="s">
        <v>436</v>
      </c>
      <c r="E49" s="374" t="s">
        <v>577</v>
      </c>
      <c r="F49" s="155" t="s">
        <v>481</v>
      </c>
      <c r="G49" s="75">
        <v>845902</v>
      </c>
      <c r="H49" s="75">
        <v>161193</v>
      </c>
      <c r="I49" s="75">
        <f t="shared" si="2"/>
        <v>1007095</v>
      </c>
      <c r="J49" s="219"/>
      <c r="K49" s="96"/>
      <c r="N49" s="143"/>
    </row>
    <row r="50" spans="1:14" s="94" customFormat="1" ht="60" customHeight="1">
      <c r="A50" s="433" t="s">
        <v>576</v>
      </c>
      <c r="B50" s="367" t="s">
        <v>450</v>
      </c>
      <c r="C50" s="433"/>
      <c r="D50" s="244" t="s">
        <v>436</v>
      </c>
      <c r="E50" s="374" t="s">
        <v>577</v>
      </c>
      <c r="F50" s="352" t="s">
        <v>1181</v>
      </c>
      <c r="G50" s="75">
        <f>3300000+23700000-15000000</f>
        <v>12000000</v>
      </c>
      <c r="H50" s="75"/>
      <c r="I50" s="75">
        <f t="shared" si="2"/>
        <v>12000000</v>
      </c>
      <c r="J50" s="219"/>
      <c r="K50" s="96"/>
      <c r="N50" s="143"/>
    </row>
    <row r="51" spans="1:14" s="94" customFormat="1" ht="75.75" customHeight="1" hidden="1">
      <c r="A51" s="433"/>
      <c r="B51" s="367" t="s">
        <v>450</v>
      </c>
      <c r="C51" s="433"/>
      <c r="D51" s="244" t="s">
        <v>436</v>
      </c>
      <c r="E51" s="374" t="s">
        <v>577</v>
      </c>
      <c r="F51" s="151" t="s">
        <v>470</v>
      </c>
      <c r="G51" s="75"/>
      <c r="H51" s="75"/>
      <c r="I51" s="75">
        <f t="shared" si="2"/>
        <v>0</v>
      </c>
      <c r="J51" s="219"/>
      <c r="K51" s="96"/>
      <c r="N51" s="143"/>
    </row>
    <row r="52" spans="1:14" s="94" customFormat="1" ht="62.25" customHeight="1">
      <c r="A52" s="244" t="s">
        <v>576</v>
      </c>
      <c r="B52" s="367" t="s">
        <v>450</v>
      </c>
      <c r="C52" s="433"/>
      <c r="D52" s="244" t="s">
        <v>436</v>
      </c>
      <c r="E52" s="374" t="s">
        <v>577</v>
      </c>
      <c r="F52" s="90" t="s">
        <v>1166</v>
      </c>
      <c r="G52" s="315">
        <f>285000+55921+336000+384797+101750+30000+526998+301800</f>
        <v>2022266</v>
      </c>
      <c r="H52" s="315">
        <f>175000+128411+407200+99900+140000-20000+426589+58380</f>
        <v>1415480</v>
      </c>
      <c r="I52" s="315">
        <f t="shared" si="2"/>
        <v>3437746</v>
      </c>
      <c r="J52" s="221"/>
      <c r="K52" s="96"/>
      <c r="N52" s="143"/>
    </row>
    <row r="53" spans="1:14" s="94" customFormat="1" ht="78.75">
      <c r="A53" s="244" t="s">
        <v>576</v>
      </c>
      <c r="B53" s="367" t="s">
        <v>450</v>
      </c>
      <c r="C53" s="433"/>
      <c r="D53" s="244" t="s">
        <v>436</v>
      </c>
      <c r="E53" s="374" t="s">
        <v>577</v>
      </c>
      <c r="F53" s="352" t="s">
        <v>1180</v>
      </c>
      <c r="G53" s="316">
        <v>105960</v>
      </c>
      <c r="H53" s="316">
        <v>58000</v>
      </c>
      <c r="I53" s="316">
        <f t="shared" si="2"/>
        <v>163960</v>
      </c>
      <c r="J53" s="221"/>
      <c r="K53" s="96"/>
      <c r="N53" s="143"/>
    </row>
    <row r="54" spans="1:14" s="94" customFormat="1" ht="78.75">
      <c r="A54" s="244" t="s">
        <v>1202</v>
      </c>
      <c r="B54" s="244" t="s">
        <v>453</v>
      </c>
      <c r="C54" s="244"/>
      <c r="D54" s="244" t="s">
        <v>605</v>
      </c>
      <c r="E54" s="374" t="s">
        <v>1203</v>
      </c>
      <c r="F54" s="361" t="s">
        <v>491</v>
      </c>
      <c r="G54" s="316"/>
      <c r="H54" s="316">
        <v>2894711</v>
      </c>
      <c r="I54" s="316">
        <f t="shared" si="2"/>
        <v>2894711</v>
      </c>
      <c r="J54" s="221"/>
      <c r="K54" s="96"/>
      <c r="N54" s="143"/>
    </row>
    <row r="55" spans="1:14" s="94" customFormat="1" ht="35.25" customHeight="1">
      <c r="A55" s="242">
        <v>1011030</v>
      </c>
      <c r="B55" s="419" t="s">
        <v>451</v>
      </c>
      <c r="C55" s="419" t="s">
        <v>68</v>
      </c>
      <c r="D55" s="419" t="s">
        <v>436</v>
      </c>
      <c r="E55" s="431" t="s">
        <v>578</v>
      </c>
      <c r="F55" s="158" t="s">
        <v>491</v>
      </c>
      <c r="G55" s="75">
        <f>54152+1740</f>
        <v>55892</v>
      </c>
      <c r="H55" s="75"/>
      <c r="I55" s="75">
        <f t="shared" si="2"/>
        <v>55892</v>
      </c>
      <c r="J55" s="219"/>
      <c r="K55" s="103"/>
      <c r="M55" s="105"/>
      <c r="N55" s="143"/>
    </row>
    <row r="56" spans="1:14" s="94" customFormat="1" ht="47.25" customHeight="1" hidden="1">
      <c r="A56" s="242">
        <v>1011030</v>
      </c>
      <c r="B56" s="420"/>
      <c r="C56" s="420"/>
      <c r="D56" s="426"/>
      <c r="E56" s="432"/>
      <c r="F56" s="90" t="s">
        <v>1166</v>
      </c>
      <c r="G56" s="315"/>
      <c r="H56" s="315"/>
      <c r="I56" s="315">
        <f t="shared" si="2"/>
        <v>0</v>
      </c>
      <c r="J56" s="221"/>
      <c r="K56" s="103"/>
      <c r="N56" s="143"/>
    </row>
    <row r="57" spans="1:14" s="94" customFormat="1" ht="50.25" customHeight="1">
      <c r="A57" s="291" t="s">
        <v>579</v>
      </c>
      <c r="B57" s="291" t="s">
        <v>452</v>
      </c>
      <c r="C57" s="261" t="s">
        <v>25</v>
      </c>
      <c r="D57" s="419" t="s">
        <v>437</v>
      </c>
      <c r="E57" s="130" t="s">
        <v>580</v>
      </c>
      <c r="F57" s="158" t="s">
        <v>491</v>
      </c>
      <c r="G57" s="75">
        <f>316856+99856</f>
        <v>416712</v>
      </c>
      <c r="H57" s="75">
        <f>726958+457320</f>
        <v>1184278</v>
      </c>
      <c r="I57" s="75">
        <f t="shared" si="2"/>
        <v>1600990</v>
      </c>
      <c r="J57" s="219"/>
      <c r="K57" s="103"/>
      <c r="N57" s="143"/>
    </row>
    <row r="58" spans="1:14" s="94" customFormat="1" ht="72" customHeight="1" hidden="1">
      <c r="A58" s="291" t="s">
        <v>579</v>
      </c>
      <c r="B58" s="291" t="s">
        <v>452</v>
      </c>
      <c r="C58" s="261" t="s">
        <v>25</v>
      </c>
      <c r="D58" s="426" t="s">
        <v>1183</v>
      </c>
      <c r="E58" s="130" t="s">
        <v>580</v>
      </c>
      <c r="F58" s="150" t="s">
        <v>470</v>
      </c>
      <c r="G58" s="75"/>
      <c r="H58" s="75"/>
      <c r="I58" s="75">
        <f t="shared" si="2"/>
        <v>0</v>
      </c>
      <c r="J58" s="219"/>
      <c r="K58" s="103"/>
      <c r="N58" s="143"/>
    </row>
    <row r="59" spans="1:15" s="94" customFormat="1" ht="47.25">
      <c r="A59" s="291" t="s">
        <v>579</v>
      </c>
      <c r="B59" s="291" t="s">
        <v>452</v>
      </c>
      <c r="C59" s="261" t="s">
        <v>25</v>
      </c>
      <c r="D59" s="242" t="s">
        <v>437</v>
      </c>
      <c r="E59" s="130" t="s">
        <v>580</v>
      </c>
      <c r="F59" s="90" t="s">
        <v>1166</v>
      </c>
      <c r="G59" s="83">
        <f>129800+2500+43700+28400</f>
        <v>204400</v>
      </c>
      <c r="H59" s="83">
        <f>41000+10000+30000+8000+10000</f>
        <v>99000</v>
      </c>
      <c r="I59" s="83">
        <f t="shared" si="2"/>
        <v>303400</v>
      </c>
      <c r="J59" s="222"/>
      <c r="K59" s="96"/>
      <c r="N59" s="104"/>
      <c r="O59" s="105"/>
    </row>
    <row r="60" spans="1:15" s="94" customFormat="1" ht="54.75" customHeight="1" hidden="1">
      <c r="A60" s="291" t="s">
        <v>579</v>
      </c>
      <c r="B60" s="291" t="s">
        <v>452</v>
      </c>
      <c r="C60" s="261" t="s">
        <v>25</v>
      </c>
      <c r="D60" s="368"/>
      <c r="E60" s="130" t="s">
        <v>580</v>
      </c>
      <c r="F60" s="150" t="s">
        <v>14</v>
      </c>
      <c r="G60" s="75"/>
      <c r="H60" s="75"/>
      <c r="I60" s="75">
        <f t="shared" si="2"/>
        <v>0</v>
      </c>
      <c r="J60" s="223"/>
      <c r="K60" s="96"/>
      <c r="N60" s="104"/>
      <c r="O60" s="105"/>
    </row>
    <row r="61" spans="1:14" s="94" customFormat="1" ht="49.5" customHeight="1">
      <c r="A61" s="244" t="s">
        <v>581</v>
      </c>
      <c r="B61" s="244" t="s">
        <v>1036</v>
      </c>
      <c r="C61" s="242" t="s">
        <v>479</v>
      </c>
      <c r="D61" s="244" t="s">
        <v>480</v>
      </c>
      <c r="E61" s="296" t="s">
        <v>582</v>
      </c>
      <c r="F61" s="178" t="s">
        <v>493</v>
      </c>
      <c r="G61" s="75">
        <v>42596946</v>
      </c>
      <c r="H61" s="75"/>
      <c r="I61" s="75">
        <f t="shared" si="2"/>
        <v>42596946</v>
      </c>
      <c r="J61" s="223"/>
      <c r="K61" s="96"/>
      <c r="N61" s="143"/>
    </row>
    <row r="62" spans="1:14" s="94" customFormat="1" ht="48" customHeight="1">
      <c r="A62" s="244" t="s">
        <v>581</v>
      </c>
      <c r="B62" s="244" t="s">
        <v>1036</v>
      </c>
      <c r="C62" s="244" t="s">
        <v>479</v>
      </c>
      <c r="D62" s="244" t="s">
        <v>480</v>
      </c>
      <c r="E62" s="296" t="s">
        <v>582</v>
      </c>
      <c r="F62" s="90" t="s">
        <v>1166</v>
      </c>
      <c r="G62" s="83">
        <f>108000+12500+41000+70000</f>
        <v>231500</v>
      </c>
      <c r="H62" s="83">
        <f>50000+7500+20000</f>
        <v>77500</v>
      </c>
      <c r="I62" s="83">
        <f t="shared" si="2"/>
        <v>309000</v>
      </c>
      <c r="J62" s="222"/>
      <c r="K62" s="96"/>
      <c r="N62" s="143"/>
    </row>
    <row r="63" spans="1:14" s="94" customFormat="1" ht="41.25" customHeight="1" hidden="1">
      <c r="A63" s="356" t="s">
        <v>583</v>
      </c>
      <c r="B63" s="356" t="s">
        <v>1037</v>
      </c>
      <c r="C63" s="427" t="s">
        <v>273</v>
      </c>
      <c r="D63" s="130" t="s">
        <v>438</v>
      </c>
      <c r="E63" s="144" t="s">
        <v>584</v>
      </c>
      <c r="F63" s="158" t="s">
        <v>491</v>
      </c>
      <c r="G63" s="75"/>
      <c r="H63" s="75"/>
      <c r="I63" s="75">
        <f t="shared" si="2"/>
        <v>0</v>
      </c>
      <c r="J63" s="223"/>
      <c r="K63" s="96"/>
      <c r="N63" s="143"/>
    </row>
    <row r="64" spans="1:14" s="94" customFormat="1" ht="41.25" customHeight="1">
      <c r="A64" s="356" t="s">
        <v>583</v>
      </c>
      <c r="B64" s="356" t="s">
        <v>1037</v>
      </c>
      <c r="C64" s="427"/>
      <c r="D64" s="130" t="s">
        <v>438</v>
      </c>
      <c r="E64" s="144" t="s">
        <v>584</v>
      </c>
      <c r="F64" s="352" t="s">
        <v>1180</v>
      </c>
      <c r="G64" s="75">
        <v>24654</v>
      </c>
      <c r="H64" s="75"/>
      <c r="I64" s="75">
        <f t="shared" si="2"/>
        <v>24654</v>
      </c>
      <c r="J64" s="223"/>
      <c r="K64" s="96"/>
      <c r="N64" s="143"/>
    </row>
    <row r="65" spans="1:14" s="94" customFormat="1" ht="47.25" customHeight="1">
      <c r="A65" s="181" t="s">
        <v>585</v>
      </c>
      <c r="B65" s="181" t="s">
        <v>1038</v>
      </c>
      <c r="C65" s="181" t="s">
        <v>364</v>
      </c>
      <c r="D65" s="181" t="s">
        <v>438</v>
      </c>
      <c r="E65" s="189" t="s">
        <v>586</v>
      </c>
      <c r="F65" s="158" t="s">
        <v>491</v>
      </c>
      <c r="G65" s="75">
        <v>20000</v>
      </c>
      <c r="H65" s="75"/>
      <c r="I65" s="75">
        <f t="shared" si="2"/>
        <v>20000</v>
      </c>
      <c r="J65" s="223"/>
      <c r="K65" s="96"/>
      <c r="N65" s="143"/>
    </row>
    <row r="66" spans="1:14" s="94" customFormat="1" ht="31.5" customHeight="1">
      <c r="A66" s="181" t="s">
        <v>587</v>
      </c>
      <c r="B66" s="181" t="s">
        <v>1039</v>
      </c>
      <c r="C66" s="181" t="s">
        <v>280</v>
      </c>
      <c r="D66" s="181" t="s">
        <v>438</v>
      </c>
      <c r="E66" s="189" t="s">
        <v>588</v>
      </c>
      <c r="F66" s="158" t="s">
        <v>491</v>
      </c>
      <c r="G66" s="75"/>
      <c r="H66" s="75">
        <v>1508000</v>
      </c>
      <c r="I66" s="75">
        <f t="shared" si="2"/>
        <v>1508000</v>
      </c>
      <c r="J66" s="223"/>
      <c r="K66" s="103"/>
      <c r="M66" s="105"/>
      <c r="N66" s="143"/>
    </row>
    <row r="67" spans="1:14" s="94" customFormat="1" ht="36" customHeight="1" hidden="1">
      <c r="A67" s="181" t="s">
        <v>589</v>
      </c>
      <c r="B67" s="181" t="s">
        <v>1040</v>
      </c>
      <c r="C67" s="181" t="s">
        <v>274</v>
      </c>
      <c r="D67" s="181" t="s">
        <v>438</v>
      </c>
      <c r="E67" s="189" t="s">
        <v>590</v>
      </c>
      <c r="F67" s="158" t="s">
        <v>491</v>
      </c>
      <c r="G67" s="75"/>
      <c r="H67" s="75"/>
      <c r="I67" s="75">
        <f t="shared" si="2"/>
        <v>0</v>
      </c>
      <c r="J67" s="223"/>
      <c r="K67" s="96"/>
      <c r="N67" s="143"/>
    </row>
    <row r="68" spans="1:14" s="94" customFormat="1" ht="33.75" customHeight="1" hidden="1">
      <c r="A68" s="291" t="s">
        <v>591</v>
      </c>
      <c r="B68" s="428" t="s">
        <v>1041</v>
      </c>
      <c r="C68" s="428" t="s">
        <v>125</v>
      </c>
      <c r="D68" s="428" t="s">
        <v>438</v>
      </c>
      <c r="E68" s="428" t="s">
        <v>592</v>
      </c>
      <c r="F68" s="158" t="s">
        <v>491</v>
      </c>
      <c r="G68" s="75"/>
      <c r="H68" s="75"/>
      <c r="I68" s="75">
        <f t="shared" si="2"/>
        <v>0</v>
      </c>
      <c r="J68" s="223"/>
      <c r="K68" s="96"/>
      <c r="N68" s="143"/>
    </row>
    <row r="69" spans="1:14" s="94" customFormat="1" ht="51" customHeight="1" hidden="1">
      <c r="A69" s="291" t="s">
        <v>591</v>
      </c>
      <c r="B69" s="429"/>
      <c r="C69" s="429"/>
      <c r="D69" s="429"/>
      <c r="E69" s="429"/>
      <c r="F69" s="90" t="s">
        <v>1166</v>
      </c>
      <c r="G69" s="75"/>
      <c r="H69" s="75"/>
      <c r="I69" s="75">
        <f t="shared" si="2"/>
        <v>0</v>
      </c>
      <c r="J69" s="223"/>
      <c r="K69" s="96"/>
      <c r="N69" s="143"/>
    </row>
    <row r="70" spans="1:14" s="94" customFormat="1" ht="51" customHeight="1">
      <c r="A70" s="190" t="s">
        <v>593</v>
      </c>
      <c r="B70" s="190" t="s">
        <v>1042</v>
      </c>
      <c r="C70" s="190" t="s">
        <v>594</v>
      </c>
      <c r="D70" s="190"/>
      <c r="E70" s="191" t="s">
        <v>595</v>
      </c>
      <c r="F70" s="90"/>
      <c r="G70" s="80">
        <f>G71+G72</f>
        <v>10809472</v>
      </c>
      <c r="H70" s="80">
        <f>H71+H72</f>
        <v>0</v>
      </c>
      <c r="I70" s="80">
        <f>I71+I72</f>
        <v>10809472</v>
      </c>
      <c r="J70" s="223"/>
      <c r="K70" s="96"/>
      <c r="N70" s="143"/>
    </row>
    <row r="71" spans="1:14" s="94" customFormat="1" ht="78.75">
      <c r="A71" s="181" t="s">
        <v>596</v>
      </c>
      <c r="B71" s="181" t="s">
        <v>1043</v>
      </c>
      <c r="C71" s="181" t="s">
        <v>69</v>
      </c>
      <c r="D71" s="181" t="s">
        <v>439</v>
      </c>
      <c r="E71" s="189" t="s">
        <v>597</v>
      </c>
      <c r="F71" s="214" t="s">
        <v>481</v>
      </c>
      <c r="G71" s="75">
        <v>10746342</v>
      </c>
      <c r="H71" s="75"/>
      <c r="I71" s="75">
        <f t="shared" si="2"/>
        <v>10746342</v>
      </c>
      <c r="J71" s="223"/>
      <c r="K71" s="96"/>
      <c r="N71" s="143"/>
    </row>
    <row r="72" spans="1:14" s="94" customFormat="1" ht="51" customHeight="1">
      <c r="A72" s="181" t="s">
        <v>598</v>
      </c>
      <c r="B72" s="181" t="s">
        <v>1044</v>
      </c>
      <c r="C72" s="181" t="s">
        <v>487</v>
      </c>
      <c r="D72" s="181" t="s">
        <v>488</v>
      </c>
      <c r="E72" s="189" t="s">
        <v>489</v>
      </c>
      <c r="F72" s="4" t="s">
        <v>14</v>
      </c>
      <c r="G72" s="75">
        <v>63130</v>
      </c>
      <c r="H72" s="75"/>
      <c r="I72" s="75">
        <f t="shared" si="2"/>
        <v>63130</v>
      </c>
      <c r="J72" s="223"/>
      <c r="K72" s="96"/>
      <c r="N72" s="143"/>
    </row>
    <row r="73" spans="1:14" s="94" customFormat="1" ht="15.75" customHeight="1">
      <c r="A73" s="190" t="s">
        <v>599</v>
      </c>
      <c r="B73" s="190" t="s">
        <v>1020</v>
      </c>
      <c r="C73" s="190" t="s">
        <v>550</v>
      </c>
      <c r="D73" s="190"/>
      <c r="E73" s="191" t="s">
        <v>551</v>
      </c>
      <c r="F73" s="180"/>
      <c r="G73" s="80">
        <f>G74+G75+G76+G77</f>
        <v>0</v>
      </c>
      <c r="H73" s="80">
        <f>H74+H75+H76+H77</f>
        <v>78323434</v>
      </c>
      <c r="I73" s="80">
        <f>G73+H73</f>
        <v>78323434</v>
      </c>
      <c r="J73" s="223"/>
      <c r="K73" s="96"/>
      <c r="N73" s="143"/>
    </row>
    <row r="74" spans="1:245" s="94" customFormat="1" ht="34.5" customHeight="1">
      <c r="A74" s="181" t="s">
        <v>600</v>
      </c>
      <c r="B74" s="181" t="s">
        <v>1021</v>
      </c>
      <c r="C74" s="181" t="s">
        <v>83</v>
      </c>
      <c r="D74" s="181" t="s">
        <v>433</v>
      </c>
      <c r="E74" s="189" t="s">
        <v>553</v>
      </c>
      <c r="F74" s="167" t="s">
        <v>491</v>
      </c>
      <c r="G74" s="269"/>
      <c r="H74" s="269">
        <f>15866982-890918</f>
        <v>14976064</v>
      </c>
      <c r="I74" s="269">
        <f t="shared" si="2"/>
        <v>14976064</v>
      </c>
      <c r="J74" s="224"/>
      <c r="K74" s="103"/>
      <c r="N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IA74" s="143"/>
      <c r="IB74" s="143"/>
      <c r="IC74" s="143"/>
      <c r="ID74" s="143"/>
      <c r="IE74" s="143"/>
      <c r="IF74" s="143"/>
      <c r="IG74" s="143"/>
      <c r="IH74" s="143"/>
      <c r="II74" s="143"/>
      <c r="IJ74" s="143"/>
      <c r="IK74" s="143"/>
    </row>
    <row r="75" spans="1:245" s="94" customFormat="1" ht="54" customHeight="1">
      <c r="A75" s="181" t="s">
        <v>601</v>
      </c>
      <c r="B75" s="181" t="s">
        <v>1045</v>
      </c>
      <c r="C75" s="181" t="s">
        <v>467</v>
      </c>
      <c r="D75" s="181" t="s">
        <v>436</v>
      </c>
      <c r="E75" s="189" t="s">
        <v>602</v>
      </c>
      <c r="F75" s="158" t="s">
        <v>491</v>
      </c>
      <c r="G75" s="269"/>
      <c r="H75" s="269">
        <f>56415567+787900-2173002+5500000+469440</f>
        <v>60999905</v>
      </c>
      <c r="I75" s="269">
        <f t="shared" si="2"/>
        <v>60999905</v>
      </c>
      <c r="J75" s="224"/>
      <c r="K75" s="96"/>
      <c r="N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IA75" s="143"/>
      <c r="IB75" s="143"/>
      <c r="IC75" s="143"/>
      <c r="ID75" s="143"/>
      <c r="IE75" s="143"/>
      <c r="IF75" s="143"/>
      <c r="IG75" s="143"/>
      <c r="IH75" s="143"/>
      <c r="II75" s="143"/>
      <c r="IJ75" s="143"/>
      <c r="IK75" s="143"/>
    </row>
    <row r="76" spans="1:245" s="94" customFormat="1" ht="54" customHeight="1" hidden="1">
      <c r="A76" s="181" t="s">
        <v>603</v>
      </c>
      <c r="B76" s="181" t="s">
        <v>1046</v>
      </c>
      <c r="C76" s="181" t="s">
        <v>604</v>
      </c>
      <c r="D76" s="181" t="s">
        <v>605</v>
      </c>
      <c r="E76" s="189" t="s">
        <v>606</v>
      </c>
      <c r="F76" s="181"/>
      <c r="G76" s="296"/>
      <c r="H76" s="296"/>
      <c r="I76" s="296">
        <f t="shared" si="2"/>
        <v>0</v>
      </c>
      <c r="J76" s="184"/>
      <c r="K76" s="218"/>
      <c r="L76" s="181"/>
      <c r="M76" s="189"/>
      <c r="N76" s="181"/>
      <c r="O76" s="181"/>
      <c r="P76" s="181"/>
      <c r="Q76" s="189"/>
      <c r="R76" s="181"/>
      <c r="S76" s="181"/>
      <c r="T76" s="181"/>
      <c r="U76" s="189"/>
      <c r="V76" s="181"/>
      <c r="W76" s="181"/>
      <c r="X76" s="181"/>
      <c r="Y76" s="189"/>
      <c r="Z76" s="181"/>
      <c r="AA76" s="181"/>
      <c r="AB76" s="181"/>
      <c r="AC76" s="189"/>
      <c r="AD76" s="181"/>
      <c r="AE76" s="181"/>
      <c r="AF76" s="181"/>
      <c r="AG76" s="189"/>
      <c r="AH76" s="181"/>
      <c r="AI76" s="181"/>
      <c r="AJ76" s="181"/>
      <c r="AK76" s="258"/>
      <c r="AL76" s="184"/>
      <c r="AM76" s="184"/>
      <c r="AN76" s="184"/>
      <c r="AO76" s="196"/>
      <c r="AP76" s="184"/>
      <c r="AQ76" s="184"/>
      <c r="AR76" s="184"/>
      <c r="AS76" s="196"/>
      <c r="AT76" s="184"/>
      <c r="AU76" s="184"/>
      <c r="AV76" s="184"/>
      <c r="AW76" s="196"/>
      <c r="AX76" s="184"/>
      <c r="AY76" s="184"/>
      <c r="AZ76" s="184"/>
      <c r="BA76" s="196"/>
      <c r="BB76" s="184"/>
      <c r="BC76" s="184"/>
      <c r="BD76" s="184"/>
      <c r="BE76" s="196"/>
      <c r="BF76" s="184"/>
      <c r="BG76" s="184"/>
      <c r="BH76" s="184"/>
      <c r="BI76" s="196"/>
      <c r="BJ76" s="184"/>
      <c r="BK76" s="184"/>
      <c r="BL76" s="184"/>
      <c r="BM76" s="196"/>
      <c r="BN76" s="184"/>
      <c r="BO76" s="184"/>
      <c r="BP76" s="184"/>
      <c r="BQ76" s="196"/>
      <c r="BR76" s="184"/>
      <c r="BS76" s="184"/>
      <c r="BT76" s="184"/>
      <c r="BU76" s="196"/>
      <c r="BV76" s="184"/>
      <c r="BW76" s="184"/>
      <c r="BX76" s="184"/>
      <c r="BY76" s="196"/>
      <c r="BZ76" s="184"/>
      <c r="CA76" s="184"/>
      <c r="CB76" s="184"/>
      <c r="CC76" s="196"/>
      <c r="CD76" s="184"/>
      <c r="CE76" s="184"/>
      <c r="CF76" s="184"/>
      <c r="CG76" s="196"/>
      <c r="CH76" s="184"/>
      <c r="CI76" s="184"/>
      <c r="CJ76" s="218"/>
      <c r="CK76" s="189"/>
      <c r="CL76" s="181"/>
      <c r="CM76" s="181"/>
      <c r="CN76" s="181"/>
      <c r="CO76" s="189"/>
      <c r="CP76" s="181"/>
      <c r="CQ76" s="181"/>
      <c r="CR76" s="181"/>
      <c r="CS76" s="189"/>
      <c r="CT76" s="181"/>
      <c r="CU76" s="181"/>
      <c r="CV76" s="181"/>
      <c r="CW76" s="189"/>
      <c r="CX76" s="181"/>
      <c r="CY76" s="181"/>
      <c r="CZ76" s="181"/>
      <c r="DA76" s="189"/>
      <c r="DB76" s="181"/>
      <c r="DC76" s="181"/>
      <c r="DD76" s="181"/>
      <c r="DE76" s="189"/>
      <c r="DF76" s="181"/>
      <c r="DG76" s="181"/>
      <c r="DH76" s="181"/>
      <c r="DI76" s="189"/>
      <c r="DJ76" s="181"/>
      <c r="DK76" s="181"/>
      <c r="DL76" s="181"/>
      <c r="DM76" s="189"/>
      <c r="DN76" s="181"/>
      <c r="DO76" s="181"/>
      <c r="DP76" s="181"/>
      <c r="DQ76" s="189"/>
      <c r="DR76" s="181"/>
      <c r="DS76" s="181"/>
      <c r="DT76" s="181"/>
      <c r="DU76" s="189"/>
      <c r="DV76" s="181"/>
      <c r="DW76" s="181"/>
      <c r="DX76" s="181"/>
      <c r="DY76" s="189"/>
      <c r="DZ76" s="181"/>
      <c r="EA76" s="181"/>
      <c r="EB76" s="181"/>
      <c r="EC76" s="189"/>
      <c r="ED76" s="181"/>
      <c r="EE76" s="181"/>
      <c r="EF76" s="181"/>
      <c r="EG76" s="189"/>
      <c r="EH76" s="181"/>
      <c r="EI76" s="181"/>
      <c r="EJ76" s="181"/>
      <c r="EK76" s="189"/>
      <c r="EL76" s="181"/>
      <c r="EM76" s="181"/>
      <c r="EN76" s="181"/>
      <c r="EO76" s="189"/>
      <c r="EP76" s="181"/>
      <c r="EQ76" s="181"/>
      <c r="ER76" s="181"/>
      <c r="ES76" s="189"/>
      <c r="ET76" s="181"/>
      <c r="EU76" s="181"/>
      <c r="EV76" s="181"/>
      <c r="EW76" s="189"/>
      <c r="EX76" s="181"/>
      <c r="EY76" s="181"/>
      <c r="EZ76" s="181"/>
      <c r="FA76" s="189"/>
      <c r="FB76" s="181"/>
      <c r="FC76" s="181"/>
      <c r="FD76" s="181"/>
      <c r="FE76" s="189"/>
      <c r="FF76" s="181"/>
      <c r="FG76" s="181"/>
      <c r="FH76" s="181"/>
      <c r="FI76" s="189"/>
      <c r="FJ76" s="181"/>
      <c r="FK76" s="181"/>
      <c r="FL76" s="181"/>
      <c r="FM76" s="189"/>
      <c r="FN76" s="181"/>
      <c r="FO76" s="181"/>
      <c r="FP76" s="181"/>
      <c r="FQ76" s="189"/>
      <c r="FR76" s="181"/>
      <c r="FS76" s="181"/>
      <c r="FT76" s="181"/>
      <c r="FU76" s="189"/>
      <c r="FV76" s="181"/>
      <c r="FW76" s="181"/>
      <c r="FX76" s="181"/>
      <c r="FY76" s="189"/>
      <c r="FZ76" s="181"/>
      <c r="GA76" s="181"/>
      <c r="GB76" s="181"/>
      <c r="GC76" s="189"/>
      <c r="GD76" s="181"/>
      <c r="GE76" s="181"/>
      <c r="GF76" s="181"/>
      <c r="GG76" s="189"/>
      <c r="GH76" s="181"/>
      <c r="GI76" s="181"/>
      <c r="GJ76" s="181"/>
      <c r="GK76" s="189"/>
      <c r="GL76" s="181"/>
      <c r="GM76" s="181"/>
      <c r="GN76" s="181"/>
      <c r="GO76" s="189"/>
      <c r="GP76" s="181"/>
      <c r="GQ76" s="181"/>
      <c r="GR76" s="181"/>
      <c r="GS76" s="189"/>
      <c r="GT76" s="181"/>
      <c r="GU76" s="181"/>
      <c r="GV76" s="181"/>
      <c r="GW76" s="189"/>
      <c r="GX76" s="181"/>
      <c r="GY76" s="181"/>
      <c r="GZ76" s="181"/>
      <c r="HA76" s="189"/>
      <c r="HB76" s="181"/>
      <c r="HC76" s="181"/>
      <c r="HD76" s="181"/>
      <c r="HE76" s="189"/>
      <c r="HF76" s="181"/>
      <c r="HG76" s="181"/>
      <c r="HH76" s="181"/>
      <c r="HI76" s="189"/>
      <c r="HJ76" s="181"/>
      <c r="HK76" s="181"/>
      <c r="HL76" s="181"/>
      <c r="HM76" s="189"/>
      <c r="HN76" s="181"/>
      <c r="HO76" s="181"/>
      <c r="HP76" s="181"/>
      <c r="HQ76" s="189"/>
      <c r="HR76" s="181"/>
      <c r="HS76" s="181"/>
      <c r="HT76" s="181"/>
      <c r="HU76" s="189"/>
      <c r="HV76" s="181"/>
      <c r="HW76" s="181"/>
      <c r="HX76" s="181"/>
      <c r="HY76" s="189"/>
      <c r="HZ76" s="160"/>
      <c r="IA76" s="184"/>
      <c r="IB76" s="184"/>
      <c r="IC76" s="196"/>
      <c r="ID76" s="184"/>
      <c r="IE76" s="184"/>
      <c r="IF76" s="184"/>
      <c r="IG76" s="196"/>
      <c r="IH76" s="184"/>
      <c r="II76" s="184"/>
      <c r="IJ76" s="184"/>
      <c r="IK76" s="196"/>
    </row>
    <row r="77" spans="1:245" s="146" customFormat="1" ht="58.5" customHeight="1">
      <c r="A77" s="181" t="s">
        <v>607</v>
      </c>
      <c r="B77" s="181" t="s">
        <v>1047</v>
      </c>
      <c r="C77" s="181" t="s">
        <v>471</v>
      </c>
      <c r="D77" s="181" t="s">
        <v>437</v>
      </c>
      <c r="E77" s="189" t="s">
        <v>472</v>
      </c>
      <c r="F77" s="181" t="s">
        <v>491</v>
      </c>
      <c r="G77" s="296"/>
      <c r="H77" s="77">
        <f>980000+1367465</f>
        <v>2347465</v>
      </c>
      <c r="I77" s="327">
        <f t="shared" si="2"/>
        <v>2347465</v>
      </c>
      <c r="J77" s="184"/>
      <c r="K77" s="218"/>
      <c r="L77" s="181"/>
      <c r="M77" s="189"/>
      <c r="N77" s="181"/>
      <c r="O77" s="181"/>
      <c r="P77" s="181"/>
      <c r="Q77" s="189"/>
      <c r="R77" s="181"/>
      <c r="S77" s="181"/>
      <c r="T77" s="181"/>
      <c r="U77" s="189"/>
      <c r="V77" s="181"/>
      <c r="W77" s="181"/>
      <c r="X77" s="181"/>
      <c r="Y77" s="189"/>
      <c r="Z77" s="181"/>
      <c r="AA77" s="181"/>
      <c r="AB77" s="181"/>
      <c r="AC77" s="189"/>
      <c r="AD77" s="181"/>
      <c r="AE77" s="181"/>
      <c r="AF77" s="181"/>
      <c r="AG77" s="189"/>
      <c r="AH77" s="181"/>
      <c r="AI77" s="181"/>
      <c r="AJ77" s="181"/>
      <c r="AK77" s="258"/>
      <c r="AL77" s="184"/>
      <c r="AM77" s="184"/>
      <c r="AN77" s="184"/>
      <c r="AO77" s="196"/>
      <c r="AP77" s="184"/>
      <c r="AQ77" s="184"/>
      <c r="AR77" s="184"/>
      <c r="AS77" s="196"/>
      <c r="AT77" s="184"/>
      <c r="AU77" s="184"/>
      <c r="AV77" s="184"/>
      <c r="AW77" s="196"/>
      <c r="AX77" s="184"/>
      <c r="AY77" s="184"/>
      <c r="AZ77" s="184"/>
      <c r="BA77" s="196"/>
      <c r="BB77" s="184"/>
      <c r="BC77" s="184"/>
      <c r="BD77" s="184"/>
      <c r="BE77" s="196"/>
      <c r="BF77" s="184"/>
      <c r="BG77" s="184"/>
      <c r="BH77" s="184"/>
      <c r="BI77" s="196"/>
      <c r="BJ77" s="184"/>
      <c r="BK77" s="184"/>
      <c r="BL77" s="184"/>
      <c r="BM77" s="196"/>
      <c r="BN77" s="184"/>
      <c r="BO77" s="184"/>
      <c r="BP77" s="184"/>
      <c r="BQ77" s="196"/>
      <c r="BR77" s="184"/>
      <c r="BS77" s="184"/>
      <c r="BT77" s="184"/>
      <c r="BU77" s="196"/>
      <c r="BV77" s="184"/>
      <c r="BW77" s="184"/>
      <c r="BX77" s="184"/>
      <c r="BY77" s="196"/>
      <c r="BZ77" s="184"/>
      <c r="CA77" s="184"/>
      <c r="CB77" s="184"/>
      <c r="CC77" s="196"/>
      <c r="CD77" s="184"/>
      <c r="CE77" s="184"/>
      <c r="CF77" s="184"/>
      <c r="CG77" s="196"/>
      <c r="CH77" s="184"/>
      <c r="CI77" s="184"/>
      <c r="CJ77" s="218"/>
      <c r="CK77" s="189"/>
      <c r="CL77" s="181"/>
      <c r="CM77" s="181"/>
      <c r="CN77" s="181"/>
      <c r="CO77" s="189"/>
      <c r="CP77" s="181"/>
      <c r="CQ77" s="181"/>
      <c r="CR77" s="181"/>
      <c r="CS77" s="189"/>
      <c r="CT77" s="181"/>
      <c r="CU77" s="181"/>
      <c r="CV77" s="181"/>
      <c r="CW77" s="189"/>
      <c r="CX77" s="181"/>
      <c r="CY77" s="181"/>
      <c r="CZ77" s="181"/>
      <c r="DA77" s="189"/>
      <c r="DB77" s="181"/>
      <c r="DC77" s="181"/>
      <c r="DD77" s="181"/>
      <c r="DE77" s="189"/>
      <c r="DF77" s="181"/>
      <c r="DG77" s="181"/>
      <c r="DH77" s="181"/>
      <c r="DI77" s="189"/>
      <c r="DJ77" s="181"/>
      <c r="DK77" s="181"/>
      <c r="DL77" s="181"/>
      <c r="DM77" s="189"/>
      <c r="DN77" s="181"/>
      <c r="DO77" s="181"/>
      <c r="DP77" s="181"/>
      <c r="DQ77" s="189"/>
      <c r="DR77" s="181"/>
      <c r="DS77" s="181"/>
      <c r="DT77" s="181"/>
      <c r="DU77" s="189"/>
      <c r="DV77" s="181"/>
      <c r="DW77" s="181"/>
      <c r="DX77" s="181"/>
      <c r="DY77" s="189"/>
      <c r="DZ77" s="181"/>
      <c r="EA77" s="181"/>
      <c r="EB77" s="181"/>
      <c r="EC77" s="189"/>
      <c r="ED77" s="181"/>
      <c r="EE77" s="181"/>
      <c r="EF77" s="181"/>
      <c r="EG77" s="189"/>
      <c r="EH77" s="181"/>
      <c r="EI77" s="181"/>
      <c r="EJ77" s="181"/>
      <c r="EK77" s="189"/>
      <c r="EL77" s="181"/>
      <c r="EM77" s="181"/>
      <c r="EN77" s="181"/>
      <c r="EO77" s="189"/>
      <c r="EP77" s="181"/>
      <c r="EQ77" s="181"/>
      <c r="ER77" s="181"/>
      <c r="ES77" s="189"/>
      <c r="ET77" s="181"/>
      <c r="EU77" s="181"/>
      <c r="EV77" s="181"/>
      <c r="EW77" s="189"/>
      <c r="EX77" s="181"/>
      <c r="EY77" s="181"/>
      <c r="EZ77" s="181"/>
      <c r="FA77" s="189"/>
      <c r="FB77" s="181"/>
      <c r="FC77" s="181"/>
      <c r="FD77" s="181"/>
      <c r="FE77" s="189"/>
      <c r="FF77" s="181"/>
      <c r="FG77" s="181"/>
      <c r="FH77" s="181"/>
      <c r="FI77" s="189"/>
      <c r="FJ77" s="181"/>
      <c r="FK77" s="181"/>
      <c r="FL77" s="181"/>
      <c r="FM77" s="189"/>
      <c r="FN77" s="181"/>
      <c r="FO77" s="181"/>
      <c r="FP77" s="181"/>
      <c r="FQ77" s="189"/>
      <c r="FR77" s="181"/>
      <c r="FS77" s="181"/>
      <c r="FT77" s="181"/>
      <c r="FU77" s="189"/>
      <c r="FV77" s="181"/>
      <c r="FW77" s="181"/>
      <c r="FX77" s="181"/>
      <c r="FY77" s="189"/>
      <c r="FZ77" s="181"/>
      <c r="GA77" s="181"/>
      <c r="GB77" s="181"/>
      <c r="GC77" s="189"/>
      <c r="GD77" s="181"/>
      <c r="GE77" s="181"/>
      <c r="GF77" s="181"/>
      <c r="GG77" s="189"/>
      <c r="GH77" s="181"/>
      <c r="GI77" s="181"/>
      <c r="GJ77" s="181"/>
      <c r="GK77" s="189"/>
      <c r="GL77" s="181"/>
      <c r="GM77" s="181"/>
      <c r="GN77" s="181"/>
      <c r="GO77" s="189"/>
      <c r="GP77" s="181"/>
      <c r="GQ77" s="181"/>
      <c r="GR77" s="181"/>
      <c r="GS77" s="189"/>
      <c r="GT77" s="181"/>
      <c r="GU77" s="181"/>
      <c r="GV77" s="181"/>
      <c r="GW77" s="189"/>
      <c r="GX77" s="181"/>
      <c r="GY77" s="181"/>
      <c r="GZ77" s="181"/>
      <c r="HA77" s="189"/>
      <c r="HB77" s="181"/>
      <c r="HC77" s="181"/>
      <c r="HD77" s="181"/>
      <c r="HE77" s="189"/>
      <c r="HF77" s="181"/>
      <c r="HG77" s="181"/>
      <c r="HH77" s="181"/>
      <c r="HI77" s="189"/>
      <c r="HJ77" s="181"/>
      <c r="HK77" s="181"/>
      <c r="HL77" s="181"/>
      <c r="HM77" s="189"/>
      <c r="HN77" s="181"/>
      <c r="HO77" s="181"/>
      <c r="HP77" s="181"/>
      <c r="HQ77" s="189"/>
      <c r="HR77" s="181"/>
      <c r="HS77" s="181"/>
      <c r="HT77" s="181"/>
      <c r="HU77" s="189"/>
      <c r="HV77" s="181"/>
      <c r="HW77" s="181"/>
      <c r="HX77" s="181"/>
      <c r="HY77" s="189"/>
      <c r="HZ77" s="160"/>
      <c r="IA77" s="184"/>
      <c r="IB77" s="184"/>
      <c r="IC77" s="196"/>
      <c r="ID77" s="184"/>
      <c r="IE77" s="184"/>
      <c r="IF77" s="184"/>
      <c r="IG77" s="196"/>
      <c r="IH77" s="184"/>
      <c r="II77" s="184"/>
      <c r="IJ77" s="184"/>
      <c r="IK77" s="196"/>
    </row>
    <row r="78" spans="1:245" s="146" customFormat="1" ht="15.75" customHeight="1">
      <c r="A78" s="190" t="s">
        <v>608</v>
      </c>
      <c r="B78" s="190" t="s">
        <v>1031</v>
      </c>
      <c r="C78" s="190" t="s">
        <v>556</v>
      </c>
      <c r="D78" s="190"/>
      <c r="E78" s="191" t="s">
        <v>557</v>
      </c>
      <c r="F78" s="181"/>
      <c r="G78" s="80">
        <f>G79+G80</f>
        <v>0</v>
      </c>
      <c r="H78" s="80">
        <f>H79+H80</f>
        <v>7435222</v>
      </c>
      <c r="I78" s="80">
        <f>G78+H78</f>
        <v>7435222</v>
      </c>
      <c r="J78" s="104"/>
      <c r="K78" s="184"/>
      <c r="L78" s="184"/>
      <c r="M78" s="196"/>
      <c r="N78" s="184"/>
      <c r="O78" s="184"/>
      <c r="P78" s="184"/>
      <c r="Q78" s="196"/>
      <c r="R78" s="184"/>
      <c r="S78" s="184"/>
      <c r="T78" s="184"/>
      <c r="U78" s="196"/>
      <c r="V78" s="184"/>
      <c r="W78" s="184"/>
      <c r="X78" s="184"/>
      <c r="Y78" s="196"/>
      <c r="Z78" s="184"/>
      <c r="AA78" s="184"/>
      <c r="AB78" s="184"/>
      <c r="AC78" s="196"/>
      <c r="AD78" s="184"/>
      <c r="AE78" s="184"/>
      <c r="AF78" s="184"/>
      <c r="AG78" s="196"/>
      <c r="AH78" s="184"/>
      <c r="AI78" s="184"/>
      <c r="AJ78" s="184"/>
      <c r="AK78" s="196"/>
      <c r="AL78" s="184"/>
      <c r="AM78" s="184"/>
      <c r="AN78" s="184"/>
      <c r="AO78" s="196"/>
      <c r="AP78" s="184"/>
      <c r="AQ78" s="184"/>
      <c r="AR78" s="184"/>
      <c r="AS78" s="196"/>
      <c r="AT78" s="184"/>
      <c r="AU78" s="184"/>
      <c r="AV78" s="184"/>
      <c r="AW78" s="196"/>
      <c r="AX78" s="184"/>
      <c r="AY78" s="184"/>
      <c r="AZ78" s="184"/>
      <c r="BA78" s="196"/>
      <c r="BB78" s="184"/>
      <c r="BC78" s="184"/>
      <c r="BD78" s="184"/>
      <c r="BE78" s="196"/>
      <c r="BF78" s="184"/>
      <c r="BG78" s="184"/>
      <c r="BH78" s="184"/>
      <c r="BI78" s="196"/>
      <c r="BJ78" s="184"/>
      <c r="BK78" s="184"/>
      <c r="BL78" s="184"/>
      <c r="BM78" s="196"/>
      <c r="BN78" s="184"/>
      <c r="BO78" s="184"/>
      <c r="BP78" s="184"/>
      <c r="BQ78" s="196"/>
      <c r="BR78" s="184"/>
      <c r="BS78" s="184"/>
      <c r="BT78" s="184"/>
      <c r="BU78" s="196"/>
      <c r="BV78" s="184"/>
      <c r="BW78" s="184"/>
      <c r="BX78" s="184"/>
      <c r="BY78" s="196"/>
      <c r="BZ78" s="184"/>
      <c r="CA78" s="184"/>
      <c r="CB78" s="184"/>
      <c r="CC78" s="196"/>
      <c r="CD78" s="184"/>
      <c r="CE78" s="184"/>
      <c r="CF78" s="184"/>
      <c r="CG78" s="196"/>
      <c r="CH78" s="184"/>
      <c r="CI78" s="184"/>
      <c r="CJ78" s="184"/>
      <c r="CK78" s="196"/>
      <c r="CL78" s="184"/>
      <c r="CM78" s="184"/>
      <c r="CN78" s="184"/>
      <c r="CO78" s="196"/>
      <c r="CP78" s="184"/>
      <c r="CQ78" s="184"/>
      <c r="CR78" s="184"/>
      <c r="CS78" s="196"/>
      <c r="CT78" s="184"/>
      <c r="CU78" s="184"/>
      <c r="CV78" s="184"/>
      <c r="CW78" s="196"/>
      <c r="CX78" s="184"/>
      <c r="CY78" s="184"/>
      <c r="CZ78" s="184"/>
      <c r="DA78" s="196"/>
      <c r="DB78" s="184"/>
      <c r="DC78" s="184"/>
      <c r="DD78" s="184"/>
      <c r="DE78" s="196"/>
      <c r="DF78" s="184"/>
      <c r="DG78" s="184"/>
      <c r="DH78" s="184"/>
      <c r="DI78" s="196"/>
      <c r="DJ78" s="184"/>
      <c r="DK78" s="184"/>
      <c r="DL78" s="184"/>
      <c r="DM78" s="196"/>
      <c r="DN78" s="184"/>
      <c r="DO78" s="184"/>
      <c r="DP78" s="184"/>
      <c r="DQ78" s="196"/>
      <c r="DR78" s="184"/>
      <c r="DS78" s="184"/>
      <c r="DT78" s="184"/>
      <c r="DU78" s="196"/>
      <c r="DV78" s="184"/>
      <c r="DW78" s="184"/>
      <c r="DX78" s="184"/>
      <c r="DY78" s="196"/>
      <c r="DZ78" s="184"/>
      <c r="EA78" s="184"/>
      <c r="EB78" s="184"/>
      <c r="EC78" s="196"/>
      <c r="ED78" s="184"/>
      <c r="EE78" s="184"/>
      <c r="EF78" s="184"/>
      <c r="EG78" s="196"/>
      <c r="EH78" s="184"/>
      <c r="EI78" s="184"/>
      <c r="EJ78" s="184"/>
      <c r="EK78" s="196"/>
      <c r="EL78" s="184"/>
      <c r="EM78" s="184"/>
      <c r="EN78" s="184"/>
      <c r="EO78" s="196"/>
      <c r="EP78" s="184"/>
      <c r="EQ78" s="184"/>
      <c r="ER78" s="184"/>
      <c r="ES78" s="196"/>
      <c r="ET78" s="184"/>
      <c r="EU78" s="184"/>
      <c r="EV78" s="184"/>
      <c r="EW78" s="196"/>
      <c r="EX78" s="184"/>
      <c r="EY78" s="184"/>
      <c r="EZ78" s="184"/>
      <c r="FA78" s="196"/>
      <c r="FB78" s="184"/>
      <c r="FC78" s="184"/>
      <c r="FD78" s="184"/>
      <c r="FE78" s="196"/>
      <c r="FF78" s="184"/>
      <c r="FG78" s="184"/>
      <c r="FH78" s="184"/>
      <c r="FI78" s="196"/>
      <c r="FJ78" s="184"/>
      <c r="FK78" s="184"/>
      <c r="FL78" s="184"/>
      <c r="FM78" s="196"/>
      <c r="FN78" s="184"/>
      <c r="FO78" s="184"/>
      <c r="FP78" s="184"/>
      <c r="FQ78" s="196"/>
      <c r="FR78" s="184"/>
      <c r="FS78" s="184"/>
      <c r="FT78" s="184"/>
      <c r="FU78" s="196"/>
      <c r="FV78" s="184"/>
      <c r="FW78" s="184"/>
      <c r="FX78" s="184"/>
      <c r="FY78" s="196"/>
      <c r="FZ78" s="184"/>
      <c r="GA78" s="184"/>
      <c r="GB78" s="184"/>
      <c r="GC78" s="196"/>
      <c r="GD78" s="184"/>
      <c r="GE78" s="184"/>
      <c r="GF78" s="184"/>
      <c r="GG78" s="196"/>
      <c r="GH78" s="184"/>
      <c r="GI78" s="184"/>
      <c r="GJ78" s="184"/>
      <c r="GK78" s="196"/>
      <c r="GL78" s="184"/>
      <c r="GM78" s="184"/>
      <c r="GN78" s="184"/>
      <c r="GO78" s="196"/>
      <c r="GP78" s="184"/>
      <c r="GQ78" s="184"/>
      <c r="GR78" s="184"/>
      <c r="GS78" s="196"/>
      <c r="GT78" s="184"/>
      <c r="GU78" s="184"/>
      <c r="GV78" s="184"/>
      <c r="GW78" s="196"/>
      <c r="GX78" s="184"/>
      <c r="GY78" s="184"/>
      <c r="GZ78" s="184"/>
      <c r="HA78" s="196"/>
      <c r="HB78" s="184"/>
      <c r="HC78" s="184"/>
      <c r="HD78" s="184"/>
      <c r="HE78" s="196"/>
      <c r="HF78" s="184"/>
      <c r="HG78" s="184"/>
      <c r="HH78" s="184"/>
      <c r="HI78" s="196"/>
      <c r="HJ78" s="184"/>
      <c r="HK78" s="184"/>
      <c r="HL78" s="184"/>
      <c r="HM78" s="196"/>
      <c r="HN78" s="184"/>
      <c r="HO78" s="184"/>
      <c r="HP78" s="184"/>
      <c r="HQ78" s="196"/>
      <c r="HR78" s="184"/>
      <c r="HS78" s="184"/>
      <c r="HT78" s="184"/>
      <c r="HU78" s="196"/>
      <c r="HV78" s="184"/>
      <c r="HW78" s="184"/>
      <c r="HX78" s="184"/>
      <c r="HY78" s="196"/>
      <c r="HZ78" s="184"/>
      <c r="IA78" s="184"/>
      <c r="IB78" s="184"/>
      <c r="IC78" s="196"/>
      <c r="ID78" s="184"/>
      <c r="IE78" s="184"/>
      <c r="IF78" s="184"/>
      <c r="IG78" s="196"/>
      <c r="IH78" s="184"/>
      <c r="II78" s="184"/>
      <c r="IJ78" s="184"/>
      <c r="IK78" s="196"/>
    </row>
    <row r="79" spans="1:87" s="94" customFormat="1" ht="52.5" customHeight="1">
      <c r="A79" s="181" t="s">
        <v>609</v>
      </c>
      <c r="B79" s="181" t="s">
        <v>1048</v>
      </c>
      <c r="C79" s="181" t="s">
        <v>28</v>
      </c>
      <c r="D79" s="181" t="s">
        <v>442</v>
      </c>
      <c r="E79" s="189" t="s">
        <v>105</v>
      </c>
      <c r="F79" s="361" t="s">
        <v>1194</v>
      </c>
      <c r="G79" s="75"/>
      <c r="H79" s="75">
        <f>1207411+987252+25000</f>
        <v>2219663</v>
      </c>
      <c r="I79" s="75">
        <f t="shared" si="2"/>
        <v>2219663</v>
      </c>
      <c r="J79" s="219"/>
      <c r="K79" s="103"/>
      <c r="N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row>
    <row r="80" spans="1:87" s="94" customFormat="1" ht="52.5" customHeight="1">
      <c r="A80" s="181" t="s">
        <v>610</v>
      </c>
      <c r="B80" s="181" t="s">
        <v>1032</v>
      </c>
      <c r="C80" s="181" t="s">
        <v>70</v>
      </c>
      <c r="D80" s="375" t="s">
        <v>434</v>
      </c>
      <c r="E80" s="189" t="s">
        <v>220</v>
      </c>
      <c r="F80" s="361" t="s">
        <v>1190</v>
      </c>
      <c r="G80" s="75"/>
      <c r="H80" s="75">
        <v>5215559</v>
      </c>
      <c r="I80" s="75">
        <f>G80+H80</f>
        <v>5215559</v>
      </c>
      <c r="J80" s="219"/>
      <c r="K80" s="103"/>
      <c r="N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row>
    <row r="81" spans="1:87" s="94" customFormat="1" ht="52.5" customHeight="1" hidden="1">
      <c r="A81" s="291" t="s">
        <v>611</v>
      </c>
      <c r="B81" s="291" t="s">
        <v>1033</v>
      </c>
      <c r="C81" s="261" t="s">
        <v>70</v>
      </c>
      <c r="D81" s="291" t="s">
        <v>434</v>
      </c>
      <c r="E81" s="214" t="s">
        <v>560</v>
      </c>
      <c r="F81" s="347" t="s">
        <v>1162</v>
      </c>
      <c r="G81" s="269"/>
      <c r="H81" s="269"/>
      <c r="I81" s="269">
        <f t="shared" si="2"/>
        <v>0</v>
      </c>
      <c r="J81" s="224"/>
      <c r="K81" s="103"/>
      <c r="N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row>
    <row r="82" spans="1:87" s="94" customFormat="1" ht="31.5" customHeight="1">
      <c r="A82" s="91"/>
      <c r="B82" s="336" t="s">
        <v>520</v>
      </c>
      <c r="C82" s="88" t="s">
        <v>520</v>
      </c>
      <c r="D82" s="91"/>
      <c r="E82" s="89" t="s">
        <v>509</v>
      </c>
      <c r="F82" s="173"/>
      <c r="G82" s="80">
        <f>G83</f>
        <v>19476532</v>
      </c>
      <c r="H82" s="80">
        <f>H83</f>
        <v>5674027</v>
      </c>
      <c r="I82" s="80">
        <f t="shared" si="2"/>
        <v>25150559</v>
      </c>
      <c r="J82" s="129"/>
      <c r="K82" s="96"/>
      <c r="N82" s="104"/>
      <c r="O82" s="105"/>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row>
    <row r="83" spans="1:87" s="94" customFormat="1" ht="30.75" customHeight="1">
      <c r="A83" s="25" t="s">
        <v>612</v>
      </c>
      <c r="B83" s="25"/>
      <c r="C83" s="25"/>
      <c r="D83" s="25"/>
      <c r="E83" s="195" t="s">
        <v>509</v>
      </c>
      <c r="F83" s="182"/>
      <c r="G83" s="80">
        <f>G84+G86+G91+G104+G106</f>
        <v>19476532</v>
      </c>
      <c r="H83" s="80">
        <f>H84+H86+H91+H104+H106</f>
        <v>5674027</v>
      </c>
      <c r="I83" s="80">
        <f t="shared" si="2"/>
        <v>25150559</v>
      </c>
      <c r="J83" s="129"/>
      <c r="K83" s="96"/>
      <c r="N83" s="104"/>
      <c r="O83" s="105"/>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row>
    <row r="84" spans="1:87" s="94" customFormat="1" ht="15.75" customHeight="1" hidden="1">
      <c r="A84" s="272" t="s">
        <v>613</v>
      </c>
      <c r="B84" s="272" t="s">
        <v>1015</v>
      </c>
      <c r="C84" s="273" t="s">
        <v>537</v>
      </c>
      <c r="D84" s="273"/>
      <c r="E84" s="191" t="s">
        <v>538</v>
      </c>
      <c r="F84" s="182"/>
      <c r="G84" s="80">
        <f>G85</f>
        <v>0</v>
      </c>
      <c r="H84" s="80">
        <f>H85</f>
        <v>0</v>
      </c>
      <c r="I84" s="80">
        <f t="shared" si="2"/>
        <v>0</v>
      </c>
      <c r="J84" s="129"/>
      <c r="K84" s="96"/>
      <c r="N84" s="104"/>
      <c r="O84" s="105"/>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row>
    <row r="85" spans="1:87" s="94" customFormat="1" ht="47.25" customHeight="1" hidden="1">
      <c r="A85" s="244" t="s">
        <v>614</v>
      </c>
      <c r="B85" s="244" t="s">
        <v>466</v>
      </c>
      <c r="C85" s="244" t="s">
        <v>164</v>
      </c>
      <c r="D85" s="244" t="s">
        <v>431</v>
      </c>
      <c r="E85" s="301" t="s">
        <v>615</v>
      </c>
      <c r="F85" s="169" t="s">
        <v>516</v>
      </c>
      <c r="G85" s="298"/>
      <c r="H85" s="298"/>
      <c r="I85" s="298">
        <f t="shared" si="2"/>
        <v>0</v>
      </c>
      <c r="J85" s="220"/>
      <c r="K85" s="96"/>
      <c r="N85" s="104"/>
      <c r="O85" s="105"/>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row>
    <row r="86" spans="1:87" s="94" customFormat="1" ht="15.75" customHeight="1">
      <c r="A86" s="272" t="s">
        <v>616</v>
      </c>
      <c r="B86" s="272" t="s">
        <v>1042</v>
      </c>
      <c r="C86" s="272" t="s">
        <v>594</v>
      </c>
      <c r="D86" s="272"/>
      <c r="E86" s="191" t="s">
        <v>595</v>
      </c>
      <c r="F86" s="182"/>
      <c r="G86" s="328">
        <f>G87+G89</f>
        <v>3716232</v>
      </c>
      <c r="H86" s="328">
        <f>H87+H89</f>
        <v>0</v>
      </c>
      <c r="I86" s="328">
        <f>I87+I89</f>
        <v>3716232</v>
      </c>
      <c r="J86" s="225"/>
      <c r="K86" s="96"/>
      <c r="N86" s="104"/>
      <c r="O86" s="105"/>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row>
    <row r="87" spans="1:87" s="94" customFormat="1" ht="31.5" customHeight="1">
      <c r="A87" s="244" t="s">
        <v>617</v>
      </c>
      <c r="B87" s="244" t="s">
        <v>1049</v>
      </c>
      <c r="C87" s="244" t="s">
        <v>80</v>
      </c>
      <c r="D87" s="244" t="s">
        <v>439</v>
      </c>
      <c r="E87" s="252" t="s">
        <v>618</v>
      </c>
      <c r="F87" s="214"/>
      <c r="G87" s="317">
        <f>G88</f>
        <v>1640155</v>
      </c>
      <c r="H87" s="317"/>
      <c r="I87" s="317">
        <f>G87+H87</f>
        <v>1640155</v>
      </c>
      <c r="J87" s="225"/>
      <c r="K87" s="96"/>
      <c r="N87" s="104"/>
      <c r="O87" s="105"/>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row>
    <row r="88" spans="1:87" s="94" customFormat="1" ht="49.5" customHeight="1">
      <c r="A88" s="242" t="s">
        <v>1198</v>
      </c>
      <c r="B88" s="242" t="s">
        <v>1199</v>
      </c>
      <c r="C88" s="242"/>
      <c r="D88" s="242" t="s">
        <v>439</v>
      </c>
      <c r="E88" s="370" t="s">
        <v>1200</v>
      </c>
      <c r="F88" s="347" t="s">
        <v>1163</v>
      </c>
      <c r="G88" s="317">
        <f>1690555-50400</f>
        <v>1640155</v>
      </c>
      <c r="H88" s="317"/>
      <c r="I88" s="317">
        <f t="shared" si="2"/>
        <v>1640155</v>
      </c>
      <c r="J88" s="225"/>
      <c r="K88" s="96"/>
      <c r="N88" s="104"/>
      <c r="O88" s="105"/>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row>
    <row r="89" spans="1:87" s="94" customFormat="1" ht="31.5" customHeight="1">
      <c r="A89" s="291" t="s">
        <v>1126</v>
      </c>
      <c r="B89" s="291" t="s">
        <v>1086</v>
      </c>
      <c r="C89" s="261"/>
      <c r="D89" s="291"/>
      <c r="E89" s="252" t="s">
        <v>92</v>
      </c>
      <c r="F89" s="347" t="s">
        <v>1164</v>
      </c>
      <c r="G89" s="317">
        <f>2025677+50400</f>
        <v>2076077</v>
      </c>
      <c r="H89" s="317">
        <f>H90</f>
        <v>0</v>
      </c>
      <c r="I89" s="317">
        <f t="shared" si="2"/>
        <v>2076077</v>
      </c>
      <c r="J89" s="225"/>
      <c r="K89" s="96"/>
      <c r="N89" s="104"/>
      <c r="O89" s="105"/>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row>
    <row r="90" spans="1:87" s="94" customFormat="1" ht="31.5" customHeight="1" hidden="1">
      <c r="A90" s="291" t="s">
        <v>1125</v>
      </c>
      <c r="B90" s="291" t="s">
        <v>1087</v>
      </c>
      <c r="C90" s="261" t="s">
        <v>85</v>
      </c>
      <c r="D90" s="291"/>
      <c r="E90" s="193" t="s">
        <v>708</v>
      </c>
      <c r="F90" s="347" t="s">
        <v>1164</v>
      </c>
      <c r="G90" s="75">
        <v>2025677</v>
      </c>
      <c r="H90" s="75"/>
      <c r="I90" s="75">
        <f t="shared" si="2"/>
        <v>2025677</v>
      </c>
      <c r="J90" s="225"/>
      <c r="K90" s="96"/>
      <c r="N90" s="104"/>
      <c r="O90" s="105"/>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row>
    <row r="91" spans="1:87" s="94" customFormat="1" ht="15.75" customHeight="1">
      <c r="A91" s="272" t="s">
        <v>619</v>
      </c>
      <c r="B91" s="272" t="s">
        <v>1050</v>
      </c>
      <c r="C91" s="244" t="s">
        <v>620</v>
      </c>
      <c r="D91" s="244"/>
      <c r="E91" s="191" t="s">
        <v>621</v>
      </c>
      <c r="F91" s="182"/>
      <c r="G91" s="328">
        <f>G92+G95+G101+G102+G98</f>
        <v>7474528</v>
      </c>
      <c r="H91" s="328">
        <f>H92+H95+H101+H102+H98</f>
        <v>3598055</v>
      </c>
      <c r="I91" s="328">
        <f>I92+I95+I101+I102+I98</f>
        <v>11072583</v>
      </c>
      <c r="J91" s="225"/>
      <c r="K91" s="96"/>
      <c r="N91" s="104"/>
      <c r="O91" s="105"/>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row>
    <row r="92" spans="1:87" s="94" customFormat="1" ht="15.75" customHeight="1">
      <c r="A92" s="244" t="s">
        <v>622</v>
      </c>
      <c r="B92" s="244" t="s">
        <v>1051</v>
      </c>
      <c r="C92" s="244"/>
      <c r="D92" s="244"/>
      <c r="E92" s="252" t="s">
        <v>623</v>
      </c>
      <c r="F92" s="182"/>
      <c r="G92" s="317">
        <f>G93+G94</f>
        <v>1011825</v>
      </c>
      <c r="H92" s="317">
        <f>H93+H94</f>
        <v>0</v>
      </c>
      <c r="I92" s="317">
        <f>G92+H92</f>
        <v>1011825</v>
      </c>
      <c r="J92" s="225"/>
      <c r="K92" s="96"/>
      <c r="N92" s="104"/>
      <c r="O92" s="105"/>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row>
    <row r="93" spans="1:87" s="94" customFormat="1" ht="47.25" customHeight="1">
      <c r="A93" s="244" t="s">
        <v>624</v>
      </c>
      <c r="B93" s="244" t="s">
        <v>1052</v>
      </c>
      <c r="C93" s="244">
        <v>130102</v>
      </c>
      <c r="D93" s="244" t="s">
        <v>440</v>
      </c>
      <c r="E93" s="370" t="s">
        <v>625</v>
      </c>
      <c r="F93" s="171" t="s">
        <v>516</v>
      </c>
      <c r="G93" s="75">
        <f>633667+138808</f>
        <v>772475</v>
      </c>
      <c r="H93" s="75"/>
      <c r="I93" s="75">
        <f t="shared" si="2"/>
        <v>772475</v>
      </c>
      <c r="J93" s="219"/>
      <c r="K93" s="96"/>
      <c r="N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row>
    <row r="94" spans="1:87" s="94" customFormat="1" ht="47.25" customHeight="1">
      <c r="A94" s="244" t="s">
        <v>626</v>
      </c>
      <c r="B94" s="244" t="s">
        <v>1053</v>
      </c>
      <c r="C94" s="244" t="s">
        <v>237</v>
      </c>
      <c r="D94" s="244" t="s">
        <v>440</v>
      </c>
      <c r="E94" s="370" t="s">
        <v>1128</v>
      </c>
      <c r="F94" s="171" t="s">
        <v>516</v>
      </c>
      <c r="G94" s="75">
        <f>207319+32031</f>
        <v>239350</v>
      </c>
      <c r="H94" s="75"/>
      <c r="I94" s="75">
        <f t="shared" si="2"/>
        <v>239350</v>
      </c>
      <c r="J94" s="219"/>
      <c r="K94" s="96"/>
      <c r="N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row>
    <row r="95" spans="1:87" s="94" customFormat="1" ht="15.75" customHeight="1">
      <c r="A95" s="244" t="s">
        <v>1142</v>
      </c>
      <c r="B95" s="244" t="s">
        <v>1147</v>
      </c>
      <c r="C95" s="244"/>
      <c r="D95" s="244"/>
      <c r="E95" s="252" t="s">
        <v>1144</v>
      </c>
      <c r="F95" s="182"/>
      <c r="G95" s="75">
        <f>G96+G97</f>
        <v>5418087</v>
      </c>
      <c r="H95" s="75">
        <f>H96+H97</f>
        <v>3088301</v>
      </c>
      <c r="I95" s="75">
        <f t="shared" si="2"/>
        <v>8506388</v>
      </c>
      <c r="J95" s="219"/>
      <c r="K95" s="96"/>
      <c r="N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row>
    <row r="96" spans="1:87" s="94" customFormat="1" ht="48.75" customHeight="1">
      <c r="A96" s="242" t="s">
        <v>1143</v>
      </c>
      <c r="B96" s="242" t="s">
        <v>1146</v>
      </c>
      <c r="C96" s="242">
        <v>130107</v>
      </c>
      <c r="D96" s="242" t="s">
        <v>440</v>
      </c>
      <c r="E96" s="360" t="s">
        <v>627</v>
      </c>
      <c r="F96" s="171" t="s">
        <v>516</v>
      </c>
      <c r="G96" s="75">
        <f>3583953+1687793</f>
        <v>5271746</v>
      </c>
      <c r="H96" s="75">
        <f>1500000-217736+1473902+214641</f>
        <v>2970807</v>
      </c>
      <c r="I96" s="75">
        <f t="shared" si="2"/>
        <v>8242553</v>
      </c>
      <c r="J96" s="250"/>
      <c r="K96" s="103"/>
      <c r="M96" s="105"/>
      <c r="N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row>
    <row r="97" spans="1:87" s="94" customFormat="1" ht="45" customHeight="1">
      <c r="A97" s="242" t="s">
        <v>1143</v>
      </c>
      <c r="B97" s="242" t="s">
        <v>1146</v>
      </c>
      <c r="C97" s="242">
        <v>130107</v>
      </c>
      <c r="D97" s="242" t="s">
        <v>440</v>
      </c>
      <c r="E97" s="360" t="s">
        <v>627</v>
      </c>
      <c r="F97" s="90" t="s">
        <v>1166</v>
      </c>
      <c r="G97" s="78">
        <f>34170+70665+39000-29500+20006+12000</f>
        <v>146341</v>
      </c>
      <c r="H97" s="78">
        <f>22000+34000-5000+58500+7994</f>
        <v>117494</v>
      </c>
      <c r="I97" s="75">
        <f t="shared" si="2"/>
        <v>263835</v>
      </c>
      <c r="J97" s="251"/>
      <c r="K97" s="103"/>
      <c r="N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row>
    <row r="98" spans="1:87" s="94" customFormat="1" ht="45" customHeight="1">
      <c r="A98" s="242" t="s">
        <v>1145</v>
      </c>
      <c r="B98" s="242" t="s">
        <v>1148</v>
      </c>
      <c r="C98" s="242"/>
      <c r="D98" s="244"/>
      <c r="E98" s="301" t="s">
        <v>1149</v>
      </c>
      <c r="F98" s="198"/>
      <c r="G98" s="75">
        <f>G99+G100</f>
        <v>260667</v>
      </c>
      <c r="H98" s="75">
        <f>H99+H100</f>
        <v>415654</v>
      </c>
      <c r="I98" s="75">
        <f>G98+H98</f>
        <v>676321</v>
      </c>
      <c r="J98" s="251"/>
      <c r="K98" s="103"/>
      <c r="N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row>
    <row r="99" spans="1:87" s="94" customFormat="1" ht="47.25" customHeight="1">
      <c r="A99" s="244" t="s">
        <v>1150</v>
      </c>
      <c r="B99" s="244" t="s">
        <v>1151</v>
      </c>
      <c r="C99" s="244">
        <v>130110</v>
      </c>
      <c r="D99" s="244" t="s">
        <v>440</v>
      </c>
      <c r="E99" s="370" t="s">
        <v>628</v>
      </c>
      <c r="F99" s="171" t="s">
        <v>516</v>
      </c>
      <c r="G99" s="75">
        <f>206443+54224</f>
        <v>260667</v>
      </c>
      <c r="H99" s="75">
        <v>397654</v>
      </c>
      <c r="I99" s="75">
        <f t="shared" si="2"/>
        <v>658321</v>
      </c>
      <c r="J99" s="250"/>
      <c r="K99" s="96"/>
      <c r="N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row>
    <row r="100" spans="1:87" s="94" customFormat="1" ht="47.25" customHeight="1">
      <c r="A100" s="244" t="s">
        <v>1150</v>
      </c>
      <c r="B100" s="244" t="s">
        <v>1151</v>
      </c>
      <c r="C100" s="244">
        <v>130110</v>
      </c>
      <c r="D100" s="244" t="s">
        <v>440</v>
      </c>
      <c r="E100" s="370" t="s">
        <v>628</v>
      </c>
      <c r="F100" s="90" t="s">
        <v>1166</v>
      </c>
      <c r="G100" s="75"/>
      <c r="H100" s="75">
        <v>18000</v>
      </c>
      <c r="I100" s="75">
        <f t="shared" si="2"/>
        <v>18000</v>
      </c>
      <c r="J100" s="250"/>
      <c r="K100" s="96"/>
      <c r="N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row>
    <row r="101" spans="1:15" s="94" customFormat="1" ht="47.25" customHeight="1" hidden="1">
      <c r="A101" s="244" t="s">
        <v>629</v>
      </c>
      <c r="B101" s="244" t="s">
        <v>1054</v>
      </c>
      <c r="C101" s="244" t="s">
        <v>517</v>
      </c>
      <c r="D101" s="244" t="s">
        <v>440</v>
      </c>
      <c r="E101" s="301" t="s">
        <v>1129</v>
      </c>
      <c r="F101" s="169" t="s">
        <v>516</v>
      </c>
      <c r="G101" s="298"/>
      <c r="H101" s="298"/>
      <c r="I101" s="298">
        <f t="shared" si="2"/>
        <v>0</v>
      </c>
      <c r="J101" s="220"/>
      <c r="K101" s="96"/>
      <c r="N101" s="104"/>
      <c r="O101" s="105"/>
    </row>
    <row r="102" spans="1:15" s="94" customFormat="1" ht="15.75" customHeight="1">
      <c r="A102" s="244" t="s">
        <v>1152</v>
      </c>
      <c r="B102" s="244" t="s">
        <v>1153</v>
      </c>
      <c r="C102" s="244"/>
      <c r="D102" s="244"/>
      <c r="E102" s="252" t="s">
        <v>91</v>
      </c>
      <c r="F102" s="182"/>
      <c r="G102" s="298">
        <f>G103</f>
        <v>783949</v>
      </c>
      <c r="H102" s="298">
        <f>H103</f>
        <v>94100</v>
      </c>
      <c r="I102" s="298">
        <f t="shared" si="2"/>
        <v>878049</v>
      </c>
      <c r="J102" s="220"/>
      <c r="K102" s="96"/>
      <c r="N102" s="104"/>
      <c r="O102" s="105"/>
    </row>
    <row r="103" spans="1:15" s="94" customFormat="1" ht="47.25" customHeight="1">
      <c r="A103" s="244" t="s">
        <v>1154</v>
      </c>
      <c r="B103" s="244" t="s">
        <v>1155</v>
      </c>
      <c r="C103" s="244" t="s">
        <v>236</v>
      </c>
      <c r="D103" s="244" t="s">
        <v>440</v>
      </c>
      <c r="E103" s="370" t="s">
        <v>630</v>
      </c>
      <c r="F103" s="182" t="s">
        <v>516</v>
      </c>
      <c r="G103" s="298">
        <v>783949</v>
      </c>
      <c r="H103" s="298">
        <v>94100</v>
      </c>
      <c r="I103" s="298">
        <f t="shared" si="2"/>
        <v>878049</v>
      </c>
      <c r="J103" s="220"/>
      <c r="K103" s="96"/>
      <c r="N103" s="104"/>
      <c r="O103" s="105"/>
    </row>
    <row r="104" spans="1:15" s="94" customFormat="1" ht="15.75" customHeight="1">
      <c r="A104" s="272" t="s">
        <v>631</v>
      </c>
      <c r="B104" s="272" t="s">
        <v>1020</v>
      </c>
      <c r="C104" s="272" t="s">
        <v>550</v>
      </c>
      <c r="D104" s="272"/>
      <c r="E104" s="191" t="s">
        <v>551</v>
      </c>
      <c r="F104" s="182"/>
      <c r="G104" s="300">
        <f>G105</f>
        <v>0</v>
      </c>
      <c r="H104" s="300">
        <f>H105</f>
        <v>1735883</v>
      </c>
      <c r="I104" s="300">
        <f t="shared" si="2"/>
        <v>1735883</v>
      </c>
      <c r="J104" s="220"/>
      <c r="K104" s="96"/>
      <c r="N104" s="104"/>
      <c r="O104" s="105"/>
    </row>
    <row r="105" spans="1:15" s="94" customFormat="1" ht="49.5" customHeight="1">
      <c r="A105" s="244" t="s">
        <v>632</v>
      </c>
      <c r="B105" s="244" t="s">
        <v>1021</v>
      </c>
      <c r="C105" s="244" t="s">
        <v>83</v>
      </c>
      <c r="D105" s="244" t="s">
        <v>433</v>
      </c>
      <c r="E105" s="252" t="s">
        <v>553</v>
      </c>
      <c r="F105" s="172" t="s">
        <v>516</v>
      </c>
      <c r="G105" s="298"/>
      <c r="H105" s="298">
        <f>1950524-214641</f>
        <v>1735883</v>
      </c>
      <c r="I105" s="298">
        <f t="shared" si="2"/>
        <v>1735883</v>
      </c>
      <c r="J105" s="220"/>
      <c r="K105" s="96"/>
      <c r="N105" s="104"/>
      <c r="O105" s="105"/>
    </row>
    <row r="106" spans="1:15" s="94" customFormat="1" ht="15.75" customHeight="1">
      <c r="A106" s="272" t="s">
        <v>633</v>
      </c>
      <c r="B106" s="272" t="s">
        <v>1025</v>
      </c>
      <c r="C106" s="272" t="s">
        <v>562</v>
      </c>
      <c r="D106" s="272"/>
      <c r="E106" s="191" t="s">
        <v>563</v>
      </c>
      <c r="F106" s="183"/>
      <c r="G106" s="300">
        <f>G107</f>
        <v>8285772</v>
      </c>
      <c r="H106" s="300">
        <f>H107</f>
        <v>340089</v>
      </c>
      <c r="I106" s="300">
        <f t="shared" si="2"/>
        <v>8625861</v>
      </c>
      <c r="J106" s="220"/>
      <c r="K106" s="96"/>
      <c r="N106" s="104"/>
      <c r="O106" s="105"/>
    </row>
    <row r="107" spans="1:15" s="94" customFormat="1" ht="50.25" customHeight="1">
      <c r="A107" s="244" t="s">
        <v>636</v>
      </c>
      <c r="B107" s="244" t="s">
        <v>1055</v>
      </c>
      <c r="C107" s="244"/>
      <c r="D107" s="244"/>
      <c r="E107" s="252" t="s">
        <v>637</v>
      </c>
      <c r="F107" s="361"/>
      <c r="G107" s="298">
        <f>G108+G109</f>
        <v>8285772</v>
      </c>
      <c r="H107" s="298">
        <f>H108+H109</f>
        <v>340089</v>
      </c>
      <c r="I107" s="298">
        <f t="shared" si="2"/>
        <v>8625861</v>
      </c>
      <c r="J107" s="220"/>
      <c r="K107" s="96"/>
      <c r="N107" s="104"/>
      <c r="O107" s="105"/>
    </row>
    <row r="108" spans="1:15" s="94" customFormat="1" ht="53.25" customHeight="1">
      <c r="A108" s="244" t="s">
        <v>635</v>
      </c>
      <c r="B108" s="244" t="s">
        <v>1056</v>
      </c>
      <c r="C108" s="91" t="s">
        <v>23</v>
      </c>
      <c r="D108" s="91" t="s">
        <v>443</v>
      </c>
      <c r="E108" s="370" t="s">
        <v>24</v>
      </c>
      <c r="F108" s="359" t="s">
        <v>499</v>
      </c>
      <c r="G108" s="298">
        <f>4000000+8915228-4779456</f>
        <v>8135772</v>
      </c>
      <c r="H108" s="298">
        <f>264228+75861</f>
        <v>340089</v>
      </c>
      <c r="I108" s="298">
        <f t="shared" si="2"/>
        <v>8475861</v>
      </c>
      <c r="J108" s="220"/>
      <c r="K108" s="96"/>
      <c r="N108" s="104"/>
      <c r="O108" s="105"/>
    </row>
    <row r="109" spans="1:15" s="94" customFormat="1" ht="61.5" customHeight="1">
      <c r="A109" s="244" t="s">
        <v>634</v>
      </c>
      <c r="B109" s="244" t="s">
        <v>1057</v>
      </c>
      <c r="C109" s="244" t="s">
        <v>299</v>
      </c>
      <c r="D109" s="244" t="s">
        <v>443</v>
      </c>
      <c r="E109" s="370" t="s">
        <v>300</v>
      </c>
      <c r="F109" s="359" t="s">
        <v>499</v>
      </c>
      <c r="G109" s="298">
        <f>130000+20000</f>
        <v>150000</v>
      </c>
      <c r="H109" s="298"/>
      <c r="I109" s="298">
        <f t="shared" si="2"/>
        <v>150000</v>
      </c>
      <c r="J109" s="220"/>
      <c r="K109" s="96"/>
      <c r="N109" s="104"/>
      <c r="O109" s="105"/>
    </row>
    <row r="110" spans="1:14" s="94" customFormat="1" ht="46.5" customHeight="1">
      <c r="A110" s="88"/>
      <c r="B110" s="88" t="s">
        <v>141</v>
      </c>
      <c r="C110" s="88" t="s">
        <v>141</v>
      </c>
      <c r="D110" s="88"/>
      <c r="E110" s="89" t="s">
        <v>510</v>
      </c>
      <c r="F110" s="150"/>
      <c r="G110" s="80">
        <f>G111</f>
        <v>107074181</v>
      </c>
      <c r="H110" s="80">
        <f>H111</f>
        <v>136186398</v>
      </c>
      <c r="I110" s="80">
        <f t="shared" si="2"/>
        <v>243260579</v>
      </c>
      <c r="J110" s="129"/>
      <c r="K110" s="103"/>
      <c r="N110" s="143"/>
    </row>
    <row r="111" spans="1:14" s="94" customFormat="1" ht="39" customHeight="1">
      <c r="A111" s="25" t="s">
        <v>638</v>
      </c>
      <c r="B111" s="25"/>
      <c r="C111" s="25"/>
      <c r="D111" s="25"/>
      <c r="E111" s="195" t="s">
        <v>639</v>
      </c>
      <c r="F111" s="180"/>
      <c r="G111" s="80">
        <f>G112+G114+G136</f>
        <v>107074181</v>
      </c>
      <c r="H111" s="80">
        <f>H112+H114+H136</f>
        <v>136186398</v>
      </c>
      <c r="I111" s="80">
        <f t="shared" si="2"/>
        <v>243260579</v>
      </c>
      <c r="J111" s="129"/>
      <c r="K111" s="103"/>
      <c r="N111" s="143"/>
    </row>
    <row r="112" spans="1:14" s="94" customFormat="1" ht="15.75" customHeight="1">
      <c r="A112" s="272" t="s">
        <v>640</v>
      </c>
      <c r="B112" s="272" t="s">
        <v>1015</v>
      </c>
      <c r="C112" s="273" t="s">
        <v>537</v>
      </c>
      <c r="D112" s="273"/>
      <c r="E112" s="337" t="s">
        <v>538</v>
      </c>
      <c r="F112" s="180"/>
      <c r="G112" s="80">
        <f>G113</f>
        <v>0</v>
      </c>
      <c r="H112" s="80">
        <f>H113</f>
        <v>3275458</v>
      </c>
      <c r="I112" s="80">
        <f t="shared" si="2"/>
        <v>3275458</v>
      </c>
      <c r="J112" s="129"/>
      <c r="K112" s="103"/>
      <c r="N112" s="143"/>
    </row>
    <row r="113" spans="1:14" s="94" customFormat="1" ht="47.25" customHeight="1">
      <c r="A113" s="244" t="s">
        <v>641</v>
      </c>
      <c r="B113" s="244" t="s">
        <v>466</v>
      </c>
      <c r="C113" s="244" t="s">
        <v>164</v>
      </c>
      <c r="D113" s="244" t="s">
        <v>431</v>
      </c>
      <c r="E113" s="301" t="s">
        <v>642</v>
      </c>
      <c r="F113" s="163" t="s">
        <v>503</v>
      </c>
      <c r="G113" s="75"/>
      <c r="H113" s="75">
        <f>2595187-167863+848134</f>
        <v>3275458</v>
      </c>
      <c r="I113" s="75">
        <f t="shared" si="2"/>
        <v>3275458</v>
      </c>
      <c r="J113" s="129"/>
      <c r="K113" s="103"/>
      <c r="N113" s="143"/>
    </row>
    <row r="114" spans="1:14" s="94" customFormat="1" ht="15.75" customHeight="1">
      <c r="A114" s="272" t="s">
        <v>643</v>
      </c>
      <c r="B114" s="272" t="s">
        <v>1058</v>
      </c>
      <c r="C114" s="272" t="s">
        <v>644</v>
      </c>
      <c r="D114" s="272"/>
      <c r="E114" s="337" t="s">
        <v>645</v>
      </c>
      <c r="F114" s="180"/>
      <c r="G114" s="318">
        <f>G115+G116+G118+G119+G121+G122+G123+G124+G125+G126+G127+G129+G130+G131+G133+G128+G117+G120</f>
        <v>107074181</v>
      </c>
      <c r="H114" s="318">
        <f>H115+H116+H118+H119+H121+H122+H123+H124+H125+H126+H127+H129+H130+H131+H133+H128+H117+H120</f>
        <v>106301387</v>
      </c>
      <c r="I114" s="318">
        <f>I115+I116+I118+I119+I121+I122+I123+I124+I125+I126+I127+I129+I130+I131+I133+I128+I117+I120</f>
        <v>213375568</v>
      </c>
      <c r="J114" s="129"/>
      <c r="K114" s="103"/>
      <c r="N114" s="143"/>
    </row>
    <row r="115" spans="1:14" s="94" customFormat="1" ht="52.5" customHeight="1">
      <c r="A115" s="242" t="s">
        <v>646</v>
      </c>
      <c r="B115" s="242" t="s">
        <v>1059</v>
      </c>
      <c r="C115" s="242" t="s">
        <v>71</v>
      </c>
      <c r="D115" s="242" t="s">
        <v>444</v>
      </c>
      <c r="E115" s="253" t="s">
        <v>647</v>
      </c>
      <c r="F115" s="214" t="s">
        <v>503</v>
      </c>
      <c r="G115" s="75">
        <f>44294752+7316360</f>
        <v>51611112</v>
      </c>
      <c r="H115" s="75">
        <f>15900061+473299+29716623-1051235+20000000+171256-3217052+3746047</f>
        <v>65738999</v>
      </c>
      <c r="I115" s="75">
        <f t="shared" si="2"/>
        <v>117350111</v>
      </c>
      <c r="J115" s="219"/>
      <c r="K115" s="103"/>
      <c r="L115" s="105"/>
      <c r="M115" s="105"/>
      <c r="N115" s="143"/>
    </row>
    <row r="116" spans="1:14" s="94" customFormat="1" ht="52.5" customHeight="1">
      <c r="A116" s="242" t="s">
        <v>646</v>
      </c>
      <c r="B116" s="242" t="s">
        <v>1059</v>
      </c>
      <c r="C116" s="242" t="s">
        <v>71</v>
      </c>
      <c r="D116" s="242" t="s">
        <v>444</v>
      </c>
      <c r="E116" s="253" t="s">
        <v>647</v>
      </c>
      <c r="F116" s="347" t="s">
        <v>1165</v>
      </c>
      <c r="G116" s="75">
        <v>1013362</v>
      </c>
      <c r="H116" s="75"/>
      <c r="I116" s="75">
        <f t="shared" si="2"/>
        <v>1013362</v>
      </c>
      <c r="J116" s="219"/>
      <c r="K116" s="103"/>
      <c r="L116" s="105"/>
      <c r="M116" s="105"/>
      <c r="N116" s="143"/>
    </row>
    <row r="117" spans="1:14" s="94" customFormat="1" ht="52.5" customHeight="1">
      <c r="A117" s="242" t="s">
        <v>646</v>
      </c>
      <c r="B117" s="242" t="s">
        <v>1059</v>
      </c>
      <c r="C117" s="242" t="s">
        <v>71</v>
      </c>
      <c r="D117" s="242" t="s">
        <v>444</v>
      </c>
      <c r="E117" s="253" t="s">
        <v>647</v>
      </c>
      <c r="F117" s="352" t="s">
        <v>1181</v>
      </c>
      <c r="G117" s="75"/>
      <c r="H117" s="75">
        <f>2390840+12915470-7684210</f>
        <v>7622100</v>
      </c>
      <c r="I117" s="75">
        <f t="shared" si="2"/>
        <v>7622100</v>
      </c>
      <c r="J117" s="219"/>
      <c r="K117" s="103"/>
      <c r="L117" s="105"/>
      <c r="M117" s="105"/>
      <c r="N117" s="143"/>
    </row>
    <row r="118" spans="1:16" s="94" customFormat="1" ht="48" customHeight="1">
      <c r="A118" s="242" t="s">
        <v>646</v>
      </c>
      <c r="B118" s="242" t="s">
        <v>1059</v>
      </c>
      <c r="C118" s="242" t="s">
        <v>71</v>
      </c>
      <c r="D118" s="242" t="s">
        <v>444</v>
      </c>
      <c r="E118" s="253" t="s">
        <v>647</v>
      </c>
      <c r="F118" s="90" t="s">
        <v>1166</v>
      </c>
      <c r="G118" s="319">
        <f>113610+110000+20600-9800+50000+20000+49000</f>
        <v>353410</v>
      </c>
      <c r="H118" s="319">
        <f>54040+20000+50000+83750+124800+118315+30000</f>
        <v>480905</v>
      </c>
      <c r="I118" s="319">
        <f t="shared" si="2"/>
        <v>834315</v>
      </c>
      <c r="J118" s="226"/>
      <c r="K118" s="106"/>
      <c r="L118" s="107"/>
      <c r="M118" s="107"/>
      <c r="N118" s="108"/>
      <c r="O118" s="107"/>
      <c r="P118" s="107"/>
    </row>
    <row r="119" spans="1:14" s="94" customFormat="1" ht="50.25" customHeight="1">
      <c r="A119" s="242" t="s">
        <v>648</v>
      </c>
      <c r="B119" s="242" t="s">
        <v>1060</v>
      </c>
      <c r="C119" s="242" t="s">
        <v>110</v>
      </c>
      <c r="D119" s="242" t="s">
        <v>445</v>
      </c>
      <c r="E119" s="253" t="s">
        <v>649</v>
      </c>
      <c r="F119" s="214" t="s">
        <v>503</v>
      </c>
      <c r="G119" s="75">
        <v>3893292</v>
      </c>
      <c r="H119" s="75">
        <f>453210+16895942+250383</f>
        <v>17599535</v>
      </c>
      <c r="I119" s="75">
        <f aca="true" t="shared" si="3" ref="I119:I167">G119+H119</f>
        <v>21492827</v>
      </c>
      <c r="J119" s="219"/>
      <c r="K119" s="103"/>
      <c r="M119" s="105"/>
      <c r="N119" s="143"/>
    </row>
    <row r="120" spans="1:14" s="94" customFormat="1" ht="50.25" customHeight="1" hidden="1">
      <c r="A120" s="242" t="s">
        <v>648</v>
      </c>
      <c r="B120" s="242" t="s">
        <v>1060</v>
      </c>
      <c r="C120" s="242" t="s">
        <v>110</v>
      </c>
      <c r="D120" s="242" t="s">
        <v>445</v>
      </c>
      <c r="E120" s="253" t="s">
        <v>649</v>
      </c>
      <c r="F120" s="352" t="s">
        <v>1181</v>
      </c>
      <c r="G120" s="75"/>
      <c r="H120" s="75">
        <f>2315790-2315790</f>
        <v>0</v>
      </c>
      <c r="I120" s="75">
        <f t="shared" si="3"/>
        <v>0</v>
      </c>
      <c r="J120" s="219"/>
      <c r="K120" s="103"/>
      <c r="M120" s="105"/>
      <c r="N120" s="143"/>
    </row>
    <row r="121" spans="1:14" s="94" customFormat="1" ht="50.25" customHeight="1">
      <c r="A121" s="242" t="s">
        <v>648</v>
      </c>
      <c r="B121" s="242" t="s">
        <v>1060</v>
      </c>
      <c r="C121" s="242" t="s">
        <v>110</v>
      </c>
      <c r="D121" s="242" t="s">
        <v>445</v>
      </c>
      <c r="E121" s="253" t="s">
        <v>649</v>
      </c>
      <c r="F121" s="90" t="s">
        <v>1166</v>
      </c>
      <c r="G121" s="315">
        <v>100000</v>
      </c>
      <c r="H121" s="315">
        <f>25000+20000</f>
        <v>45000</v>
      </c>
      <c r="I121" s="315">
        <f t="shared" si="3"/>
        <v>145000</v>
      </c>
      <c r="J121" s="221"/>
      <c r="K121" s="103"/>
      <c r="M121" s="105"/>
      <c r="N121" s="143"/>
    </row>
    <row r="122" spans="1:14" s="94" customFormat="1" ht="52.5" customHeight="1">
      <c r="A122" s="242" t="s">
        <v>650</v>
      </c>
      <c r="B122" s="242" t="s">
        <v>1061</v>
      </c>
      <c r="C122" s="242" t="s">
        <v>72</v>
      </c>
      <c r="D122" s="419" t="s">
        <v>446</v>
      </c>
      <c r="E122" s="421" t="s">
        <v>651</v>
      </c>
      <c r="F122" s="214" t="s">
        <v>503</v>
      </c>
      <c r="G122" s="75">
        <v>634063</v>
      </c>
      <c r="H122" s="75"/>
      <c r="I122" s="75">
        <f t="shared" si="3"/>
        <v>634063</v>
      </c>
      <c r="J122" s="219"/>
      <c r="K122" s="103"/>
      <c r="N122" s="143"/>
    </row>
    <row r="123" spans="1:14" s="94" customFormat="1" ht="54" customHeight="1" hidden="1">
      <c r="A123" s="242" t="s">
        <v>650</v>
      </c>
      <c r="B123" s="242" t="s">
        <v>1061</v>
      </c>
      <c r="C123" s="242" t="s">
        <v>72</v>
      </c>
      <c r="D123" s="420"/>
      <c r="E123" s="422"/>
      <c r="F123" s="90" t="s">
        <v>1166</v>
      </c>
      <c r="G123" s="79"/>
      <c r="H123" s="79"/>
      <c r="I123" s="79">
        <f t="shared" si="3"/>
        <v>0</v>
      </c>
      <c r="J123" s="227"/>
      <c r="K123" s="96"/>
      <c r="N123" s="143"/>
    </row>
    <row r="124" spans="1:14" s="94" customFormat="1" ht="50.25" customHeight="1">
      <c r="A124" s="242" t="s">
        <v>652</v>
      </c>
      <c r="B124" s="242" t="s">
        <v>1062</v>
      </c>
      <c r="C124" s="242" t="s">
        <v>73</v>
      </c>
      <c r="D124" s="242" t="s">
        <v>447</v>
      </c>
      <c r="E124" s="255" t="s">
        <v>653</v>
      </c>
      <c r="F124" s="214" t="s">
        <v>503</v>
      </c>
      <c r="G124" s="75">
        <v>3431928</v>
      </c>
      <c r="H124" s="75">
        <f>651507+3221400+295213</f>
        <v>4168120</v>
      </c>
      <c r="I124" s="75">
        <f t="shared" si="3"/>
        <v>7600048</v>
      </c>
      <c r="J124" s="219"/>
      <c r="K124" s="103"/>
      <c r="M124" s="105"/>
      <c r="N124" s="143"/>
    </row>
    <row r="125" spans="1:14" s="94" customFormat="1" ht="47.25" customHeight="1">
      <c r="A125" s="242" t="s">
        <v>652</v>
      </c>
      <c r="B125" s="242" t="s">
        <v>1062</v>
      </c>
      <c r="C125" s="242" t="s">
        <v>73</v>
      </c>
      <c r="D125" s="242" t="s">
        <v>447</v>
      </c>
      <c r="E125" s="255" t="s">
        <v>653</v>
      </c>
      <c r="F125" s="90" t="s">
        <v>1166</v>
      </c>
      <c r="G125" s="315">
        <v>20685</v>
      </c>
      <c r="H125" s="75"/>
      <c r="I125" s="75">
        <f t="shared" si="3"/>
        <v>20685</v>
      </c>
      <c r="J125" s="219"/>
      <c r="K125" s="96"/>
      <c r="N125" s="143"/>
    </row>
    <row r="126" spans="1:14" s="94" customFormat="1" ht="31.5" hidden="1">
      <c r="A126" s="244" t="s">
        <v>654</v>
      </c>
      <c r="B126" s="244" t="s">
        <v>1063</v>
      </c>
      <c r="C126" s="244" t="s">
        <v>655</v>
      </c>
      <c r="D126" s="244" t="s">
        <v>656</v>
      </c>
      <c r="E126" s="252" t="s">
        <v>657</v>
      </c>
      <c r="F126" s="150"/>
      <c r="G126" s="75"/>
      <c r="H126" s="75"/>
      <c r="I126" s="75">
        <f t="shared" si="3"/>
        <v>0</v>
      </c>
      <c r="J126" s="219"/>
      <c r="K126" s="96"/>
      <c r="N126" s="143"/>
    </row>
    <row r="127" spans="1:14" s="153" customFormat="1" ht="50.25" customHeight="1">
      <c r="A127" s="242" t="s">
        <v>658</v>
      </c>
      <c r="B127" s="242" t="s">
        <v>1064</v>
      </c>
      <c r="C127" s="242" t="s">
        <v>282</v>
      </c>
      <c r="D127" s="242" t="s">
        <v>448</v>
      </c>
      <c r="E127" s="253" t="s">
        <v>659</v>
      </c>
      <c r="F127" s="347" t="s">
        <v>1165</v>
      </c>
      <c r="G127" s="75">
        <f>43816471+607209</f>
        <v>44423680</v>
      </c>
      <c r="H127" s="75">
        <f>7599625+1219098-421639-1267431+1066475</f>
        <v>8196128</v>
      </c>
      <c r="I127" s="75">
        <f t="shared" si="3"/>
        <v>52619808</v>
      </c>
      <c r="J127" s="219"/>
      <c r="K127" s="152"/>
      <c r="L127" s="156"/>
      <c r="M127" s="156"/>
      <c r="N127" s="154"/>
    </row>
    <row r="128" spans="1:14" s="153" customFormat="1" ht="50.25" customHeight="1">
      <c r="A128" s="244" t="s">
        <v>658</v>
      </c>
      <c r="B128" s="244" t="s">
        <v>1064</v>
      </c>
      <c r="C128" s="244" t="s">
        <v>282</v>
      </c>
      <c r="D128" s="244" t="s">
        <v>448</v>
      </c>
      <c r="E128" s="252" t="s">
        <v>659</v>
      </c>
      <c r="F128" s="361" t="s">
        <v>1181</v>
      </c>
      <c r="G128" s="75"/>
      <c r="H128" s="75">
        <f>1109160+1268740</f>
        <v>2377900</v>
      </c>
      <c r="I128" s="75">
        <f t="shared" si="3"/>
        <v>2377900</v>
      </c>
      <c r="J128" s="219"/>
      <c r="K128" s="152"/>
      <c r="L128" s="156"/>
      <c r="M128" s="156"/>
      <c r="N128" s="154"/>
    </row>
    <row r="129" spans="1:14" s="94" customFormat="1" ht="57" customHeight="1">
      <c r="A129" s="242" t="s">
        <v>658</v>
      </c>
      <c r="B129" s="242" t="s">
        <v>1064</v>
      </c>
      <c r="C129" s="242" t="s">
        <v>282</v>
      </c>
      <c r="D129" s="242" t="s">
        <v>448</v>
      </c>
      <c r="E129" s="253" t="s">
        <v>659</v>
      </c>
      <c r="F129" s="90" t="s">
        <v>1166</v>
      </c>
      <c r="G129" s="315">
        <f>14700+4000+22200+15000</f>
        <v>55900</v>
      </c>
      <c r="H129" s="315">
        <f>16300+46400+10000</f>
        <v>72700</v>
      </c>
      <c r="I129" s="315">
        <f t="shared" si="3"/>
        <v>128600</v>
      </c>
      <c r="J129" s="221"/>
      <c r="K129" s="103"/>
      <c r="N129" s="143"/>
    </row>
    <row r="130" spans="1:14" s="94" customFormat="1" ht="63.75" customHeight="1" hidden="1">
      <c r="A130" s="244" t="s">
        <v>660</v>
      </c>
      <c r="B130" s="244" t="s">
        <v>1065</v>
      </c>
      <c r="C130" s="244" t="s">
        <v>395</v>
      </c>
      <c r="D130" s="244" t="s">
        <v>449</v>
      </c>
      <c r="E130" s="252" t="s">
        <v>661</v>
      </c>
      <c r="F130" s="214" t="s">
        <v>503</v>
      </c>
      <c r="G130" s="75"/>
      <c r="H130" s="75"/>
      <c r="I130" s="75">
        <f t="shared" si="3"/>
        <v>0</v>
      </c>
      <c r="J130" s="219"/>
      <c r="K130" s="103"/>
      <c r="N130" s="143"/>
    </row>
    <row r="131" spans="1:14" s="94" customFormat="1" ht="35.25" customHeight="1">
      <c r="A131" s="244" t="s">
        <v>662</v>
      </c>
      <c r="B131" s="244" t="s">
        <v>1066</v>
      </c>
      <c r="C131" s="244"/>
      <c r="D131" s="244"/>
      <c r="E131" s="252" t="s">
        <v>663</v>
      </c>
      <c r="F131" s="180"/>
      <c r="G131" s="75">
        <f>G132</f>
        <v>1536749</v>
      </c>
      <c r="H131" s="75">
        <f>H132</f>
        <v>0</v>
      </c>
      <c r="I131" s="75">
        <f t="shared" si="3"/>
        <v>1536749</v>
      </c>
      <c r="J131" s="219"/>
      <c r="K131" s="103"/>
      <c r="N131" s="143"/>
    </row>
    <row r="132" spans="1:14" s="94" customFormat="1" ht="46.5" customHeight="1">
      <c r="A132" s="244" t="s">
        <v>664</v>
      </c>
      <c r="B132" s="244" t="s">
        <v>1067</v>
      </c>
      <c r="C132" s="244" t="s">
        <v>75</v>
      </c>
      <c r="D132" s="244" t="s">
        <v>449</v>
      </c>
      <c r="E132" s="370" t="s">
        <v>229</v>
      </c>
      <c r="F132" s="214" t="s">
        <v>503</v>
      </c>
      <c r="G132" s="75">
        <f>8853109-7316360</f>
        <v>1536749</v>
      </c>
      <c r="H132" s="75"/>
      <c r="I132" s="75">
        <f t="shared" si="3"/>
        <v>1536749</v>
      </c>
      <c r="J132" s="219"/>
      <c r="K132" s="96"/>
      <c r="N132" s="143"/>
    </row>
    <row r="133" spans="1:14" s="94" customFormat="1" ht="15.75" customHeight="1" hidden="1">
      <c r="A133" s="244" t="s">
        <v>665</v>
      </c>
      <c r="B133" s="244" t="s">
        <v>1068</v>
      </c>
      <c r="C133" s="244" t="s">
        <v>111</v>
      </c>
      <c r="D133" s="244" t="s">
        <v>449</v>
      </c>
      <c r="E133" s="252" t="s">
        <v>666</v>
      </c>
      <c r="F133" s="180"/>
      <c r="G133" s="75">
        <f>G134+G135</f>
        <v>0</v>
      </c>
      <c r="H133" s="75">
        <f>H134+H135</f>
        <v>0</v>
      </c>
      <c r="I133" s="75">
        <f t="shared" si="3"/>
        <v>0</v>
      </c>
      <c r="J133" s="219"/>
      <c r="K133" s="96"/>
      <c r="N133" s="143"/>
    </row>
    <row r="134" spans="1:14" s="94" customFormat="1" ht="78.75" hidden="1">
      <c r="A134" s="244" t="s">
        <v>667</v>
      </c>
      <c r="B134" s="244" t="s">
        <v>1069</v>
      </c>
      <c r="C134" s="244" t="s">
        <v>111</v>
      </c>
      <c r="D134" s="244" t="s">
        <v>449</v>
      </c>
      <c r="E134" s="301" t="s">
        <v>668</v>
      </c>
      <c r="F134" s="180"/>
      <c r="G134" s="75"/>
      <c r="H134" s="75"/>
      <c r="I134" s="75">
        <f t="shared" si="3"/>
        <v>0</v>
      </c>
      <c r="J134" s="219"/>
      <c r="K134" s="96"/>
      <c r="N134" s="143"/>
    </row>
    <row r="135" spans="1:14" s="94" customFormat="1" ht="46.5" customHeight="1" hidden="1">
      <c r="A135" s="244" t="s">
        <v>669</v>
      </c>
      <c r="B135" s="244" t="s">
        <v>1070</v>
      </c>
      <c r="C135" s="244" t="s">
        <v>111</v>
      </c>
      <c r="D135" s="244" t="s">
        <v>449</v>
      </c>
      <c r="E135" s="301" t="s">
        <v>670</v>
      </c>
      <c r="F135" s="180"/>
      <c r="G135" s="75"/>
      <c r="H135" s="75"/>
      <c r="I135" s="75">
        <f t="shared" si="3"/>
        <v>0</v>
      </c>
      <c r="J135" s="219"/>
      <c r="K135" s="96"/>
      <c r="N135" s="143"/>
    </row>
    <row r="136" spans="1:14" s="94" customFormat="1" ht="46.5" customHeight="1">
      <c r="A136" s="272" t="s">
        <v>671</v>
      </c>
      <c r="B136" s="272" t="s">
        <v>1020</v>
      </c>
      <c r="C136" s="272" t="s">
        <v>550</v>
      </c>
      <c r="D136" s="272"/>
      <c r="E136" s="191" t="s">
        <v>672</v>
      </c>
      <c r="F136" s="180"/>
      <c r="G136" s="75">
        <f>G137+G138</f>
        <v>0</v>
      </c>
      <c r="H136" s="75">
        <f>H137+H138</f>
        <v>26609553</v>
      </c>
      <c r="I136" s="75">
        <f t="shared" si="3"/>
        <v>26609553</v>
      </c>
      <c r="J136" s="219"/>
      <c r="K136" s="96"/>
      <c r="N136" s="143"/>
    </row>
    <row r="137" spans="1:14" s="94" customFormat="1" ht="50.25" customHeight="1">
      <c r="A137" s="369" t="s">
        <v>673</v>
      </c>
      <c r="B137" s="369" t="s">
        <v>1021</v>
      </c>
      <c r="C137" s="419" t="s">
        <v>83</v>
      </c>
      <c r="D137" s="242" t="s">
        <v>433</v>
      </c>
      <c r="E137" s="253" t="s">
        <v>553</v>
      </c>
      <c r="F137" s="214" t="s">
        <v>503</v>
      </c>
      <c r="G137" s="75"/>
      <c r="H137" s="75">
        <f>7138160-1308056+1165000</f>
        <v>6995104</v>
      </c>
      <c r="I137" s="75">
        <f t="shared" si="3"/>
        <v>6995104</v>
      </c>
      <c r="J137" s="223"/>
      <c r="K137" s="103"/>
      <c r="N137" s="143"/>
    </row>
    <row r="138" spans="1:14" s="94" customFormat="1" ht="47.25" customHeight="1">
      <c r="A138" s="369" t="s">
        <v>673</v>
      </c>
      <c r="B138" s="369" t="s">
        <v>1021</v>
      </c>
      <c r="C138" s="420"/>
      <c r="D138" s="242" t="s">
        <v>433</v>
      </c>
      <c r="E138" s="253" t="s">
        <v>553</v>
      </c>
      <c r="F138" s="347" t="s">
        <v>1165</v>
      </c>
      <c r="G138" s="75"/>
      <c r="H138" s="75">
        <f>23118915+1308056-4812522</f>
        <v>19614449</v>
      </c>
      <c r="I138" s="75">
        <f t="shared" si="3"/>
        <v>19614449</v>
      </c>
      <c r="J138" s="223"/>
      <c r="K138" s="103"/>
      <c r="N138" s="143"/>
    </row>
    <row r="139" spans="1:14" s="94" customFormat="1" ht="49.5" customHeight="1">
      <c r="A139" s="88"/>
      <c r="B139" s="88" t="s">
        <v>142</v>
      </c>
      <c r="C139" s="88" t="s">
        <v>142</v>
      </c>
      <c r="D139" s="88"/>
      <c r="E139" s="89" t="s">
        <v>50</v>
      </c>
      <c r="F139" s="150"/>
      <c r="G139" s="80">
        <f>G140</f>
        <v>174613643</v>
      </c>
      <c r="H139" s="80">
        <f>H140</f>
        <v>10286137</v>
      </c>
      <c r="I139" s="80">
        <f t="shared" si="3"/>
        <v>184899780</v>
      </c>
      <c r="J139" s="128"/>
      <c r="K139" s="103"/>
      <c r="N139" s="143"/>
    </row>
    <row r="140" spans="1:14" s="94" customFormat="1" ht="31.5">
      <c r="A140" s="25" t="s">
        <v>674</v>
      </c>
      <c r="B140" s="25"/>
      <c r="C140" s="25"/>
      <c r="D140" s="25"/>
      <c r="E140" s="195" t="s">
        <v>50</v>
      </c>
      <c r="F140" s="182"/>
      <c r="G140" s="80">
        <f>G141+G143+G166</f>
        <v>174613643</v>
      </c>
      <c r="H140" s="80">
        <f>H141+H143+H166</f>
        <v>10286137</v>
      </c>
      <c r="I140" s="80">
        <f t="shared" si="3"/>
        <v>184899780</v>
      </c>
      <c r="J140" s="128"/>
      <c r="K140" s="103"/>
      <c r="N140" s="143"/>
    </row>
    <row r="141" spans="1:14" s="94" customFormat="1" ht="15.75" customHeight="1">
      <c r="A141" s="272" t="s">
        <v>675</v>
      </c>
      <c r="B141" s="272" t="s">
        <v>1015</v>
      </c>
      <c r="C141" s="273" t="s">
        <v>537</v>
      </c>
      <c r="D141" s="273"/>
      <c r="E141" s="337" t="s">
        <v>538</v>
      </c>
      <c r="F141" s="182"/>
      <c r="G141" s="80">
        <f>G142</f>
        <v>0</v>
      </c>
      <c r="H141" s="80">
        <f>H142</f>
        <v>2631517</v>
      </c>
      <c r="I141" s="80">
        <f>I142</f>
        <v>2631517</v>
      </c>
      <c r="J141" s="128"/>
      <c r="K141" s="103"/>
      <c r="N141" s="143"/>
    </row>
    <row r="142" spans="1:14" s="94" customFormat="1" ht="47.25" customHeight="1">
      <c r="A142" s="244" t="s">
        <v>676</v>
      </c>
      <c r="B142" s="244" t="s">
        <v>466</v>
      </c>
      <c r="C142" s="244" t="s">
        <v>164</v>
      </c>
      <c r="D142" s="244" t="s">
        <v>431</v>
      </c>
      <c r="E142" s="301" t="s">
        <v>677</v>
      </c>
      <c r="F142" s="162" t="s">
        <v>502</v>
      </c>
      <c r="G142" s="176"/>
      <c r="H142" s="176">
        <f>1174764+1225873+230880</f>
        <v>2631517</v>
      </c>
      <c r="I142" s="176">
        <f t="shared" si="3"/>
        <v>2631517</v>
      </c>
      <c r="J142" s="229"/>
      <c r="K142" s="103"/>
      <c r="N142" s="143"/>
    </row>
    <row r="143" spans="1:14" s="94" customFormat="1" ht="47.25" customHeight="1">
      <c r="A143" s="273" t="s">
        <v>678</v>
      </c>
      <c r="B143" s="273" t="s">
        <v>1042</v>
      </c>
      <c r="C143" s="273" t="s">
        <v>594</v>
      </c>
      <c r="D143" s="273"/>
      <c r="E143" s="191" t="s">
        <v>595</v>
      </c>
      <c r="F143" s="182"/>
      <c r="G143" s="329">
        <f>G144+G152+G155+G158+G161+G162</f>
        <v>174613643</v>
      </c>
      <c r="H143" s="329">
        <f>H144+H152+H155+H158+H161+H162</f>
        <v>385500</v>
      </c>
      <c r="I143" s="329">
        <f t="shared" si="3"/>
        <v>174999143</v>
      </c>
      <c r="J143" s="229"/>
      <c r="K143" s="103"/>
      <c r="N143" s="143"/>
    </row>
    <row r="144" spans="1:14" s="94" customFormat="1" ht="184.5" customHeight="1">
      <c r="A144" s="25" t="s">
        <v>679</v>
      </c>
      <c r="B144" s="25" t="s">
        <v>1071</v>
      </c>
      <c r="C144" s="25"/>
      <c r="D144" s="25"/>
      <c r="E144" s="373" t="s">
        <v>680</v>
      </c>
      <c r="F144" s="182"/>
      <c r="G144" s="330">
        <f>G145+G146+G147+G148+G149+G150+G151</f>
        <v>69462336</v>
      </c>
      <c r="H144" s="330">
        <f>H145+H146+H147+H148+H149+H150+H151</f>
        <v>80000</v>
      </c>
      <c r="I144" s="330">
        <f t="shared" si="3"/>
        <v>69542336</v>
      </c>
      <c r="J144" s="229"/>
      <c r="K144" s="103"/>
      <c r="N144" s="143"/>
    </row>
    <row r="145" spans="1:14" s="94" customFormat="1" ht="220.5">
      <c r="A145" s="25" t="s">
        <v>681</v>
      </c>
      <c r="B145" s="25" t="s">
        <v>1072</v>
      </c>
      <c r="C145" s="25" t="s">
        <v>474</v>
      </c>
      <c r="D145" s="25" t="s">
        <v>451</v>
      </c>
      <c r="E145" s="302" t="s">
        <v>682</v>
      </c>
      <c r="F145" s="353" t="s">
        <v>502</v>
      </c>
      <c r="G145" s="75">
        <v>2511906</v>
      </c>
      <c r="H145" s="75">
        <v>80000</v>
      </c>
      <c r="I145" s="75">
        <f t="shared" si="3"/>
        <v>2591906</v>
      </c>
      <c r="J145" s="223"/>
      <c r="K145" s="96"/>
      <c r="N145" s="143"/>
    </row>
    <row r="146" spans="1:14" s="94" customFormat="1" ht="83.25" customHeight="1">
      <c r="A146" s="25" t="s">
        <v>683</v>
      </c>
      <c r="B146" s="25" t="s">
        <v>1073</v>
      </c>
      <c r="C146" s="25" t="s">
        <v>475</v>
      </c>
      <c r="D146" s="25" t="s">
        <v>453</v>
      </c>
      <c r="E146" s="302" t="s">
        <v>684</v>
      </c>
      <c r="F146" s="243" t="s">
        <v>502</v>
      </c>
      <c r="G146" s="75">
        <v>81291</v>
      </c>
      <c r="H146" s="75"/>
      <c r="I146" s="75">
        <f t="shared" si="3"/>
        <v>81291</v>
      </c>
      <c r="J146" s="223"/>
      <c r="K146" s="96"/>
      <c r="N146" s="143"/>
    </row>
    <row r="147" spans="1:14" s="94" customFormat="1" ht="47.25" customHeight="1">
      <c r="A147" s="25" t="s">
        <v>685</v>
      </c>
      <c r="B147" s="25" t="s">
        <v>1074</v>
      </c>
      <c r="C147" s="25" t="s">
        <v>476</v>
      </c>
      <c r="D147" s="25" t="s">
        <v>453</v>
      </c>
      <c r="E147" s="302" t="s">
        <v>686</v>
      </c>
      <c r="F147" s="243" t="s">
        <v>502</v>
      </c>
      <c r="G147" s="75">
        <v>3924640</v>
      </c>
      <c r="H147" s="75"/>
      <c r="I147" s="75">
        <f t="shared" si="3"/>
        <v>3924640</v>
      </c>
      <c r="J147" s="223"/>
      <c r="K147" s="96"/>
      <c r="N147" s="143"/>
    </row>
    <row r="148" spans="1:14" s="94" customFormat="1" ht="52.5" customHeight="1">
      <c r="A148" s="244" t="s">
        <v>687</v>
      </c>
      <c r="B148" s="244" t="s">
        <v>1075</v>
      </c>
      <c r="C148" s="244" t="s">
        <v>32</v>
      </c>
      <c r="D148" s="244" t="s">
        <v>453</v>
      </c>
      <c r="E148" s="301" t="s">
        <v>688</v>
      </c>
      <c r="F148" s="243" t="s">
        <v>502</v>
      </c>
      <c r="G148" s="75">
        <v>11200000</v>
      </c>
      <c r="H148" s="75"/>
      <c r="I148" s="75">
        <f t="shared" si="3"/>
        <v>11200000</v>
      </c>
      <c r="J148" s="223"/>
      <c r="K148" s="96"/>
      <c r="N148" s="143"/>
    </row>
    <row r="149" spans="1:14" s="94" customFormat="1" ht="52.5" customHeight="1">
      <c r="A149" s="244" t="s">
        <v>689</v>
      </c>
      <c r="B149" s="244" t="s">
        <v>1076</v>
      </c>
      <c r="C149" s="244" t="s">
        <v>86</v>
      </c>
      <c r="D149" s="244" t="s">
        <v>453</v>
      </c>
      <c r="E149" s="301" t="s">
        <v>690</v>
      </c>
      <c r="F149" s="243" t="s">
        <v>502</v>
      </c>
      <c r="G149" s="75">
        <v>1744499</v>
      </c>
      <c r="H149" s="75"/>
      <c r="I149" s="75">
        <f t="shared" si="3"/>
        <v>1744499</v>
      </c>
      <c r="J149" s="223"/>
      <c r="K149" s="96"/>
      <c r="N149" s="143"/>
    </row>
    <row r="150" spans="1:14" s="94" customFormat="1" ht="52.5" customHeight="1">
      <c r="A150" s="244" t="s">
        <v>691</v>
      </c>
      <c r="B150" s="244" t="s">
        <v>1077</v>
      </c>
      <c r="C150" s="244" t="s">
        <v>477</v>
      </c>
      <c r="D150" s="244" t="s">
        <v>453</v>
      </c>
      <c r="E150" s="301" t="s">
        <v>478</v>
      </c>
      <c r="F150" s="243" t="s">
        <v>502</v>
      </c>
      <c r="G150" s="75">
        <v>5000000</v>
      </c>
      <c r="H150" s="75"/>
      <c r="I150" s="75">
        <f t="shared" si="3"/>
        <v>5000000</v>
      </c>
      <c r="J150" s="223"/>
      <c r="K150" s="96"/>
      <c r="N150" s="143"/>
    </row>
    <row r="151" spans="1:14" s="94" customFormat="1" ht="52.5" customHeight="1">
      <c r="A151" s="244" t="s">
        <v>692</v>
      </c>
      <c r="B151" s="244" t="s">
        <v>1078</v>
      </c>
      <c r="C151" s="244" t="s">
        <v>116</v>
      </c>
      <c r="D151" s="244" t="s">
        <v>453</v>
      </c>
      <c r="E151" s="301" t="s">
        <v>15</v>
      </c>
      <c r="F151" s="182" t="s">
        <v>502</v>
      </c>
      <c r="G151" s="75">
        <v>45000000</v>
      </c>
      <c r="H151" s="75"/>
      <c r="I151" s="75">
        <f t="shared" si="3"/>
        <v>45000000</v>
      </c>
      <c r="J151" s="223"/>
      <c r="K151" s="96"/>
      <c r="N151" s="143"/>
    </row>
    <row r="152" spans="1:14" s="94" customFormat="1" ht="58.5" customHeight="1">
      <c r="A152" s="244" t="s">
        <v>693</v>
      </c>
      <c r="B152" s="244" t="s">
        <v>1079</v>
      </c>
      <c r="C152" s="244"/>
      <c r="D152" s="244"/>
      <c r="E152" s="252" t="s">
        <v>694</v>
      </c>
      <c r="F152" s="182"/>
      <c r="G152" s="75">
        <f>G153+G154</f>
        <v>32936950</v>
      </c>
      <c r="H152" s="75">
        <f>H153+H154</f>
        <v>114500</v>
      </c>
      <c r="I152" s="75">
        <f t="shared" si="3"/>
        <v>33051450</v>
      </c>
      <c r="J152" s="223"/>
      <c r="K152" s="96"/>
      <c r="N152" s="143"/>
    </row>
    <row r="153" spans="1:14" s="94" customFormat="1" ht="80.25" customHeight="1">
      <c r="A153" s="242" t="s">
        <v>695</v>
      </c>
      <c r="B153" s="242" t="s">
        <v>1080</v>
      </c>
      <c r="C153" s="242" t="s">
        <v>162</v>
      </c>
      <c r="D153" s="369" t="s">
        <v>450</v>
      </c>
      <c r="E153" s="253" t="s">
        <v>696</v>
      </c>
      <c r="F153" s="182" t="s">
        <v>502</v>
      </c>
      <c r="G153" s="75">
        <f>32926450</f>
        <v>32926450</v>
      </c>
      <c r="H153" s="75">
        <f>(94500)</f>
        <v>94500</v>
      </c>
      <c r="I153" s="75">
        <f t="shared" si="3"/>
        <v>33020950</v>
      </c>
      <c r="J153" s="223"/>
      <c r="K153" s="96"/>
      <c r="N153" s="143"/>
    </row>
    <row r="154" spans="1:14" s="94" customFormat="1" ht="63">
      <c r="A154" s="242" t="s">
        <v>695</v>
      </c>
      <c r="B154" s="242" t="s">
        <v>1080</v>
      </c>
      <c r="C154" s="242" t="s">
        <v>162</v>
      </c>
      <c r="D154" s="369" t="s">
        <v>450</v>
      </c>
      <c r="E154" s="253" t="s">
        <v>696</v>
      </c>
      <c r="F154" s="90" t="s">
        <v>1166</v>
      </c>
      <c r="G154" s="75">
        <f>10000+500</f>
        <v>10500</v>
      </c>
      <c r="H154" s="75">
        <f>10000+10000</f>
        <v>20000</v>
      </c>
      <c r="I154" s="75">
        <f t="shared" si="3"/>
        <v>30500</v>
      </c>
      <c r="J154" s="223"/>
      <c r="K154" s="96"/>
      <c r="N154" s="143"/>
    </row>
    <row r="155" spans="1:14" s="94" customFormat="1" ht="31.5">
      <c r="A155" s="244" t="s">
        <v>698</v>
      </c>
      <c r="B155" s="244" t="s">
        <v>1081</v>
      </c>
      <c r="C155" s="244"/>
      <c r="D155" s="244"/>
      <c r="E155" s="252" t="s">
        <v>699</v>
      </c>
      <c r="F155" s="90"/>
      <c r="G155" s="75">
        <f>G156+G157</f>
        <v>360133</v>
      </c>
      <c r="H155" s="75">
        <f>H156+H157</f>
        <v>0</v>
      </c>
      <c r="I155" s="75">
        <f t="shared" si="3"/>
        <v>360133</v>
      </c>
      <c r="J155" s="223"/>
      <c r="K155" s="96"/>
      <c r="N155" s="143"/>
    </row>
    <row r="156" spans="1:14" s="94" customFormat="1" ht="47.25" customHeight="1" hidden="1">
      <c r="A156" s="244" t="s">
        <v>700</v>
      </c>
      <c r="B156" s="244" t="s">
        <v>1082</v>
      </c>
      <c r="C156" s="25" t="s">
        <v>78</v>
      </c>
      <c r="D156" s="25" t="s">
        <v>439</v>
      </c>
      <c r="E156" s="301" t="s">
        <v>701</v>
      </c>
      <c r="F156" s="182" t="s">
        <v>502</v>
      </c>
      <c r="G156" s="75"/>
      <c r="H156" s="75"/>
      <c r="I156" s="75">
        <f t="shared" si="3"/>
        <v>0</v>
      </c>
      <c r="J156" s="223"/>
      <c r="K156" s="96"/>
      <c r="N156" s="143"/>
    </row>
    <row r="157" spans="1:14" s="94" customFormat="1" ht="47.25" customHeight="1">
      <c r="A157" s="244" t="s">
        <v>702</v>
      </c>
      <c r="B157" s="244" t="s">
        <v>1083</v>
      </c>
      <c r="C157" s="25" t="s">
        <v>79</v>
      </c>
      <c r="D157" s="25" t="s">
        <v>439</v>
      </c>
      <c r="E157" s="301" t="s">
        <v>234</v>
      </c>
      <c r="F157" s="182" t="s">
        <v>502</v>
      </c>
      <c r="G157" s="75">
        <v>360133</v>
      </c>
      <c r="H157" s="75"/>
      <c r="I157" s="75">
        <f t="shared" si="3"/>
        <v>360133</v>
      </c>
      <c r="J157" s="223"/>
      <c r="K157" s="96"/>
      <c r="N157" s="143"/>
    </row>
    <row r="158" spans="1:14" s="94" customFormat="1" ht="15.75" customHeight="1">
      <c r="A158" s="244" t="s">
        <v>703</v>
      </c>
      <c r="B158" s="244" t="s">
        <v>1084</v>
      </c>
      <c r="C158" s="244"/>
      <c r="D158" s="244"/>
      <c r="E158" s="252" t="s">
        <v>704</v>
      </c>
      <c r="F158" s="90"/>
      <c r="G158" s="75">
        <f>G159+G160</f>
        <v>2577808</v>
      </c>
      <c r="H158" s="75">
        <f>H159+H160</f>
        <v>191000</v>
      </c>
      <c r="I158" s="75">
        <f t="shared" si="3"/>
        <v>2768808</v>
      </c>
      <c r="J158" s="223"/>
      <c r="K158" s="96"/>
      <c r="N158" s="143"/>
    </row>
    <row r="159" spans="1:14" s="94" customFormat="1" ht="52.5" customHeight="1">
      <c r="A159" s="242" t="s">
        <v>705</v>
      </c>
      <c r="B159" s="242" t="s">
        <v>1085</v>
      </c>
      <c r="C159" s="242" t="s">
        <v>22</v>
      </c>
      <c r="D159" s="242" t="s">
        <v>451</v>
      </c>
      <c r="E159" s="371" t="s">
        <v>706</v>
      </c>
      <c r="F159" s="182" t="s">
        <v>502</v>
      </c>
      <c r="G159" s="75">
        <f>2453308+(40000)</f>
        <v>2493308</v>
      </c>
      <c r="H159" s="75">
        <f>(170000)</f>
        <v>170000</v>
      </c>
      <c r="I159" s="75">
        <f t="shared" si="3"/>
        <v>2663308</v>
      </c>
      <c r="J159" s="223"/>
      <c r="K159" s="96"/>
      <c r="N159" s="143"/>
    </row>
    <row r="160" spans="1:14" s="94" customFormat="1" ht="52.5" customHeight="1">
      <c r="A160" s="242" t="s">
        <v>705</v>
      </c>
      <c r="B160" s="242" t="s">
        <v>1085</v>
      </c>
      <c r="C160" s="242" t="s">
        <v>22</v>
      </c>
      <c r="D160" s="242" t="s">
        <v>451</v>
      </c>
      <c r="E160" s="371" t="s">
        <v>706</v>
      </c>
      <c r="F160" s="90" t="s">
        <v>1166</v>
      </c>
      <c r="G160" s="75">
        <f>34500+7000+20000+23000</f>
        <v>84500</v>
      </c>
      <c r="H160" s="75">
        <f>12000+9000</f>
        <v>21000</v>
      </c>
      <c r="I160" s="75">
        <f t="shared" si="3"/>
        <v>105500</v>
      </c>
      <c r="J160" s="223"/>
      <c r="K160" s="96"/>
      <c r="N160" s="143"/>
    </row>
    <row r="161" spans="1:14" s="94" customFormat="1" ht="52.5" customHeight="1">
      <c r="A161" s="25" t="s">
        <v>697</v>
      </c>
      <c r="B161" s="25" t="s">
        <v>1044</v>
      </c>
      <c r="C161" s="244" t="s">
        <v>487</v>
      </c>
      <c r="D161" s="244" t="s">
        <v>488</v>
      </c>
      <c r="E161" s="252" t="s">
        <v>489</v>
      </c>
      <c r="F161" s="214" t="s">
        <v>14</v>
      </c>
      <c r="G161" s="75">
        <f>781522-181717+37</f>
        <v>599842</v>
      </c>
      <c r="H161" s="75"/>
      <c r="I161" s="75">
        <f t="shared" si="3"/>
        <v>599842</v>
      </c>
      <c r="J161" s="223"/>
      <c r="K161" s="96"/>
      <c r="N161" s="143"/>
    </row>
    <row r="162" spans="1:14" s="94" customFormat="1" ht="15.75" customHeight="1" hidden="1">
      <c r="A162" s="25" t="s">
        <v>707</v>
      </c>
      <c r="B162" s="25" t="s">
        <v>1086</v>
      </c>
      <c r="C162" s="244"/>
      <c r="D162" s="244"/>
      <c r="E162" s="252" t="s">
        <v>92</v>
      </c>
      <c r="F162" s="182"/>
      <c r="G162" s="75">
        <f>G163+G164+G165</f>
        <v>68676574</v>
      </c>
      <c r="H162" s="75">
        <f>H163+H164+H165</f>
        <v>0</v>
      </c>
      <c r="I162" s="75">
        <f t="shared" si="3"/>
        <v>68676574</v>
      </c>
      <c r="J162" s="223"/>
      <c r="K162" s="96"/>
      <c r="N162" s="143"/>
    </row>
    <row r="163" spans="1:14" s="94" customFormat="1" ht="51" customHeight="1">
      <c r="A163" s="254" t="s">
        <v>707</v>
      </c>
      <c r="B163" s="242" t="s">
        <v>1086</v>
      </c>
      <c r="C163" s="242" t="s">
        <v>85</v>
      </c>
      <c r="D163" s="242" t="s">
        <v>452</v>
      </c>
      <c r="E163" s="253" t="s">
        <v>92</v>
      </c>
      <c r="F163" s="179" t="s">
        <v>502</v>
      </c>
      <c r="G163" s="75">
        <v>22924006</v>
      </c>
      <c r="H163" s="75"/>
      <c r="I163" s="75">
        <f t="shared" si="3"/>
        <v>22924006</v>
      </c>
      <c r="J163" s="223"/>
      <c r="K163" s="96"/>
      <c r="N163" s="143"/>
    </row>
    <row r="164" spans="1:14" s="94" customFormat="1" ht="51" customHeight="1">
      <c r="A164" s="254" t="s">
        <v>707</v>
      </c>
      <c r="B164" s="242" t="s">
        <v>1086</v>
      </c>
      <c r="C164" s="242" t="s">
        <v>85</v>
      </c>
      <c r="D164" s="242" t="s">
        <v>452</v>
      </c>
      <c r="E164" s="253" t="s">
        <v>92</v>
      </c>
      <c r="F164" s="293" t="s">
        <v>1140</v>
      </c>
      <c r="G164" s="75">
        <v>24002400</v>
      </c>
      <c r="H164" s="75"/>
      <c r="I164" s="75">
        <f t="shared" si="3"/>
        <v>24002400</v>
      </c>
      <c r="J164" s="223"/>
      <c r="K164" s="96"/>
      <c r="N164" s="143"/>
    </row>
    <row r="165" spans="1:14" s="94" customFormat="1" ht="50.25" customHeight="1">
      <c r="A165" s="254" t="s">
        <v>707</v>
      </c>
      <c r="B165" s="242" t="s">
        <v>1086</v>
      </c>
      <c r="C165" s="242" t="s">
        <v>85</v>
      </c>
      <c r="D165" s="242" t="s">
        <v>452</v>
      </c>
      <c r="E165" s="253" t="s">
        <v>92</v>
      </c>
      <c r="F165" s="90" t="s">
        <v>1166</v>
      </c>
      <c r="G165" s="75">
        <f>9600000+22400000-104000-1959587-234332-1438265-1664617-545240-306832-10000-2100649-1632751-253559</f>
        <v>21750168</v>
      </c>
      <c r="H165" s="75"/>
      <c r="I165" s="75">
        <f t="shared" si="3"/>
        <v>21750168</v>
      </c>
      <c r="J165" s="223"/>
      <c r="K165" s="96"/>
      <c r="N165" s="143"/>
    </row>
    <row r="166" spans="1:14" s="94" customFormat="1" ht="15.75" customHeight="1">
      <c r="A166" s="272" t="s">
        <v>709</v>
      </c>
      <c r="B166" s="272" t="s">
        <v>1020</v>
      </c>
      <c r="C166" s="273" t="s">
        <v>550</v>
      </c>
      <c r="D166" s="273"/>
      <c r="E166" s="256" t="s">
        <v>672</v>
      </c>
      <c r="F166" s="198"/>
      <c r="G166" s="80">
        <f>G167</f>
        <v>0</v>
      </c>
      <c r="H166" s="80">
        <f>H167</f>
        <v>7269120</v>
      </c>
      <c r="I166" s="80">
        <f t="shared" si="3"/>
        <v>7269120</v>
      </c>
      <c r="J166" s="223"/>
      <c r="K166" s="96"/>
      <c r="N166" s="143"/>
    </row>
    <row r="167" spans="1:14" s="94" customFormat="1" ht="51.75" customHeight="1">
      <c r="A167" s="244" t="s">
        <v>710</v>
      </c>
      <c r="B167" s="244" t="s">
        <v>1021</v>
      </c>
      <c r="C167" s="244" t="s">
        <v>83</v>
      </c>
      <c r="D167" s="244" t="s">
        <v>433</v>
      </c>
      <c r="E167" s="302" t="s">
        <v>553</v>
      </c>
      <c r="F167" s="162" t="s">
        <v>502</v>
      </c>
      <c r="G167" s="75"/>
      <c r="H167" s="75">
        <f>7500000-230880</f>
        <v>7269120</v>
      </c>
      <c r="I167" s="75">
        <f t="shared" si="3"/>
        <v>7269120</v>
      </c>
      <c r="J167" s="223"/>
      <c r="K167" s="103"/>
      <c r="N167" s="143"/>
    </row>
    <row r="168" spans="1:14" s="94" customFormat="1" ht="36.75" customHeight="1">
      <c r="A168" s="88"/>
      <c r="B168" s="88" t="s">
        <v>175</v>
      </c>
      <c r="C168" s="88" t="s">
        <v>175</v>
      </c>
      <c r="D168" s="88"/>
      <c r="E168" s="89" t="s">
        <v>179</v>
      </c>
      <c r="F168" s="150"/>
      <c r="G168" s="80">
        <f>G169</f>
        <v>818931</v>
      </c>
      <c r="H168" s="80">
        <f>H169</f>
        <v>108583</v>
      </c>
      <c r="I168" s="80">
        <f aca="true" t="shared" si="4" ref="I168:I176">G168+H168</f>
        <v>927514</v>
      </c>
      <c r="J168" s="129"/>
      <c r="K168" s="96"/>
      <c r="N168" s="143"/>
    </row>
    <row r="169" spans="1:14" s="94" customFormat="1" ht="31.5" customHeight="1">
      <c r="A169" s="25" t="s">
        <v>711</v>
      </c>
      <c r="B169" s="25"/>
      <c r="C169" s="25"/>
      <c r="D169" s="25"/>
      <c r="E169" s="195" t="s">
        <v>179</v>
      </c>
      <c r="F169" s="182"/>
      <c r="G169" s="80">
        <f>G170+G172+G174</f>
        <v>818931</v>
      </c>
      <c r="H169" s="80">
        <f>H170+H172+H174</f>
        <v>108583</v>
      </c>
      <c r="I169" s="80">
        <f t="shared" si="4"/>
        <v>927514</v>
      </c>
      <c r="J169" s="129"/>
      <c r="K169" s="96"/>
      <c r="N169" s="143"/>
    </row>
    <row r="170" spans="1:14" s="94" customFormat="1" ht="15.75" customHeight="1" hidden="1">
      <c r="A170" s="272" t="s">
        <v>712</v>
      </c>
      <c r="B170" s="272" t="s">
        <v>1015</v>
      </c>
      <c r="C170" s="273" t="s">
        <v>537</v>
      </c>
      <c r="D170" s="273"/>
      <c r="E170" s="256" t="s">
        <v>538</v>
      </c>
      <c r="F170" s="182"/>
      <c r="G170" s="80">
        <f>G171</f>
        <v>0</v>
      </c>
      <c r="H170" s="80">
        <f>H171</f>
        <v>0</v>
      </c>
      <c r="I170" s="80">
        <f t="shared" si="4"/>
        <v>0</v>
      </c>
      <c r="J170" s="129"/>
      <c r="K170" s="96"/>
      <c r="N170" s="143"/>
    </row>
    <row r="171" spans="1:14" s="94" customFormat="1" ht="47.25" customHeight="1" hidden="1">
      <c r="A171" s="244" t="s">
        <v>713</v>
      </c>
      <c r="B171" s="244" t="s">
        <v>466</v>
      </c>
      <c r="C171" s="244" t="s">
        <v>164</v>
      </c>
      <c r="D171" s="244" t="s">
        <v>431</v>
      </c>
      <c r="E171" s="301" t="s">
        <v>714</v>
      </c>
      <c r="F171" s="345" t="s">
        <v>1158</v>
      </c>
      <c r="G171" s="75"/>
      <c r="H171" s="75"/>
      <c r="I171" s="75">
        <f t="shared" si="4"/>
        <v>0</v>
      </c>
      <c r="J171" s="219"/>
      <c r="K171" s="96"/>
      <c r="N171" s="143"/>
    </row>
    <row r="172" spans="1:14" s="94" customFormat="1" ht="15.75">
      <c r="A172" s="273"/>
      <c r="B172" s="273"/>
      <c r="C172" s="273" t="s">
        <v>572</v>
      </c>
      <c r="D172" s="273"/>
      <c r="E172" s="256" t="s">
        <v>573</v>
      </c>
      <c r="F172" s="182"/>
      <c r="G172" s="80">
        <f>G173</f>
        <v>312136</v>
      </c>
      <c r="H172" s="80">
        <f>H173</f>
        <v>108583</v>
      </c>
      <c r="I172" s="80">
        <f t="shared" si="4"/>
        <v>420719</v>
      </c>
      <c r="J172" s="219"/>
      <c r="K172" s="96"/>
      <c r="N172" s="143"/>
    </row>
    <row r="173" spans="1:14" s="94" customFormat="1" ht="63" customHeight="1">
      <c r="A173" s="244" t="s">
        <v>720</v>
      </c>
      <c r="B173" s="244" t="s">
        <v>443</v>
      </c>
      <c r="C173" s="25" t="s">
        <v>523</v>
      </c>
      <c r="D173" s="25" t="s">
        <v>435</v>
      </c>
      <c r="E173" s="9" t="s">
        <v>721</v>
      </c>
      <c r="F173" s="177" t="s">
        <v>528</v>
      </c>
      <c r="G173" s="75">
        <v>312136</v>
      </c>
      <c r="H173" s="75">
        <v>108583</v>
      </c>
      <c r="I173" s="75">
        <f t="shared" si="4"/>
        <v>420719</v>
      </c>
      <c r="J173" s="219"/>
      <c r="K173" s="96"/>
      <c r="N173" s="143"/>
    </row>
    <row r="174" spans="1:14" s="94" customFormat="1" ht="15.75" customHeight="1">
      <c r="A174" s="273"/>
      <c r="B174" s="273"/>
      <c r="C174" s="273" t="s">
        <v>594</v>
      </c>
      <c r="D174" s="273"/>
      <c r="E174" s="256" t="s">
        <v>595</v>
      </c>
      <c r="F174" s="182"/>
      <c r="G174" s="80">
        <f>G175</f>
        <v>506795</v>
      </c>
      <c r="H174" s="80">
        <f>H175</f>
        <v>0</v>
      </c>
      <c r="I174" s="80">
        <f t="shared" si="4"/>
        <v>506795</v>
      </c>
      <c r="J174" s="219"/>
      <c r="K174" s="96"/>
      <c r="N174" s="143"/>
    </row>
    <row r="175" spans="1:14" s="94" customFormat="1" ht="34.5" customHeight="1">
      <c r="A175" s="244" t="s">
        <v>715</v>
      </c>
      <c r="B175" s="244" t="s">
        <v>1088</v>
      </c>
      <c r="C175" s="25"/>
      <c r="D175" s="25"/>
      <c r="E175" s="252" t="s">
        <v>716</v>
      </c>
      <c r="F175" s="182"/>
      <c r="G175" s="75">
        <f>G176</f>
        <v>506795</v>
      </c>
      <c r="H175" s="75">
        <f>H176</f>
        <v>0</v>
      </c>
      <c r="I175" s="75">
        <f t="shared" si="4"/>
        <v>506795</v>
      </c>
      <c r="J175" s="219"/>
      <c r="K175" s="96"/>
      <c r="N175" s="143"/>
    </row>
    <row r="176" spans="1:14" s="94" customFormat="1" ht="61.5" customHeight="1">
      <c r="A176" s="244" t="s">
        <v>717</v>
      </c>
      <c r="B176" s="244" t="s">
        <v>1089</v>
      </c>
      <c r="C176" s="25" t="s">
        <v>524</v>
      </c>
      <c r="D176" s="25" t="s">
        <v>718</v>
      </c>
      <c r="E176" s="372" t="s">
        <v>719</v>
      </c>
      <c r="F176" s="177" t="s">
        <v>529</v>
      </c>
      <c r="G176" s="75">
        <v>506795</v>
      </c>
      <c r="H176" s="75"/>
      <c r="I176" s="75">
        <f t="shared" si="4"/>
        <v>506795</v>
      </c>
      <c r="J176" s="219"/>
      <c r="K176" s="96"/>
      <c r="N176" s="143"/>
    </row>
    <row r="177" spans="1:14" s="94" customFormat="1" ht="47.25" customHeight="1" hidden="1">
      <c r="A177" s="88"/>
      <c r="B177" s="88" t="s">
        <v>186</v>
      </c>
      <c r="C177" s="88" t="s">
        <v>186</v>
      </c>
      <c r="D177" s="88"/>
      <c r="E177" s="89" t="s">
        <v>518</v>
      </c>
      <c r="F177" s="148"/>
      <c r="G177" s="80">
        <f aca="true" t="shared" si="5" ref="G177:H179">G178</f>
        <v>0</v>
      </c>
      <c r="H177" s="80">
        <f t="shared" si="5"/>
        <v>0</v>
      </c>
      <c r="I177" s="80">
        <f>G177+H177</f>
        <v>0</v>
      </c>
      <c r="J177" s="129"/>
      <c r="K177" s="96"/>
      <c r="N177" s="143"/>
    </row>
    <row r="178" spans="1:14" s="94" customFormat="1" ht="30.75" customHeight="1" hidden="1">
      <c r="A178" s="25" t="s">
        <v>722</v>
      </c>
      <c r="B178" s="25"/>
      <c r="C178" s="25"/>
      <c r="D178" s="25"/>
      <c r="E178" s="256" t="s">
        <v>518</v>
      </c>
      <c r="F178" s="182"/>
      <c r="G178" s="80">
        <f t="shared" si="5"/>
        <v>0</v>
      </c>
      <c r="H178" s="80">
        <f t="shared" si="5"/>
        <v>0</v>
      </c>
      <c r="I178" s="80"/>
      <c r="J178" s="129"/>
      <c r="K178" s="96"/>
      <c r="N178" s="143"/>
    </row>
    <row r="179" spans="1:14" s="94" customFormat="1" ht="15.75" customHeight="1" hidden="1">
      <c r="A179" s="272" t="s">
        <v>723</v>
      </c>
      <c r="B179" s="272" t="s">
        <v>1015</v>
      </c>
      <c r="C179" s="273" t="s">
        <v>537</v>
      </c>
      <c r="D179" s="273"/>
      <c r="E179" s="256" t="s">
        <v>538</v>
      </c>
      <c r="F179" s="182"/>
      <c r="G179" s="80">
        <f t="shared" si="5"/>
        <v>0</v>
      </c>
      <c r="H179" s="80">
        <f t="shared" si="5"/>
        <v>0</v>
      </c>
      <c r="I179" s="80"/>
      <c r="J179" s="129"/>
      <c r="K179" s="96"/>
      <c r="N179" s="143"/>
    </row>
    <row r="180" spans="1:14" s="94" customFormat="1" ht="47.25" customHeight="1" hidden="1">
      <c r="A180" s="244" t="s">
        <v>724</v>
      </c>
      <c r="B180" s="244" t="s">
        <v>466</v>
      </c>
      <c r="C180" s="244" t="s">
        <v>164</v>
      </c>
      <c r="D180" s="244" t="s">
        <v>431</v>
      </c>
      <c r="E180" s="301" t="s">
        <v>725</v>
      </c>
      <c r="F180" s="345" t="s">
        <v>1158</v>
      </c>
      <c r="G180" s="75"/>
      <c r="H180" s="75"/>
      <c r="I180" s="75">
        <f>G180+H180</f>
        <v>0</v>
      </c>
      <c r="J180" s="219"/>
      <c r="K180" s="103"/>
      <c r="N180" s="143"/>
    </row>
    <row r="181" spans="1:14" s="94" customFormat="1" ht="36.75" customHeight="1">
      <c r="A181" s="88"/>
      <c r="B181" s="88" t="s">
        <v>147</v>
      </c>
      <c r="C181" s="88" t="s">
        <v>147</v>
      </c>
      <c r="D181" s="86"/>
      <c r="E181" s="89" t="s">
        <v>511</v>
      </c>
      <c r="F181" s="150"/>
      <c r="G181" s="80">
        <f>G182</f>
        <v>7401755</v>
      </c>
      <c r="H181" s="80">
        <f>H182</f>
        <v>14343170</v>
      </c>
      <c r="I181" s="80">
        <f aca="true" t="shared" si="6" ref="I181:I239">G181+H181</f>
        <v>21744925</v>
      </c>
      <c r="J181" s="129"/>
      <c r="K181" s="103"/>
      <c r="L181" s="105"/>
      <c r="N181" s="143"/>
    </row>
    <row r="182" spans="1:14" s="94" customFormat="1" ht="31.5" customHeight="1">
      <c r="A182" s="25" t="s">
        <v>726</v>
      </c>
      <c r="B182" s="25"/>
      <c r="C182" s="25"/>
      <c r="D182" s="25"/>
      <c r="E182" s="195" t="s">
        <v>511</v>
      </c>
      <c r="F182" s="180"/>
      <c r="G182" s="80">
        <f>G183+G185+G201+G203</f>
        <v>7401755</v>
      </c>
      <c r="H182" s="80">
        <f>H183+H185+H201+H203</f>
        <v>14343170</v>
      </c>
      <c r="I182" s="80">
        <f t="shared" si="6"/>
        <v>21744925</v>
      </c>
      <c r="J182" s="129"/>
      <c r="K182" s="103"/>
      <c r="L182" s="105"/>
      <c r="N182" s="143"/>
    </row>
    <row r="183" spans="1:14" s="94" customFormat="1" ht="15.75" customHeight="1">
      <c r="A183" s="272" t="s">
        <v>727</v>
      </c>
      <c r="B183" s="272" t="s">
        <v>1015</v>
      </c>
      <c r="C183" s="273" t="s">
        <v>537</v>
      </c>
      <c r="D183" s="273"/>
      <c r="E183" s="256" t="s">
        <v>538</v>
      </c>
      <c r="F183" s="180"/>
      <c r="G183" s="80">
        <f>G184</f>
        <v>0</v>
      </c>
      <c r="H183" s="80">
        <f>H184</f>
        <v>1546654</v>
      </c>
      <c r="I183" s="80">
        <f t="shared" si="6"/>
        <v>1546654</v>
      </c>
      <c r="J183" s="129"/>
      <c r="K183" s="103"/>
      <c r="L183" s="105"/>
      <c r="N183" s="143"/>
    </row>
    <row r="184" spans="1:14" s="94" customFormat="1" ht="47.25" customHeight="1">
      <c r="A184" s="244" t="s">
        <v>728</v>
      </c>
      <c r="B184" s="244" t="s">
        <v>466</v>
      </c>
      <c r="C184" s="244" t="s">
        <v>164</v>
      </c>
      <c r="D184" s="244" t="s">
        <v>431</v>
      </c>
      <c r="E184" s="301" t="s">
        <v>1134</v>
      </c>
      <c r="F184" s="157" t="s">
        <v>490</v>
      </c>
      <c r="G184" s="75"/>
      <c r="H184" s="75">
        <v>1546654</v>
      </c>
      <c r="I184" s="75">
        <f t="shared" si="6"/>
        <v>1546654</v>
      </c>
      <c r="J184" s="129"/>
      <c r="K184" s="103"/>
      <c r="N184" s="143"/>
    </row>
    <row r="185" spans="1:14" s="94" customFormat="1" ht="15.75" customHeight="1">
      <c r="A185" s="272" t="s">
        <v>729</v>
      </c>
      <c r="B185" s="272" t="s">
        <v>1090</v>
      </c>
      <c r="C185" s="272" t="s">
        <v>730</v>
      </c>
      <c r="D185" s="272"/>
      <c r="E185" s="257" t="s">
        <v>731</v>
      </c>
      <c r="F185" s="180"/>
      <c r="G185" s="80">
        <f>G186+G187+G188+G189+G190+G191+G193+G194+G195+G192</f>
        <v>6779550</v>
      </c>
      <c r="H185" s="80">
        <f>H186+H187+H188+H189+H190+H191+H193+H194+H195+H192</f>
        <v>11320966</v>
      </c>
      <c r="I185" s="80">
        <f>I186+I187+I188+I189+I190+I191+I193+I194+I195+I192</f>
        <v>18100516</v>
      </c>
      <c r="J185" s="129"/>
      <c r="K185" s="103"/>
      <c r="N185" s="143"/>
    </row>
    <row r="186" spans="1:14" s="94" customFormat="1" ht="47.25">
      <c r="A186" s="244" t="s">
        <v>732</v>
      </c>
      <c r="B186" s="244" t="s">
        <v>1091</v>
      </c>
      <c r="C186" s="244">
        <v>110102</v>
      </c>
      <c r="D186" s="244" t="s">
        <v>454</v>
      </c>
      <c r="E186" s="252" t="s">
        <v>159</v>
      </c>
      <c r="F186" s="170" t="s">
        <v>490</v>
      </c>
      <c r="G186" s="75">
        <v>198880</v>
      </c>
      <c r="H186" s="75">
        <v>808480</v>
      </c>
      <c r="I186" s="75">
        <f t="shared" si="6"/>
        <v>1007360</v>
      </c>
      <c r="J186" s="219"/>
      <c r="K186" s="96"/>
      <c r="N186" s="143"/>
    </row>
    <row r="187" spans="1:14" s="94" customFormat="1" ht="53.25" customHeight="1">
      <c r="A187" s="242" t="s">
        <v>733</v>
      </c>
      <c r="B187" s="242" t="s">
        <v>1092</v>
      </c>
      <c r="C187" s="242">
        <v>110201</v>
      </c>
      <c r="D187" s="242" t="s">
        <v>455</v>
      </c>
      <c r="E187" s="253" t="s">
        <v>161</v>
      </c>
      <c r="F187" s="157" t="s">
        <v>490</v>
      </c>
      <c r="G187" s="75">
        <v>864793</v>
      </c>
      <c r="H187" s="75">
        <f>985409+242524</f>
        <v>1227933</v>
      </c>
      <c r="I187" s="75">
        <f t="shared" si="6"/>
        <v>2092726</v>
      </c>
      <c r="J187" s="219"/>
      <c r="K187" s="103"/>
      <c r="M187" s="105"/>
      <c r="N187" s="143"/>
    </row>
    <row r="188" spans="1:14" s="94" customFormat="1" ht="31.5">
      <c r="A188" s="242" t="s">
        <v>733</v>
      </c>
      <c r="B188" s="242" t="s">
        <v>1092</v>
      </c>
      <c r="C188" s="242">
        <v>110201</v>
      </c>
      <c r="D188" s="242" t="s">
        <v>455</v>
      </c>
      <c r="E188" s="253" t="s">
        <v>161</v>
      </c>
      <c r="F188" s="90" t="s">
        <v>1166</v>
      </c>
      <c r="G188" s="79">
        <f>10000+25000+12000+17000+8000</f>
        <v>72000</v>
      </c>
      <c r="H188" s="79">
        <f>38000+13000+30500+11000</f>
        <v>92500</v>
      </c>
      <c r="I188" s="79">
        <f t="shared" si="6"/>
        <v>164500</v>
      </c>
      <c r="J188" s="227"/>
      <c r="K188" s="96"/>
      <c r="N188" s="143"/>
    </row>
    <row r="189" spans="1:14" s="94" customFormat="1" ht="60" customHeight="1">
      <c r="A189" s="242" t="s">
        <v>734</v>
      </c>
      <c r="B189" s="242" t="s">
        <v>1093</v>
      </c>
      <c r="C189" s="242">
        <v>110204</v>
      </c>
      <c r="D189" s="242" t="s">
        <v>456</v>
      </c>
      <c r="E189" s="358" t="s">
        <v>169</v>
      </c>
      <c r="F189" s="157" t="s">
        <v>490</v>
      </c>
      <c r="G189" s="75">
        <v>22392</v>
      </c>
      <c r="H189" s="75">
        <v>4657870</v>
      </c>
      <c r="I189" s="75">
        <f t="shared" si="6"/>
        <v>4680262</v>
      </c>
      <c r="J189" s="219"/>
      <c r="K189" s="103"/>
      <c r="L189" s="105"/>
      <c r="M189" s="105"/>
      <c r="N189" s="143"/>
    </row>
    <row r="190" spans="1:14" s="94" customFormat="1" ht="31.5">
      <c r="A190" s="242" t="s">
        <v>734</v>
      </c>
      <c r="B190" s="242" t="s">
        <v>1093</v>
      </c>
      <c r="C190" s="242">
        <v>110204</v>
      </c>
      <c r="D190" s="242" t="s">
        <v>456</v>
      </c>
      <c r="E190" s="358" t="s">
        <v>169</v>
      </c>
      <c r="F190" s="90" t="s">
        <v>1166</v>
      </c>
      <c r="G190" s="319">
        <f>500000-472900</f>
        <v>27100</v>
      </c>
      <c r="H190" s="319">
        <f>500000+25000</f>
        <v>525000</v>
      </c>
      <c r="I190" s="319">
        <f t="shared" si="6"/>
        <v>552100</v>
      </c>
      <c r="J190" s="226"/>
      <c r="K190" s="96"/>
      <c r="N190" s="143"/>
    </row>
    <row r="191" spans="1:14" s="94" customFormat="1" ht="47.25">
      <c r="A191" s="242" t="s">
        <v>735</v>
      </c>
      <c r="B191" s="242" t="s">
        <v>1094</v>
      </c>
      <c r="C191" s="242">
        <v>110205</v>
      </c>
      <c r="D191" s="242" t="s">
        <v>437</v>
      </c>
      <c r="E191" s="253" t="s">
        <v>167</v>
      </c>
      <c r="F191" s="157" t="s">
        <v>490</v>
      </c>
      <c r="G191" s="75">
        <v>275013</v>
      </c>
      <c r="H191" s="75">
        <f>4186142-242524</f>
        <v>3943618</v>
      </c>
      <c r="I191" s="75">
        <f t="shared" si="6"/>
        <v>4218631</v>
      </c>
      <c r="J191" s="219"/>
      <c r="K191" s="103"/>
      <c r="M191" s="105"/>
      <c r="N191" s="143"/>
    </row>
    <row r="192" spans="1:14" s="94" customFormat="1" ht="47.25">
      <c r="A192" s="242" t="s">
        <v>735</v>
      </c>
      <c r="B192" s="242" t="s">
        <v>1094</v>
      </c>
      <c r="C192" s="242">
        <v>110205</v>
      </c>
      <c r="D192" s="242" t="s">
        <v>437</v>
      </c>
      <c r="E192" s="253" t="s">
        <v>167</v>
      </c>
      <c r="F192" s="352" t="s">
        <v>1180</v>
      </c>
      <c r="G192" s="75">
        <v>134435</v>
      </c>
      <c r="H192" s="75">
        <v>65565</v>
      </c>
      <c r="I192" s="75">
        <f t="shared" si="6"/>
        <v>200000</v>
      </c>
      <c r="J192" s="219"/>
      <c r="K192" s="103"/>
      <c r="M192" s="105"/>
      <c r="N192" s="143"/>
    </row>
    <row r="193" spans="1:14" s="110" customFormat="1" ht="52.5" customHeight="1">
      <c r="A193" s="242" t="s">
        <v>735</v>
      </c>
      <c r="B193" s="242" t="s">
        <v>1094</v>
      </c>
      <c r="C193" s="242">
        <v>110205</v>
      </c>
      <c r="D193" s="242" t="s">
        <v>437</v>
      </c>
      <c r="E193" s="253" t="s">
        <v>167</v>
      </c>
      <c r="F193" s="90" t="s">
        <v>1166</v>
      </c>
      <c r="G193" s="320">
        <f>13000+15000</f>
        <v>28000</v>
      </c>
      <c r="H193" s="320"/>
      <c r="I193" s="320">
        <f t="shared" si="6"/>
        <v>28000</v>
      </c>
      <c r="J193" s="230"/>
      <c r="K193" s="109"/>
      <c r="M193" s="111"/>
      <c r="N193" s="112"/>
    </row>
    <row r="194" spans="1:15" s="94" customFormat="1" ht="47.25">
      <c r="A194" s="244" t="s">
        <v>736</v>
      </c>
      <c r="B194" s="244" t="s">
        <v>1095</v>
      </c>
      <c r="C194" s="244" t="s">
        <v>737</v>
      </c>
      <c r="D194" s="244" t="s">
        <v>458</v>
      </c>
      <c r="E194" s="252" t="s">
        <v>29</v>
      </c>
      <c r="F194" s="157" t="s">
        <v>490</v>
      </c>
      <c r="G194" s="317">
        <v>2726604</v>
      </c>
      <c r="H194" s="317"/>
      <c r="I194" s="317">
        <f t="shared" si="6"/>
        <v>2726604</v>
      </c>
      <c r="J194" s="225"/>
      <c r="K194" s="96"/>
      <c r="N194" s="104"/>
      <c r="O194" s="105"/>
    </row>
    <row r="195" spans="1:14" s="94" customFormat="1" ht="47.25">
      <c r="A195" s="244" t="s">
        <v>738</v>
      </c>
      <c r="B195" s="244" t="s">
        <v>1096</v>
      </c>
      <c r="C195" s="244" t="s">
        <v>739</v>
      </c>
      <c r="D195" s="244" t="s">
        <v>457</v>
      </c>
      <c r="E195" s="252" t="s">
        <v>17</v>
      </c>
      <c r="F195" s="361" t="s">
        <v>490</v>
      </c>
      <c r="G195" s="317">
        <f>G196+G197+G198+G199+G200</f>
        <v>2430333</v>
      </c>
      <c r="H195" s="317">
        <f>H196+H197+H198+H199+H200</f>
        <v>0</v>
      </c>
      <c r="I195" s="317">
        <f t="shared" si="6"/>
        <v>2430333</v>
      </c>
      <c r="J195" s="225"/>
      <c r="K195" s="96"/>
      <c r="N195" s="143"/>
    </row>
    <row r="196" spans="1:14" s="94" customFormat="1" ht="47.25" customHeight="1" hidden="1">
      <c r="A196" s="244" t="s">
        <v>738</v>
      </c>
      <c r="B196" s="244" t="s">
        <v>1096</v>
      </c>
      <c r="C196" s="244">
        <v>110502</v>
      </c>
      <c r="D196" s="244" t="s">
        <v>457</v>
      </c>
      <c r="E196" s="252" t="s">
        <v>17</v>
      </c>
      <c r="F196" s="180" t="s">
        <v>490</v>
      </c>
      <c r="G196" s="317"/>
      <c r="H196" s="317"/>
      <c r="I196" s="317">
        <f t="shared" si="6"/>
        <v>0</v>
      </c>
      <c r="J196" s="225"/>
      <c r="K196" s="96"/>
      <c r="N196" s="143"/>
    </row>
    <row r="197" spans="1:14" s="94" customFormat="1" ht="47.25" customHeight="1" hidden="1">
      <c r="A197" s="244" t="s">
        <v>738</v>
      </c>
      <c r="B197" s="244" t="s">
        <v>1096</v>
      </c>
      <c r="C197" s="244" t="s">
        <v>739</v>
      </c>
      <c r="D197" s="244" t="s">
        <v>457</v>
      </c>
      <c r="E197" s="252" t="s">
        <v>17</v>
      </c>
      <c r="F197" s="180" t="s">
        <v>490</v>
      </c>
      <c r="G197" s="317"/>
      <c r="H197" s="317"/>
      <c r="I197" s="317">
        <f t="shared" si="6"/>
        <v>0</v>
      </c>
      <c r="J197" s="225"/>
      <c r="K197" s="96"/>
      <c r="N197" s="143"/>
    </row>
    <row r="198" spans="1:14" s="94" customFormat="1" ht="47.25" customHeight="1" hidden="1">
      <c r="A198" s="244" t="s">
        <v>738</v>
      </c>
      <c r="B198" s="244" t="s">
        <v>1096</v>
      </c>
      <c r="C198" s="244" t="s">
        <v>739</v>
      </c>
      <c r="D198" s="244" t="s">
        <v>457</v>
      </c>
      <c r="E198" s="252" t="s">
        <v>17</v>
      </c>
      <c r="F198" s="180" t="s">
        <v>490</v>
      </c>
      <c r="G198" s="317">
        <v>887659</v>
      </c>
      <c r="H198" s="317"/>
      <c r="I198" s="317">
        <f t="shared" si="6"/>
        <v>887659</v>
      </c>
      <c r="J198" s="225"/>
      <c r="K198" s="96"/>
      <c r="N198" s="143"/>
    </row>
    <row r="199" spans="1:14" s="94" customFormat="1" ht="47.25" customHeight="1" hidden="1">
      <c r="A199" s="244" t="s">
        <v>738</v>
      </c>
      <c r="B199" s="244" t="s">
        <v>1096</v>
      </c>
      <c r="C199" s="244" t="s">
        <v>739</v>
      </c>
      <c r="D199" s="244" t="s">
        <v>457</v>
      </c>
      <c r="E199" s="252" t="s">
        <v>17</v>
      </c>
      <c r="F199" s="180" t="s">
        <v>490</v>
      </c>
      <c r="G199" s="317">
        <v>1542674</v>
      </c>
      <c r="H199" s="317"/>
      <c r="I199" s="317">
        <f t="shared" si="6"/>
        <v>1542674</v>
      </c>
      <c r="J199" s="225"/>
      <c r="K199" s="96"/>
      <c r="N199" s="143"/>
    </row>
    <row r="200" spans="1:14" s="94" customFormat="1" ht="47.25" customHeight="1" hidden="1">
      <c r="A200" s="244" t="s">
        <v>740</v>
      </c>
      <c r="B200" s="244" t="s">
        <v>1097</v>
      </c>
      <c r="C200" s="244" t="s">
        <v>739</v>
      </c>
      <c r="D200" s="244" t="s">
        <v>457</v>
      </c>
      <c r="E200" s="301" t="s">
        <v>741</v>
      </c>
      <c r="F200" s="180" t="s">
        <v>490</v>
      </c>
      <c r="G200" s="317"/>
      <c r="H200" s="317"/>
      <c r="I200" s="317">
        <f t="shared" si="6"/>
        <v>0</v>
      </c>
      <c r="J200" s="225"/>
      <c r="K200" s="96"/>
      <c r="N200" s="143"/>
    </row>
    <row r="201" spans="1:14" s="94" customFormat="1" ht="15.75" customHeight="1">
      <c r="A201" s="272" t="s">
        <v>742</v>
      </c>
      <c r="B201" s="272" t="s">
        <v>1020</v>
      </c>
      <c r="C201" s="272" t="s">
        <v>550</v>
      </c>
      <c r="D201" s="272"/>
      <c r="E201" s="303" t="s">
        <v>672</v>
      </c>
      <c r="F201" s="180"/>
      <c r="G201" s="300">
        <f>G202</f>
        <v>0</v>
      </c>
      <c r="H201" s="300">
        <f>H202</f>
        <v>1475550</v>
      </c>
      <c r="I201" s="300">
        <f t="shared" si="6"/>
        <v>1475550</v>
      </c>
      <c r="J201" s="220"/>
      <c r="K201" s="96"/>
      <c r="N201" s="143"/>
    </row>
    <row r="202" spans="1:14" s="94" customFormat="1" ht="56.25" customHeight="1">
      <c r="A202" s="244" t="s">
        <v>743</v>
      </c>
      <c r="B202" s="244" t="s">
        <v>1021</v>
      </c>
      <c r="C202" s="244" t="s">
        <v>83</v>
      </c>
      <c r="D202" s="244" t="s">
        <v>433</v>
      </c>
      <c r="E202" s="252" t="s">
        <v>553</v>
      </c>
      <c r="F202" s="157" t="s">
        <v>490</v>
      </c>
      <c r="G202" s="269"/>
      <c r="H202" s="269">
        <v>1475550</v>
      </c>
      <c r="I202" s="269">
        <f t="shared" si="6"/>
        <v>1475550</v>
      </c>
      <c r="J202" s="224"/>
      <c r="K202" s="103"/>
      <c r="N202" s="143"/>
    </row>
    <row r="203" spans="1:14" s="94" customFormat="1" ht="31.5">
      <c r="A203" s="272" t="s">
        <v>745</v>
      </c>
      <c r="B203" s="272" t="s">
        <v>1098</v>
      </c>
      <c r="C203" s="272" t="s">
        <v>205</v>
      </c>
      <c r="D203" s="272" t="s">
        <v>441</v>
      </c>
      <c r="E203" s="303" t="s">
        <v>206</v>
      </c>
      <c r="F203" s="347" t="s">
        <v>1167</v>
      </c>
      <c r="G203" s="269">
        <f>G204</f>
        <v>622205</v>
      </c>
      <c r="H203" s="269">
        <f>H204</f>
        <v>0</v>
      </c>
      <c r="I203" s="269">
        <f t="shared" si="6"/>
        <v>622205</v>
      </c>
      <c r="J203" s="224"/>
      <c r="K203" s="103"/>
      <c r="N203" s="143"/>
    </row>
    <row r="204" spans="1:14" s="94" customFormat="1" ht="39" customHeight="1" hidden="1">
      <c r="A204" s="25" t="s">
        <v>746</v>
      </c>
      <c r="B204" s="25" t="s">
        <v>1099</v>
      </c>
      <c r="C204" s="25" t="s">
        <v>205</v>
      </c>
      <c r="D204" s="25" t="s">
        <v>441</v>
      </c>
      <c r="E204" s="302" t="s">
        <v>744</v>
      </c>
      <c r="F204" s="347" t="s">
        <v>1167</v>
      </c>
      <c r="G204" s="269">
        <v>622205</v>
      </c>
      <c r="H204" s="269"/>
      <c r="I204" s="269">
        <f t="shared" si="6"/>
        <v>622205</v>
      </c>
      <c r="J204" s="224"/>
      <c r="K204" s="103"/>
      <c r="N204" s="143"/>
    </row>
    <row r="205" spans="1:14" s="94" customFormat="1" ht="54" customHeight="1">
      <c r="A205" s="88"/>
      <c r="B205" s="88" t="s">
        <v>146</v>
      </c>
      <c r="C205" s="88" t="s">
        <v>146</v>
      </c>
      <c r="D205" s="88"/>
      <c r="E205" s="89" t="s">
        <v>514</v>
      </c>
      <c r="F205" s="353"/>
      <c r="G205" s="80">
        <f>G206</f>
        <v>3595265</v>
      </c>
      <c r="H205" s="80">
        <f>H206</f>
        <v>5190788</v>
      </c>
      <c r="I205" s="80">
        <f t="shared" si="6"/>
        <v>8786053</v>
      </c>
      <c r="J205" s="129"/>
      <c r="K205" s="103"/>
      <c r="N205" s="143"/>
    </row>
    <row r="206" spans="1:14" s="94" customFormat="1" ht="30" customHeight="1">
      <c r="A206" s="25" t="s">
        <v>747</v>
      </c>
      <c r="B206" s="25"/>
      <c r="C206" s="25"/>
      <c r="D206" s="25"/>
      <c r="E206" s="195" t="s">
        <v>514</v>
      </c>
      <c r="F206" s="199"/>
      <c r="G206" s="80">
        <f>G207+G210+G213+G215</f>
        <v>3595265</v>
      </c>
      <c r="H206" s="80">
        <f>H207+H210+H213+H215</f>
        <v>5190788</v>
      </c>
      <c r="I206" s="80">
        <f t="shared" si="6"/>
        <v>8786053</v>
      </c>
      <c r="J206" s="129"/>
      <c r="K206" s="103"/>
      <c r="N206" s="143"/>
    </row>
    <row r="207" spans="1:14" s="94" customFormat="1" ht="15.75" customHeight="1">
      <c r="A207" s="272" t="s">
        <v>748</v>
      </c>
      <c r="B207" s="272" t="s">
        <v>1015</v>
      </c>
      <c r="C207" s="273" t="s">
        <v>537</v>
      </c>
      <c r="D207" s="273"/>
      <c r="E207" s="256" t="s">
        <v>538</v>
      </c>
      <c r="F207" s="199"/>
      <c r="G207" s="80">
        <f>G208+G209</f>
        <v>0</v>
      </c>
      <c r="H207" s="80">
        <f>H208+H209</f>
        <v>1911496</v>
      </c>
      <c r="I207" s="80">
        <f t="shared" si="6"/>
        <v>1911496</v>
      </c>
      <c r="J207" s="129"/>
      <c r="K207" s="103"/>
      <c r="N207" s="143"/>
    </row>
    <row r="208" spans="1:14" s="94" customFormat="1" ht="57.75" customHeight="1">
      <c r="A208" s="242" t="s">
        <v>749</v>
      </c>
      <c r="B208" s="242" t="s">
        <v>466</v>
      </c>
      <c r="C208" s="242" t="s">
        <v>164</v>
      </c>
      <c r="D208" s="419" t="s">
        <v>431</v>
      </c>
      <c r="E208" s="421" t="s">
        <v>750</v>
      </c>
      <c r="F208" s="162" t="s">
        <v>500</v>
      </c>
      <c r="G208" s="75"/>
      <c r="H208" s="75">
        <v>1911496</v>
      </c>
      <c r="I208" s="75">
        <f t="shared" si="6"/>
        <v>1911496</v>
      </c>
      <c r="J208" s="219"/>
      <c r="K208" s="103"/>
      <c r="N208" s="143"/>
    </row>
    <row r="209" spans="1:14" s="94" customFormat="1" ht="57.75" customHeight="1" hidden="1">
      <c r="A209" s="242" t="s">
        <v>749</v>
      </c>
      <c r="B209" s="242" t="s">
        <v>466</v>
      </c>
      <c r="C209" s="242" t="s">
        <v>164</v>
      </c>
      <c r="D209" s="420"/>
      <c r="E209" s="422"/>
      <c r="F209" s="345" t="s">
        <v>1158</v>
      </c>
      <c r="G209" s="75"/>
      <c r="H209" s="75"/>
      <c r="I209" s="75">
        <f t="shared" si="6"/>
        <v>0</v>
      </c>
      <c r="J209" s="219"/>
      <c r="K209" s="103"/>
      <c r="N209" s="143"/>
    </row>
    <row r="210" spans="1:14" s="94" customFormat="1" ht="26.25" customHeight="1">
      <c r="A210" s="272" t="s">
        <v>751</v>
      </c>
      <c r="B210" s="272" t="s">
        <v>1020</v>
      </c>
      <c r="C210" s="272" t="s">
        <v>550</v>
      </c>
      <c r="D210" s="272"/>
      <c r="E210" s="257" t="s">
        <v>672</v>
      </c>
      <c r="F210" s="199"/>
      <c r="G210" s="299">
        <f>+G211</f>
        <v>0</v>
      </c>
      <c r="H210" s="299">
        <f>+H211+H212</f>
        <v>3279292</v>
      </c>
      <c r="I210" s="299">
        <f t="shared" si="6"/>
        <v>3279292</v>
      </c>
      <c r="J210" s="224"/>
      <c r="K210" s="103"/>
      <c r="N210" s="143"/>
    </row>
    <row r="211" spans="1:14" s="94" customFormat="1" ht="48" customHeight="1">
      <c r="A211" s="242" t="s">
        <v>752</v>
      </c>
      <c r="B211" s="242" t="s">
        <v>1021</v>
      </c>
      <c r="C211" s="242" t="s">
        <v>83</v>
      </c>
      <c r="D211" s="242" t="s">
        <v>433</v>
      </c>
      <c r="E211" s="253" t="s">
        <v>553</v>
      </c>
      <c r="F211" s="354" t="s">
        <v>1182</v>
      </c>
      <c r="G211" s="269"/>
      <c r="H211" s="269">
        <f>2670892</f>
        <v>2670892</v>
      </c>
      <c r="I211" s="269">
        <f t="shared" si="6"/>
        <v>2670892</v>
      </c>
      <c r="J211" s="224"/>
      <c r="K211" s="103"/>
      <c r="N211" s="143"/>
    </row>
    <row r="212" spans="1:14" s="94" customFormat="1" ht="48" customHeight="1">
      <c r="A212" s="242" t="s">
        <v>752</v>
      </c>
      <c r="B212" s="242" t="s">
        <v>1021</v>
      </c>
      <c r="C212" s="242" t="s">
        <v>83</v>
      </c>
      <c r="D212" s="242" t="s">
        <v>433</v>
      </c>
      <c r="E212" s="253" t="s">
        <v>553</v>
      </c>
      <c r="F212" s="354" t="s">
        <v>500</v>
      </c>
      <c r="G212" s="269"/>
      <c r="H212" s="269">
        <v>608400</v>
      </c>
      <c r="I212" s="269">
        <f t="shared" si="6"/>
        <v>608400</v>
      </c>
      <c r="J212" s="224"/>
      <c r="K212" s="103"/>
      <c r="N212" s="143"/>
    </row>
    <row r="213" spans="1:14" s="94" customFormat="1" ht="15.75" customHeight="1">
      <c r="A213" s="272" t="s">
        <v>753</v>
      </c>
      <c r="B213" s="272" t="s">
        <v>1023</v>
      </c>
      <c r="C213" s="272" t="s">
        <v>547</v>
      </c>
      <c r="D213" s="272"/>
      <c r="E213" s="257" t="s">
        <v>548</v>
      </c>
      <c r="F213" s="199"/>
      <c r="G213" s="80">
        <f>G214</f>
        <v>680000</v>
      </c>
      <c r="H213" s="80">
        <f>H214</f>
        <v>0</v>
      </c>
      <c r="I213" s="80">
        <f t="shared" si="6"/>
        <v>680000</v>
      </c>
      <c r="J213" s="219"/>
      <c r="K213" s="103"/>
      <c r="N213" s="143"/>
    </row>
    <row r="214" spans="1:15" s="94" customFormat="1" ht="51.75" customHeight="1">
      <c r="A214" s="244" t="s">
        <v>754</v>
      </c>
      <c r="B214" s="244" t="s">
        <v>1100</v>
      </c>
      <c r="C214" s="244" t="s">
        <v>101</v>
      </c>
      <c r="D214" s="244" t="s">
        <v>441</v>
      </c>
      <c r="E214" s="252" t="s">
        <v>755</v>
      </c>
      <c r="F214" s="345" t="s">
        <v>1168</v>
      </c>
      <c r="G214" s="75">
        <f>500000+80000+100000</f>
        <v>680000</v>
      </c>
      <c r="H214" s="75"/>
      <c r="I214" s="75">
        <f t="shared" si="6"/>
        <v>680000</v>
      </c>
      <c r="J214" s="219"/>
      <c r="K214" s="96"/>
      <c r="N214" s="104"/>
      <c r="O214" s="105"/>
    </row>
    <row r="215" spans="1:15" s="94" customFormat="1" ht="15.75" customHeight="1">
      <c r="A215" s="272" t="s">
        <v>756</v>
      </c>
      <c r="B215" s="272" t="s">
        <v>1025</v>
      </c>
      <c r="C215" s="272" t="s">
        <v>562</v>
      </c>
      <c r="D215" s="272"/>
      <c r="E215" s="257" t="s">
        <v>563</v>
      </c>
      <c r="F215" s="199"/>
      <c r="G215" s="75">
        <f>G216</f>
        <v>2915265</v>
      </c>
      <c r="H215" s="75">
        <f>H216</f>
        <v>0</v>
      </c>
      <c r="I215" s="75">
        <f t="shared" si="6"/>
        <v>2915265</v>
      </c>
      <c r="J215" s="219"/>
      <c r="K215" s="96"/>
      <c r="N215" s="104"/>
      <c r="O215" s="105"/>
    </row>
    <row r="216" spans="1:15" s="94" customFormat="1" ht="15.75" customHeight="1" hidden="1">
      <c r="A216" s="275" t="s">
        <v>757</v>
      </c>
      <c r="B216" s="275" t="s">
        <v>1026</v>
      </c>
      <c r="C216" s="275" t="s">
        <v>76</v>
      </c>
      <c r="D216" s="275"/>
      <c r="E216" s="304" t="s">
        <v>91</v>
      </c>
      <c r="F216" s="199"/>
      <c r="G216" s="75">
        <f>G217+G218</f>
        <v>2915265</v>
      </c>
      <c r="H216" s="75">
        <f>H217+H218</f>
        <v>0</v>
      </c>
      <c r="I216" s="75">
        <f t="shared" si="6"/>
        <v>2915265</v>
      </c>
      <c r="J216" s="219"/>
      <c r="K216" s="96"/>
      <c r="N216" s="104"/>
      <c r="O216" s="105"/>
    </row>
    <row r="217" spans="1:15" s="94" customFormat="1" ht="47.25" customHeight="1">
      <c r="A217" s="275" t="s">
        <v>757</v>
      </c>
      <c r="B217" s="275" t="s">
        <v>1026</v>
      </c>
      <c r="C217" s="244" t="s">
        <v>76</v>
      </c>
      <c r="D217" s="244" t="s">
        <v>434</v>
      </c>
      <c r="E217" s="304" t="s">
        <v>91</v>
      </c>
      <c r="F217" s="82" t="s">
        <v>1169</v>
      </c>
      <c r="G217" s="75">
        <v>699935</v>
      </c>
      <c r="H217" s="75"/>
      <c r="I217" s="75">
        <f t="shared" si="6"/>
        <v>699935</v>
      </c>
      <c r="J217" s="219"/>
      <c r="K217" s="96"/>
      <c r="N217" s="104"/>
      <c r="O217" s="105"/>
    </row>
    <row r="218" spans="1:15" s="94" customFormat="1" ht="47.25" customHeight="1">
      <c r="A218" s="275" t="s">
        <v>757</v>
      </c>
      <c r="B218" s="275" t="s">
        <v>1026</v>
      </c>
      <c r="C218" s="25" t="s">
        <v>76</v>
      </c>
      <c r="D218" s="25" t="s">
        <v>434</v>
      </c>
      <c r="E218" s="304" t="s">
        <v>91</v>
      </c>
      <c r="F218" s="82" t="s">
        <v>1170</v>
      </c>
      <c r="G218" s="265">
        <v>2215330</v>
      </c>
      <c r="H218" s="265"/>
      <c r="I218" s="265">
        <f t="shared" si="6"/>
        <v>2215330</v>
      </c>
      <c r="J218" s="219"/>
      <c r="K218" s="96"/>
      <c r="N218" s="104"/>
      <c r="O218" s="105"/>
    </row>
    <row r="219" spans="1:15" s="94" customFormat="1" ht="42.75" customHeight="1">
      <c r="A219" s="160"/>
      <c r="B219" s="259" t="s">
        <v>181</v>
      </c>
      <c r="C219" s="88" t="s">
        <v>181</v>
      </c>
      <c r="D219" s="181"/>
      <c r="E219" s="89" t="s">
        <v>507</v>
      </c>
      <c r="F219" s="82"/>
      <c r="G219" s="161">
        <f>G222</f>
        <v>0</v>
      </c>
      <c r="H219" s="161">
        <f>H222</f>
        <v>1500000</v>
      </c>
      <c r="I219" s="161">
        <f t="shared" si="6"/>
        <v>1500000</v>
      </c>
      <c r="J219" s="231"/>
      <c r="K219" s="96"/>
      <c r="N219" s="104"/>
      <c r="O219" s="105"/>
    </row>
    <row r="220" spans="1:15" s="94" customFormat="1" ht="15.75" customHeight="1">
      <c r="A220" s="25" t="s">
        <v>758</v>
      </c>
      <c r="B220" s="25"/>
      <c r="C220" s="25"/>
      <c r="D220" s="25"/>
      <c r="E220" s="195" t="s">
        <v>759</v>
      </c>
      <c r="F220" s="201"/>
      <c r="G220" s="161">
        <f>G221</f>
        <v>0</v>
      </c>
      <c r="H220" s="161">
        <f>H221</f>
        <v>1500000</v>
      </c>
      <c r="I220" s="161">
        <f t="shared" si="6"/>
        <v>1500000</v>
      </c>
      <c r="J220" s="231"/>
      <c r="K220" s="96"/>
      <c r="N220" s="104"/>
      <c r="O220" s="105"/>
    </row>
    <row r="221" spans="1:15" s="94" customFormat="1" ht="15.75" customHeight="1">
      <c r="A221" s="272" t="s">
        <v>760</v>
      </c>
      <c r="B221" s="272" t="s">
        <v>1015</v>
      </c>
      <c r="C221" s="273" t="s">
        <v>537</v>
      </c>
      <c r="D221" s="273"/>
      <c r="E221" s="256" t="s">
        <v>538</v>
      </c>
      <c r="F221" s="201"/>
      <c r="G221" s="203">
        <f>G222</f>
        <v>0</v>
      </c>
      <c r="H221" s="203">
        <f>H222</f>
        <v>1500000</v>
      </c>
      <c r="I221" s="203">
        <f t="shared" si="6"/>
        <v>1500000</v>
      </c>
      <c r="J221" s="128"/>
      <c r="K221" s="96"/>
      <c r="N221" s="104"/>
      <c r="O221" s="105"/>
    </row>
    <row r="222" spans="1:15" s="94" customFormat="1" ht="66" customHeight="1">
      <c r="A222" s="244" t="s">
        <v>761</v>
      </c>
      <c r="B222" s="244" t="s">
        <v>466</v>
      </c>
      <c r="C222" s="244" t="s">
        <v>164</v>
      </c>
      <c r="D222" s="244" t="s">
        <v>431</v>
      </c>
      <c r="E222" s="301" t="s">
        <v>762</v>
      </c>
      <c r="F222" s="345" t="s">
        <v>1158</v>
      </c>
      <c r="G222" s="265"/>
      <c r="H222" s="265">
        <v>1500000</v>
      </c>
      <c r="I222" s="265">
        <f t="shared" si="6"/>
        <v>1500000</v>
      </c>
      <c r="J222" s="219"/>
      <c r="K222" s="96"/>
      <c r="N222" s="104"/>
      <c r="O222" s="105"/>
    </row>
    <row r="223" spans="1:14" s="94" customFormat="1" ht="60.75" customHeight="1">
      <c r="A223" s="88"/>
      <c r="B223" s="88" t="s">
        <v>144</v>
      </c>
      <c r="C223" s="88" t="s">
        <v>144</v>
      </c>
      <c r="D223" s="88"/>
      <c r="E223" s="89" t="s">
        <v>530</v>
      </c>
      <c r="F223" s="150"/>
      <c r="G223" s="203">
        <f>G224</f>
        <v>403817594</v>
      </c>
      <c r="H223" s="203">
        <f>H224</f>
        <v>580296842</v>
      </c>
      <c r="I223" s="203">
        <f t="shared" si="6"/>
        <v>984114436</v>
      </c>
      <c r="J223" s="129"/>
      <c r="K223" s="103"/>
      <c r="N223" s="143"/>
    </row>
    <row r="224" spans="1:14" s="125" customFormat="1" ht="47.25">
      <c r="A224" s="25" t="s">
        <v>763</v>
      </c>
      <c r="B224" s="25"/>
      <c r="C224" s="25"/>
      <c r="D224" s="25"/>
      <c r="E224" s="195" t="s">
        <v>764</v>
      </c>
      <c r="F224" s="200"/>
      <c r="G224" s="80">
        <f>G225+G228+G239+G240+G245+G246+G249+G255</f>
        <v>403817594</v>
      </c>
      <c r="H224" s="80">
        <f>H225+H228+H239+H240+H245+H246+H249+H255</f>
        <v>580296842</v>
      </c>
      <c r="I224" s="80">
        <f t="shared" si="6"/>
        <v>984114436</v>
      </c>
      <c r="J224" s="129"/>
      <c r="K224" s="124"/>
      <c r="N224" s="126"/>
    </row>
    <row r="225" spans="1:14" s="125" customFormat="1" ht="15.75" customHeight="1">
      <c r="A225" s="272" t="s">
        <v>765</v>
      </c>
      <c r="B225" s="272" t="s">
        <v>1015</v>
      </c>
      <c r="C225" s="273" t="s">
        <v>537</v>
      </c>
      <c r="D225" s="273"/>
      <c r="E225" s="256" t="s">
        <v>538</v>
      </c>
      <c r="F225" s="200"/>
      <c r="G225" s="80">
        <f>G226+G227</f>
        <v>362474</v>
      </c>
      <c r="H225" s="80">
        <f>H226</f>
        <v>398542</v>
      </c>
      <c r="I225" s="80">
        <f t="shared" si="6"/>
        <v>761016</v>
      </c>
      <c r="J225" s="129"/>
      <c r="K225" s="124"/>
      <c r="N225" s="126"/>
    </row>
    <row r="226" spans="1:14" s="94" customFormat="1" ht="48" customHeight="1">
      <c r="A226" s="242" t="s">
        <v>766</v>
      </c>
      <c r="B226" s="242" t="s">
        <v>466</v>
      </c>
      <c r="C226" s="244" t="s">
        <v>164</v>
      </c>
      <c r="D226" s="242" t="s">
        <v>431</v>
      </c>
      <c r="E226" s="301" t="s">
        <v>767</v>
      </c>
      <c r="F226" s="354" t="s">
        <v>1192</v>
      </c>
      <c r="G226" s="321"/>
      <c r="H226" s="316">
        <f>291890+133652-27000</f>
        <v>398542</v>
      </c>
      <c r="I226" s="316">
        <f t="shared" si="6"/>
        <v>398542</v>
      </c>
      <c r="J226" s="228"/>
      <c r="K226" s="96"/>
      <c r="N226" s="143"/>
    </row>
    <row r="227" spans="1:14" s="94" customFormat="1" ht="31.5" customHeight="1">
      <c r="A227" s="242" t="s">
        <v>766</v>
      </c>
      <c r="B227" s="242" t="s">
        <v>466</v>
      </c>
      <c r="C227" s="244" t="s">
        <v>164</v>
      </c>
      <c r="D227" s="242" t="s">
        <v>431</v>
      </c>
      <c r="E227" s="301" t="s">
        <v>767</v>
      </c>
      <c r="F227" s="345" t="s">
        <v>1161</v>
      </c>
      <c r="G227" s="316">
        <v>362474</v>
      </c>
      <c r="H227" s="316"/>
      <c r="I227" s="316">
        <f t="shared" si="6"/>
        <v>362474</v>
      </c>
      <c r="J227" s="228"/>
      <c r="K227" s="96"/>
      <c r="N227" s="143"/>
    </row>
    <row r="228" spans="1:14" s="94" customFormat="1" ht="15.75" customHeight="1">
      <c r="A228" s="272" t="s">
        <v>768</v>
      </c>
      <c r="B228" s="272" t="s">
        <v>1101</v>
      </c>
      <c r="C228" s="272" t="s">
        <v>769</v>
      </c>
      <c r="D228" s="272"/>
      <c r="E228" s="256" t="s">
        <v>770</v>
      </c>
      <c r="F228" s="200"/>
      <c r="G228" s="331">
        <f>G229+G230+G231+G237</f>
        <v>23885264</v>
      </c>
      <c r="H228" s="331">
        <f>H229+H230+H231+H237</f>
        <v>492210327</v>
      </c>
      <c r="I228" s="331">
        <f>I229+I230+I231+I237</f>
        <v>516095591</v>
      </c>
      <c r="J228" s="228"/>
      <c r="K228" s="96"/>
      <c r="N228" s="143"/>
    </row>
    <row r="229" spans="1:15" s="94" customFormat="1" ht="47.25" customHeight="1">
      <c r="A229" s="242" t="s">
        <v>771</v>
      </c>
      <c r="B229" s="242" t="s">
        <v>1102</v>
      </c>
      <c r="C229" s="242" t="s">
        <v>215</v>
      </c>
      <c r="D229" s="242" t="s">
        <v>459</v>
      </c>
      <c r="E229" s="253" t="s">
        <v>772</v>
      </c>
      <c r="F229" s="354" t="s">
        <v>1192</v>
      </c>
      <c r="G229" s="75">
        <f>11559091+33000000+10000000-302861-25000000-10000000+198000+363190+62165</f>
        <v>19879585</v>
      </c>
      <c r="H229" s="75"/>
      <c r="I229" s="75">
        <f t="shared" si="6"/>
        <v>19879585</v>
      </c>
      <c r="J229" s="219"/>
      <c r="K229" s="96"/>
      <c r="N229" s="104"/>
      <c r="O229" s="105"/>
    </row>
    <row r="230" spans="1:15" s="94" customFormat="1" ht="47.25">
      <c r="A230" s="242" t="s">
        <v>771</v>
      </c>
      <c r="B230" s="242" t="s">
        <v>1102</v>
      </c>
      <c r="C230" s="242" t="s">
        <v>215</v>
      </c>
      <c r="D230" s="242" t="s">
        <v>459</v>
      </c>
      <c r="E230" s="253" t="s">
        <v>772</v>
      </c>
      <c r="F230" s="90" t="s">
        <v>1166</v>
      </c>
      <c r="G230" s="315">
        <f>19955+6000+163860-100500+22200+48000</f>
        <v>159515</v>
      </c>
      <c r="H230" s="315"/>
      <c r="I230" s="315">
        <f t="shared" si="6"/>
        <v>159515</v>
      </c>
      <c r="J230" s="221"/>
      <c r="K230" s="96"/>
      <c r="N230" s="104"/>
      <c r="O230" s="105"/>
    </row>
    <row r="231" spans="1:15" s="94" customFormat="1" ht="15.75" customHeight="1">
      <c r="A231" s="272" t="s">
        <v>773</v>
      </c>
      <c r="B231" s="272" t="s">
        <v>1103</v>
      </c>
      <c r="C231" s="272"/>
      <c r="D231" s="272"/>
      <c r="E231" s="306" t="s">
        <v>774</v>
      </c>
      <c r="F231" s="198"/>
      <c r="G231" s="331">
        <f>G232+G233+G234+G235+G236</f>
        <v>0</v>
      </c>
      <c r="H231" s="331">
        <f>H232+H233+H234+H235+H236</f>
        <v>490171786</v>
      </c>
      <c r="I231" s="331">
        <f t="shared" si="6"/>
        <v>490171786</v>
      </c>
      <c r="J231" s="221"/>
      <c r="K231" s="96"/>
      <c r="N231" s="104"/>
      <c r="O231" s="105"/>
    </row>
    <row r="232" spans="1:14" s="94" customFormat="1" ht="47.25" customHeight="1">
      <c r="A232" s="242" t="s">
        <v>775</v>
      </c>
      <c r="B232" s="242" t="s">
        <v>1104</v>
      </c>
      <c r="C232" s="242" t="s">
        <v>113</v>
      </c>
      <c r="D232" s="242" t="s">
        <v>459</v>
      </c>
      <c r="E232" s="360" t="s">
        <v>776</v>
      </c>
      <c r="F232" s="354" t="s">
        <v>1192</v>
      </c>
      <c r="G232" s="75"/>
      <c r="H232" s="75">
        <f>445000000-33000000-15000000+25000000-8536457+(402963)-8000000+679003-109819-17040-237996-4593136-5000000+130911+62960</f>
        <v>396781389</v>
      </c>
      <c r="I232" s="75">
        <f t="shared" si="6"/>
        <v>396781389</v>
      </c>
      <c r="J232" s="219"/>
      <c r="K232" s="103"/>
      <c r="N232" s="143"/>
    </row>
    <row r="233" spans="1:14" s="94" customFormat="1" ht="63" customHeight="1" hidden="1">
      <c r="A233" s="242" t="s">
        <v>775</v>
      </c>
      <c r="B233" s="242" t="s">
        <v>1104</v>
      </c>
      <c r="C233" s="242" t="s">
        <v>113</v>
      </c>
      <c r="D233" s="242" t="s">
        <v>459</v>
      </c>
      <c r="E233" s="360" t="s">
        <v>776</v>
      </c>
      <c r="F233" s="263" t="s">
        <v>1131</v>
      </c>
      <c r="G233" s="75"/>
      <c r="H233" s="75"/>
      <c r="I233" s="75">
        <f t="shared" si="6"/>
        <v>0</v>
      </c>
      <c r="J233" s="219"/>
      <c r="K233" s="103"/>
      <c r="N233" s="143"/>
    </row>
    <row r="234" spans="1:14" s="94" customFormat="1" ht="31.5">
      <c r="A234" s="244" t="s">
        <v>775</v>
      </c>
      <c r="B234" s="244" t="s">
        <v>1104</v>
      </c>
      <c r="C234" s="244" t="s">
        <v>113</v>
      </c>
      <c r="D234" s="244" t="s">
        <v>459</v>
      </c>
      <c r="E234" s="370" t="s">
        <v>776</v>
      </c>
      <c r="F234" s="90" t="s">
        <v>1166</v>
      </c>
      <c r="G234" s="75"/>
      <c r="H234" s="75">
        <f>76280-6000+13200+100500+24000+271000+379000+488486+99000</f>
        <v>1445466</v>
      </c>
      <c r="I234" s="75">
        <f t="shared" si="6"/>
        <v>1445466</v>
      </c>
      <c r="J234" s="219"/>
      <c r="K234" s="96"/>
      <c r="N234" s="143"/>
    </row>
    <row r="235" spans="1:14" s="94" customFormat="1" ht="51.75" customHeight="1">
      <c r="A235" s="242" t="s">
        <v>777</v>
      </c>
      <c r="B235" s="242" t="s">
        <v>1105</v>
      </c>
      <c r="C235" s="242" t="s">
        <v>259</v>
      </c>
      <c r="D235" s="244" t="s">
        <v>459</v>
      </c>
      <c r="E235" s="360" t="s">
        <v>260</v>
      </c>
      <c r="F235" s="354" t="s">
        <v>1192</v>
      </c>
      <c r="G235" s="75"/>
      <c r="H235" s="75">
        <f>32000000+28000000+30000000+1680319-62960</f>
        <v>91617359</v>
      </c>
      <c r="I235" s="75">
        <f t="shared" si="6"/>
        <v>91617359</v>
      </c>
      <c r="J235" s="219"/>
      <c r="K235" s="103"/>
      <c r="N235" s="143"/>
    </row>
    <row r="236" spans="1:14" s="94" customFormat="1" ht="51.75" customHeight="1">
      <c r="A236" s="242" t="s">
        <v>777</v>
      </c>
      <c r="B236" s="242" t="s">
        <v>1105</v>
      </c>
      <c r="C236" s="242" t="s">
        <v>259</v>
      </c>
      <c r="D236" s="244" t="s">
        <v>459</v>
      </c>
      <c r="E236" s="360" t="s">
        <v>260</v>
      </c>
      <c r="F236" s="90" t="s">
        <v>1166</v>
      </c>
      <c r="G236" s="75"/>
      <c r="H236" s="75">
        <f>17312+35000+134500+6000+110201+24559</f>
        <v>327572</v>
      </c>
      <c r="I236" s="75">
        <f>G236+H236</f>
        <v>327572</v>
      </c>
      <c r="J236" s="219"/>
      <c r="K236" s="103"/>
      <c r="N236" s="143"/>
    </row>
    <row r="237" spans="1:14" s="94" customFormat="1" ht="51.75" customHeight="1">
      <c r="A237" s="242" t="s">
        <v>1184</v>
      </c>
      <c r="B237" s="242" t="s">
        <v>1185</v>
      </c>
      <c r="C237" s="242"/>
      <c r="D237" s="369"/>
      <c r="E237" s="253" t="s">
        <v>1186</v>
      </c>
      <c r="F237" s="198"/>
      <c r="G237" s="75">
        <f>G238</f>
        <v>3846164</v>
      </c>
      <c r="H237" s="75">
        <f>H238</f>
        <v>2038541</v>
      </c>
      <c r="I237" s="75">
        <f>G237+H237</f>
        <v>5884705</v>
      </c>
      <c r="J237" s="219"/>
      <c r="K237" s="103"/>
      <c r="N237" s="143"/>
    </row>
    <row r="238" spans="1:14" s="94" customFormat="1" ht="51.75" customHeight="1">
      <c r="A238" s="242" t="s">
        <v>1187</v>
      </c>
      <c r="B238" s="242" t="s">
        <v>1188</v>
      </c>
      <c r="C238" s="242"/>
      <c r="D238" s="244" t="s">
        <v>460</v>
      </c>
      <c r="E238" s="360" t="s">
        <v>1189</v>
      </c>
      <c r="F238" s="354" t="s">
        <v>1192</v>
      </c>
      <c r="G238" s="75">
        <v>3846164</v>
      </c>
      <c r="H238" s="75">
        <v>2038541</v>
      </c>
      <c r="I238" s="75">
        <f>G238+H238</f>
        <v>5884705</v>
      </c>
      <c r="J238" s="219"/>
      <c r="K238" s="103"/>
      <c r="N238" s="143"/>
    </row>
    <row r="239" spans="1:15" s="94" customFormat="1" ht="48.75" customHeight="1">
      <c r="A239" s="244" t="s">
        <v>778</v>
      </c>
      <c r="B239" s="244" t="s">
        <v>1106</v>
      </c>
      <c r="C239" s="244" t="s">
        <v>505</v>
      </c>
      <c r="D239" s="244" t="s">
        <v>460</v>
      </c>
      <c r="E239" s="252" t="s">
        <v>506</v>
      </c>
      <c r="F239" s="354" t="s">
        <v>1192</v>
      </c>
      <c r="G239" s="75"/>
      <c r="H239" s="75">
        <f>8536457-3960250+142593</f>
        <v>4718800</v>
      </c>
      <c r="I239" s="75">
        <f t="shared" si="6"/>
        <v>4718800</v>
      </c>
      <c r="J239" s="219"/>
      <c r="K239" s="103"/>
      <c r="N239" s="104"/>
      <c r="O239" s="105"/>
    </row>
    <row r="240" spans="1:15" s="94" customFormat="1" ht="15.75" customHeight="1">
      <c r="A240" s="272" t="s">
        <v>779</v>
      </c>
      <c r="B240" s="272" t="s">
        <v>1020</v>
      </c>
      <c r="C240" s="272" t="s">
        <v>550</v>
      </c>
      <c r="D240" s="306"/>
      <c r="E240" s="257" t="s">
        <v>672</v>
      </c>
      <c r="F240" s="202"/>
      <c r="G240" s="80">
        <f>G241+G242+G243</f>
        <v>0</v>
      </c>
      <c r="H240" s="80">
        <f>H241+H242+H243</f>
        <v>52319050</v>
      </c>
      <c r="I240" s="80">
        <f aca="true" t="shared" si="7" ref="I240:I320">G240+H240</f>
        <v>52319050</v>
      </c>
      <c r="J240" s="219"/>
      <c r="K240" s="103"/>
      <c r="N240" s="104"/>
      <c r="O240" s="105"/>
    </row>
    <row r="241" spans="1:14" s="94" customFormat="1" ht="51" customHeight="1">
      <c r="A241" s="242" t="s">
        <v>780</v>
      </c>
      <c r="B241" s="242" t="s">
        <v>1021</v>
      </c>
      <c r="C241" s="242" t="s">
        <v>83</v>
      </c>
      <c r="D241" s="419" t="s">
        <v>433</v>
      </c>
      <c r="E241" s="421" t="s">
        <v>553</v>
      </c>
      <c r="F241" s="354" t="s">
        <v>1192</v>
      </c>
      <c r="G241" s="269"/>
      <c r="H241" s="269">
        <f>60632283+3620619-8719162+422839-4324804</f>
        <v>51631775</v>
      </c>
      <c r="I241" s="269">
        <f t="shared" si="7"/>
        <v>51631775</v>
      </c>
      <c r="J241" s="224"/>
      <c r="K241" s="103"/>
      <c r="N241" s="143"/>
    </row>
    <row r="242" spans="1:14" s="94" customFormat="1" ht="31.5" customHeight="1" hidden="1">
      <c r="A242" s="242" t="s">
        <v>780</v>
      </c>
      <c r="B242" s="242" t="s">
        <v>1021</v>
      </c>
      <c r="C242" s="242" t="s">
        <v>83</v>
      </c>
      <c r="D242" s="420"/>
      <c r="E242" s="422"/>
      <c r="F242" s="90" t="s">
        <v>1166</v>
      </c>
      <c r="G242" s="269"/>
      <c r="H242" s="269"/>
      <c r="I242" s="269">
        <f t="shared" si="7"/>
        <v>0</v>
      </c>
      <c r="J242" s="224"/>
      <c r="K242" s="96"/>
      <c r="N242" s="143"/>
    </row>
    <row r="243" spans="1:14" s="94" customFormat="1" ht="15.75" customHeight="1">
      <c r="A243" s="244" t="s">
        <v>781</v>
      </c>
      <c r="B243" s="244" t="s">
        <v>1107</v>
      </c>
      <c r="C243" s="244"/>
      <c r="D243" s="244"/>
      <c r="E243" s="252" t="s">
        <v>782</v>
      </c>
      <c r="F243" s="198"/>
      <c r="G243" s="269">
        <f>G244</f>
        <v>0</v>
      </c>
      <c r="H243" s="269">
        <f>H244</f>
        <v>687275</v>
      </c>
      <c r="I243" s="269">
        <f t="shared" si="7"/>
        <v>687275</v>
      </c>
      <c r="J243" s="224"/>
      <c r="K243" s="96"/>
      <c r="N243" s="143"/>
    </row>
    <row r="244" spans="1:14" s="94" customFormat="1" ht="55.5" customHeight="1">
      <c r="A244" s="244" t="s">
        <v>783</v>
      </c>
      <c r="B244" s="244" t="s">
        <v>1108</v>
      </c>
      <c r="C244" s="244" t="s">
        <v>38</v>
      </c>
      <c r="D244" s="244" t="s">
        <v>443</v>
      </c>
      <c r="E244" s="301" t="s">
        <v>784</v>
      </c>
      <c r="F244" s="354" t="s">
        <v>1192</v>
      </c>
      <c r="G244" s="269"/>
      <c r="H244" s="269">
        <v>687275</v>
      </c>
      <c r="I244" s="269">
        <f t="shared" si="7"/>
        <v>687275</v>
      </c>
      <c r="J244" s="224"/>
      <c r="K244" s="96"/>
      <c r="N244" s="143"/>
    </row>
    <row r="245" spans="1:14" s="94" customFormat="1" ht="55.5" customHeight="1">
      <c r="A245" s="272" t="s">
        <v>785</v>
      </c>
      <c r="B245" s="272" t="s">
        <v>1109</v>
      </c>
      <c r="C245" s="306" t="s">
        <v>98</v>
      </c>
      <c r="D245" s="306" t="s">
        <v>460</v>
      </c>
      <c r="E245" s="257" t="s">
        <v>786</v>
      </c>
      <c r="F245" s="354" t="s">
        <v>1192</v>
      </c>
      <c r="G245" s="80"/>
      <c r="H245" s="80">
        <f>1000000-1000000</f>
        <v>0</v>
      </c>
      <c r="I245" s="80">
        <f t="shared" si="7"/>
        <v>0</v>
      </c>
      <c r="J245" s="224"/>
      <c r="K245" s="96"/>
      <c r="N245" s="143"/>
    </row>
    <row r="246" spans="1:14" s="94" customFormat="1" ht="15.75" customHeight="1">
      <c r="A246" s="272" t="s">
        <v>787</v>
      </c>
      <c r="B246" s="272" t="s">
        <v>1023</v>
      </c>
      <c r="C246" s="272" t="s">
        <v>547</v>
      </c>
      <c r="D246" s="306"/>
      <c r="E246" s="257" t="s">
        <v>548</v>
      </c>
      <c r="F246" s="293"/>
      <c r="G246" s="80">
        <f>G247+G248</f>
        <v>0</v>
      </c>
      <c r="H246" s="80">
        <f>H247+H248</f>
        <v>30434727</v>
      </c>
      <c r="I246" s="80">
        <f t="shared" si="7"/>
        <v>30434727</v>
      </c>
      <c r="J246" s="219"/>
      <c r="K246" s="96"/>
      <c r="N246" s="143"/>
    </row>
    <row r="247" spans="1:14" s="94" customFormat="1" ht="47.25" customHeight="1">
      <c r="A247" s="242" t="s">
        <v>788</v>
      </c>
      <c r="B247" s="242" t="s">
        <v>1024</v>
      </c>
      <c r="C247" s="242" t="s">
        <v>97</v>
      </c>
      <c r="D247" s="419" t="s">
        <v>433</v>
      </c>
      <c r="E247" s="421" t="s">
        <v>789</v>
      </c>
      <c r="F247" s="354" t="s">
        <v>1191</v>
      </c>
      <c r="G247" s="322"/>
      <c r="H247" s="322">
        <f>59800427-15015228-2376945-22752827+606300+10173000</f>
        <v>30434727</v>
      </c>
      <c r="I247" s="322">
        <f t="shared" si="7"/>
        <v>30434727</v>
      </c>
      <c r="J247" s="104"/>
      <c r="K247" s="103"/>
      <c r="N247" s="143"/>
    </row>
    <row r="248" spans="1:14" s="94" customFormat="1" ht="54" customHeight="1" hidden="1">
      <c r="A248" s="242" t="s">
        <v>788</v>
      </c>
      <c r="B248" s="242" t="s">
        <v>1024</v>
      </c>
      <c r="C248" s="242" t="s">
        <v>97</v>
      </c>
      <c r="D248" s="420"/>
      <c r="E248" s="422"/>
      <c r="F248" s="90" t="s">
        <v>1166</v>
      </c>
      <c r="G248" s="315"/>
      <c r="H248" s="315"/>
      <c r="I248" s="315">
        <f t="shared" si="7"/>
        <v>0</v>
      </c>
      <c r="J248" s="221"/>
      <c r="K248" s="96"/>
      <c r="N248" s="143"/>
    </row>
    <row r="249" spans="1:14" s="94" customFormat="1" ht="15.75" customHeight="1">
      <c r="A249" s="272" t="s">
        <v>790</v>
      </c>
      <c r="B249" s="272" t="s">
        <v>1025</v>
      </c>
      <c r="C249" s="272" t="s">
        <v>562</v>
      </c>
      <c r="D249" s="306"/>
      <c r="E249" s="257" t="s">
        <v>563</v>
      </c>
      <c r="F249" s="293"/>
      <c r="G249" s="80">
        <f>G250</f>
        <v>379569856</v>
      </c>
      <c r="H249" s="80">
        <f>H250</f>
        <v>165396</v>
      </c>
      <c r="I249" s="80">
        <f t="shared" si="7"/>
        <v>379735252</v>
      </c>
      <c r="J249" s="221"/>
      <c r="K249" s="96"/>
      <c r="N249" s="143"/>
    </row>
    <row r="250" spans="1:14" s="94" customFormat="1" ht="15.75" customHeight="1" hidden="1">
      <c r="A250" s="275" t="s">
        <v>791</v>
      </c>
      <c r="B250" s="275" t="s">
        <v>1026</v>
      </c>
      <c r="C250" s="275" t="s">
        <v>76</v>
      </c>
      <c r="D250" s="275"/>
      <c r="E250" s="304" t="s">
        <v>91</v>
      </c>
      <c r="F250" s="202"/>
      <c r="G250" s="75">
        <f>G251+G252+G253+G254</f>
        <v>379569856</v>
      </c>
      <c r="H250" s="75">
        <f>H251+H252+H253+H254</f>
        <v>165396</v>
      </c>
      <c r="I250" s="75">
        <f t="shared" si="7"/>
        <v>379735252</v>
      </c>
      <c r="J250" s="219"/>
      <c r="K250" s="103"/>
      <c r="N250" s="143"/>
    </row>
    <row r="251" spans="1:15" s="94" customFormat="1" ht="48.75" customHeight="1">
      <c r="A251" s="275" t="s">
        <v>791</v>
      </c>
      <c r="B251" s="275" t="s">
        <v>1026</v>
      </c>
      <c r="C251" s="91" t="s">
        <v>76</v>
      </c>
      <c r="D251" s="91" t="s">
        <v>434</v>
      </c>
      <c r="E251" s="332" t="s">
        <v>91</v>
      </c>
      <c r="F251" s="361" t="s">
        <v>1191</v>
      </c>
      <c r="G251" s="75">
        <f>400000000-30000000-22400000+123504</f>
        <v>347723504</v>
      </c>
      <c r="H251" s="75"/>
      <c r="I251" s="75">
        <f t="shared" si="7"/>
        <v>347723504</v>
      </c>
      <c r="J251" s="219"/>
      <c r="K251" s="103"/>
      <c r="N251" s="104"/>
      <c r="O251" s="105"/>
    </row>
    <row r="252" spans="1:14" s="94" customFormat="1" ht="66.75" customHeight="1">
      <c r="A252" s="275" t="s">
        <v>791</v>
      </c>
      <c r="B252" s="275" t="s">
        <v>1026</v>
      </c>
      <c r="C252" s="91" t="s">
        <v>76</v>
      </c>
      <c r="D252" s="91" t="s">
        <v>434</v>
      </c>
      <c r="E252" s="332" t="s">
        <v>91</v>
      </c>
      <c r="F252" s="361" t="s">
        <v>1193</v>
      </c>
      <c r="G252" s="75">
        <f>29607232+72600+1791117</f>
        <v>31470949</v>
      </c>
      <c r="H252" s="75">
        <v>165396</v>
      </c>
      <c r="I252" s="75">
        <f t="shared" si="7"/>
        <v>31636345</v>
      </c>
      <c r="J252" s="219"/>
      <c r="K252" s="96"/>
      <c r="N252" s="143"/>
    </row>
    <row r="253" spans="1:14" s="94" customFormat="1" ht="112.5" customHeight="1">
      <c r="A253" s="275" t="s">
        <v>791</v>
      </c>
      <c r="B253" s="275" t="s">
        <v>1026</v>
      </c>
      <c r="C253" s="244" t="s">
        <v>76</v>
      </c>
      <c r="D253" s="25" t="s">
        <v>434</v>
      </c>
      <c r="E253" s="332" t="s">
        <v>91</v>
      </c>
      <c r="F253" s="353" t="s">
        <v>1171</v>
      </c>
      <c r="G253" s="75">
        <v>375403</v>
      </c>
      <c r="H253" s="75"/>
      <c r="I253" s="75">
        <f t="shared" si="7"/>
        <v>375403</v>
      </c>
      <c r="J253" s="219"/>
      <c r="K253" s="96"/>
      <c r="N253" s="143"/>
    </row>
    <row r="254" spans="1:14" s="94" customFormat="1" ht="47.25" customHeight="1" hidden="1">
      <c r="A254" s="244" t="s">
        <v>792</v>
      </c>
      <c r="B254" s="244" t="s">
        <v>1028</v>
      </c>
      <c r="C254" s="244" t="s">
        <v>76</v>
      </c>
      <c r="D254" s="292"/>
      <c r="E254" s="297"/>
      <c r="F254" s="90" t="s">
        <v>1166</v>
      </c>
      <c r="G254" s="81"/>
      <c r="H254" s="81"/>
      <c r="I254" s="81">
        <f t="shared" si="7"/>
        <v>0</v>
      </c>
      <c r="J254" s="232"/>
      <c r="K254" s="96"/>
      <c r="N254" s="143"/>
    </row>
    <row r="255" spans="1:14" s="94" customFormat="1" ht="15.75" customHeight="1">
      <c r="A255" s="272" t="s">
        <v>793</v>
      </c>
      <c r="B255" s="272" t="s">
        <v>1031</v>
      </c>
      <c r="C255" s="272" t="s">
        <v>556</v>
      </c>
      <c r="D255" s="272"/>
      <c r="E255" s="305" t="s">
        <v>557</v>
      </c>
      <c r="F255" s="90"/>
      <c r="G255" s="81">
        <f>G256</f>
        <v>0</v>
      </c>
      <c r="H255" s="269">
        <f>H256</f>
        <v>50000</v>
      </c>
      <c r="I255" s="269">
        <f t="shared" si="7"/>
        <v>50000</v>
      </c>
      <c r="J255" s="232"/>
      <c r="K255" s="96"/>
      <c r="N255" s="143"/>
    </row>
    <row r="256" spans="1:14" s="94" customFormat="1" ht="47.25" customHeight="1">
      <c r="A256" s="244" t="s">
        <v>794</v>
      </c>
      <c r="B256" s="244" t="s">
        <v>1048</v>
      </c>
      <c r="C256" s="244" t="s">
        <v>28</v>
      </c>
      <c r="D256" s="244" t="s">
        <v>442</v>
      </c>
      <c r="E256" s="252" t="s">
        <v>105</v>
      </c>
      <c r="F256" s="361" t="s">
        <v>1194</v>
      </c>
      <c r="G256" s="81"/>
      <c r="H256" s="269">
        <f>50000</f>
        <v>50000</v>
      </c>
      <c r="I256" s="269">
        <f t="shared" si="7"/>
        <v>50000</v>
      </c>
      <c r="J256" s="232"/>
      <c r="K256" s="96"/>
      <c r="N256" s="143"/>
    </row>
    <row r="257" spans="1:14" s="94" customFormat="1" ht="47.25" customHeight="1">
      <c r="A257" s="214"/>
      <c r="B257" s="89">
        <v>41</v>
      </c>
      <c r="C257" s="88" t="s">
        <v>222</v>
      </c>
      <c r="D257" s="88"/>
      <c r="E257" s="89" t="s">
        <v>515</v>
      </c>
      <c r="F257" s="90"/>
      <c r="G257" s="80">
        <f>G258</f>
        <v>386625849</v>
      </c>
      <c r="H257" s="80">
        <f>H258</f>
        <v>303869830</v>
      </c>
      <c r="I257" s="80">
        <f t="shared" si="7"/>
        <v>690495679</v>
      </c>
      <c r="J257" s="129"/>
      <c r="K257" s="96"/>
      <c r="N257" s="143"/>
    </row>
    <row r="258" spans="1:14" s="94" customFormat="1" ht="33" customHeight="1">
      <c r="A258" s="25" t="s">
        <v>795</v>
      </c>
      <c r="B258" s="25"/>
      <c r="C258" s="25"/>
      <c r="D258" s="25"/>
      <c r="E258" s="195" t="s">
        <v>796</v>
      </c>
      <c r="F258" s="198"/>
      <c r="G258" s="80">
        <f>G259+G262+G267+G271+G274+G276+G278+G282</f>
        <v>386625849</v>
      </c>
      <c r="H258" s="80">
        <f>H259+H262+H267+H271+H274+H276+H278+H282</f>
        <v>303869830</v>
      </c>
      <c r="I258" s="80">
        <f t="shared" si="7"/>
        <v>690495679</v>
      </c>
      <c r="J258" s="129"/>
      <c r="K258" s="96"/>
      <c r="N258" s="143"/>
    </row>
    <row r="259" spans="1:14" s="94" customFormat="1" ht="15.75" customHeight="1">
      <c r="A259" s="272" t="s">
        <v>797</v>
      </c>
      <c r="B259" s="272" t="s">
        <v>1015</v>
      </c>
      <c r="C259" s="273" t="s">
        <v>537</v>
      </c>
      <c r="D259" s="273"/>
      <c r="E259" s="256" t="s">
        <v>538</v>
      </c>
      <c r="F259" s="198"/>
      <c r="G259" s="80">
        <f>G260+G261</f>
        <v>1094306</v>
      </c>
      <c r="H259" s="80">
        <f>H260</f>
        <v>350000</v>
      </c>
      <c r="I259" s="80">
        <f t="shared" si="7"/>
        <v>1444306</v>
      </c>
      <c r="J259" s="129"/>
      <c r="K259" s="96"/>
      <c r="N259" s="143"/>
    </row>
    <row r="260" spans="1:14" s="94" customFormat="1" ht="47.25" customHeight="1">
      <c r="A260" s="244" t="s">
        <v>798</v>
      </c>
      <c r="B260" s="244" t="s">
        <v>466</v>
      </c>
      <c r="C260" s="244" t="s">
        <v>164</v>
      </c>
      <c r="D260" s="244" t="s">
        <v>431</v>
      </c>
      <c r="E260" s="301" t="s">
        <v>799</v>
      </c>
      <c r="F260" s="354" t="s">
        <v>1204</v>
      </c>
      <c r="G260" s="81"/>
      <c r="H260" s="332">
        <v>350000</v>
      </c>
      <c r="I260" s="332">
        <f t="shared" si="7"/>
        <v>350000</v>
      </c>
      <c r="J260" s="232"/>
      <c r="K260" s="96"/>
      <c r="N260" s="143"/>
    </row>
    <row r="261" spans="1:14" s="94" customFormat="1" ht="31.5">
      <c r="A261" s="244" t="s">
        <v>798</v>
      </c>
      <c r="B261" s="244" t="s">
        <v>466</v>
      </c>
      <c r="C261" s="244" t="s">
        <v>164</v>
      </c>
      <c r="D261" s="244" t="s">
        <v>431</v>
      </c>
      <c r="E261" s="301" t="s">
        <v>799</v>
      </c>
      <c r="F261" s="345" t="s">
        <v>1161</v>
      </c>
      <c r="G261" s="332">
        <v>1094306</v>
      </c>
      <c r="H261" s="332"/>
      <c r="I261" s="332">
        <f t="shared" si="7"/>
        <v>1094306</v>
      </c>
      <c r="J261" s="232"/>
      <c r="K261" s="96"/>
      <c r="N261" s="143"/>
    </row>
    <row r="262" spans="1:14" s="94" customFormat="1" ht="15.75" customHeight="1">
      <c r="A262" s="272" t="s">
        <v>800</v>
      </c>
      <c r="B262" s="272" t="s">
        <v>1042</v>
      </c>
      <c r="C262" s="272" t="s">
        <v>594</v>
      </c>
      <c r="D262" s="272"/>
      <c r="E262" s="257" t="s">
        <v>595</v>
      </c>
      <c r="F262" s="204"/>
      <c r="G262" s="333">
        <f>G263+G264</f>
        <v>295000</v>
      </c>
      <c r="H262" s="333">
        <f>H263+H264</f>
        <v>0</v>
      </c>
      <c r="I262" s="333">
        <f t="shared" si="7"/>
        <v>295000</v>
      </c>
      <c r="J262" s="232"/>
      <c r="K262" s="96"/>
      <c r="N262" s="143"/>
    </row>
    <row r="263" spans="1:14" s="94" customFormat="1" ht="15.75" customHeight="1" hidden="1">
      <c r="A263" s="244" t="s">
        <v>801</v>
      </c>
      <c r="B263" s="244" t="s">
        <v>1044</v>
      </c>
      <c r="C263" s="244" t="s">
        <v>487</v>
      </c>
      <c r="D263" s="244" t="s">
        <v>488</v>
      </c>
      <c r="E263" s="252" t="s">
        <v>489</v>
      </c>
      <c r="F263" s="204"/>
      <c r="G263" s="332"/>
      <c r="H263" s="332"/>
      <c r="I263" s="332">
        <f t="shared" si="7"/>
        <v>0</v>
      </c>
      <c r="J263" s="232"/>
      <c r="K263" s="96"/>
      <c r="N263" s="143"/>
    </row>
    <row r="264" spans="1:14" s="94" customFormat="1" ht="15.75" customHeight="1" hidden="1">
      <c r="A264" s="275" t="s">
        <v>802</v>
      </c>
      <c r="B264" s="275" t="s">
        <v>1086</v>
      </c>
      <c r="C264" s="275" t="s">
        <v>85</v>
      </c>
      <c r="D264" s="275"/>
      <c r="E264" s="308" t="s">
        <v>92</v>
      </c>
      <c r="F264" s="204"/>
      <c r="G264" s="316">
        <f>G265+G266</f>
        <v>295000</v>
      </c>
      <c r="H264" s="316">
        <f>H265+H266</f>
        <v>0</v>
      </c>
      <c r="I264" s="316">
        <f t="shared" si="7"/>
        <v>295000</v>
      </c>
      <c r="J264" s="233"/>
      <c r="K264" s="96"/>
      <c r="N264" s="143"/>
    </row>
    <row r="265" spans="1:14" s="94" customFormat="1" ht="25.5" customHeight="1" hidden="1">
      <c r="A265" s="275" t="s">
        <v>802</v>
      </c>
      <c r="B265" s="275" t="s">
        <v>1086</v>
      </c>
      <c r="C265" s="244" t="s">
        <v>85</v>
      </c>
      <c r="D265" s="244"/>
      <c r="E265" s="308" t="s">
        <v>92</v>
      </c>
      <c r="F265" s="204"/>
      <c r="G265" s="81"/>
      <c r="H265" s="81"/>
      <c r="I265" s="81">
        <f t="shared" si="7"/>
        <v>0</v>
      </c>
      <c r="J265" s="232"/>
      <c r="K265" s="96"/>
      <c r="N265" s="143"/>
    </row>
    <row r="266" spans="1:14" s="94" customFormat="1" ht="47.25" customHeight="1">
      <c r="A266" s="275" t="s">
        <v>802</v>
      </c>
      <c r="B266" s="275" t="s">
        <v>1086</v>
      </c>
      <c r="C266" s="244" t="s">
        <v>85</v>
      </c>
      <c r="D266" s="244" t="s">
        <v>452</v>
      </c>
      <c r="E266" s="308" t="s">
        <v>92</v>
      </c>
      <c r="F266" s="354" t="s">
        <v>1204</v>
      </c>
      <c r="G266" s="75">
        <v>295000</v>
      </c>
      <c r="H266" s="75"/>
      <c r="I266" s="75">
        <f t="shared" si="7"/>
        <v>295000</v>
      </c>
      <c r="J266" s="219"/>
      <c r="K266" s="96"/>
      <c r="N266" s="143"/>
    </row>
    <row r="267" spans="1:14" s="94" customFormat="1" ht="15.75" customHeight="1">
      <c r="A267" s="272" t="s">
        <v>803</v>
      </c>
      <c r="B267" s="272" t="s">
        <v>1101</v>
      </c>
      <c r="C267" s="272" t="s">
        <v>769</v>
      </c>
      <c r="D267" s="272"/>
      <c r="E267" s="256" t="s">
        <v>770</v>
      </c>
      <c r="F267" s="204"/>
      <c r="G267" s="80">
        <f>G268+G269+G270</f>
        <v>116678359</v>
      </c>
      <c r="H267" s="80">
        <f>H268+H269+H270</f>
        <v>9376030</v>
      </c>
      <c r="I267" s="80">
        <f t="shared" si="7"/>
        <v>126054389</v>
      </c>
      <c r="J267" s="219"/>
      <c r="K267" s="96"/>
      <c r="N267" s="143"/>
    </row>
    <row r="268" spans="1:14" s="94" customFormat="1" ht="47.25" customHeight="1">
      <c r="A268" s="343" t="s">
        <v>804</v>
      </c>
      <c r="B268" s="242" t="s">
        <v>1110</v>
      </c>
      <c r="C268" s="242" t="s">
        <v>93</v>
      </c>
      <c r="D268" s="244" t="s">
        <v>460</v>
      </c>
      <c r="E268" s="282" t="s">
        <v>94</v>
      </c>
      <c r="F268" s="354" t="s">
        <v>1204</v>
      </c>
      <c r="G268" s="316">
        <f>115449432+270000</f>
        <v>115719432</v>
      </c>
      <c r="H268" s="316">
        <f>6160729+(280000)-800000-280000+3188301+827000</f>
        <v>9376030</v>
      </c>
      <c r="I268" s="316">
        <f t="shared" si="7"/>
        <v>125095462</v>
      </c>
      <c r="J268" s="234"/>
      <c r="K268" s="96"/>
      <c r="N268" s="143"/>
    </row>
    <row r="269" spans="1:14" s="94" customFormat="1" ht="47.25" customHeight="1">
      <c r="A269" s="343" t="s">
        <v>804</v>
      </c>
      <c r="B269" s="242" t="s">
        <v>1110</v>
      </c>
      <c r="C269" s="242" t="s">
        <v>93</v>
      </c>
      <c r="D269" s="244" t="s">
        <v>460</v>
      </c>
      <c r="E269" s="282" t="s">
        <v>94</v>
      </c>
      <c r="F269" s="90" t="s">
        <v>1166</v>
      </c>
      <c r="G269" s="315">
        <v>22232</v>
      </c>
      <c r="H269" s="315"/>
      <c r="I269" s="315">
        <f t="shared" si="7"/>
        <v>22232</v>
      </c>
      <c r="J269" s="221"/>
      <c r="K269" s="96"/>
      <c r="N269" s="143"/>
    </row>
    <row r="270" spans="1:14" s="94" customFormat="1" ht="47.25" customHeight="1">
      <c r="A270" s="343" t="s">
        <v>804</v>
      </c>
      <c r="B270" s="340" t="s">
        <v>1110</v>
      </c>
      <c r="C270" s="340" t="s">
        <v>93</v>
      </c>
      <c r="D270" s="340" t="s">
        <v>460</v>
      </c>
      <c r="E270" s="282" t="s">
        <v>94</v>
      </c>
      <c r="F270" s="82" t="s">
        <v>1169</v>
      </c>
      <c r="G270" s="75">
        <v>936695</v>
      </c>
      <c r="H270" s="75"/>
      <c r="I270" s="75">
        <f t="shared" si="7"/>
        <v>936695</v>
      </c>
      <c r="J270" s="219"/>
      <c r="K270" s="96"/>
      <c r="N270" s="143"/>
    </row>
    <row r="271" spans="1:14" s="94" customFormat="1" ht="15.75">
      <c r="A271" s="272" t="s">
        <v>805</v>
      </c>
      <c r="B271" s="272" t="s">
        <v>1020</v>
      </c>
      <c r="C271" s="272" t="s">
        <v>550</v>
      </c>
      <c r="D271" s="272"/>
      <c r="E271" s="257" t="s">
        <v>672</v>
      </c>
      <c r="F271" s="201"/>
      <c r="G271" s="80">
        <f>G272+G273</f>
        <v>0</v>
      </c>
      <c r="H271" s="80">
        <f>H272+H273</f>
        <v>94349473</v>
      </c>
      <c r="I271" s="80">
        <f t="shared" si="7"/>
        <v>94349473</v>
      </c>
      <c r="J271" s="219"/>
      <c r="K271" s="96"/>
      <c r="N271" s="143"/>
    </row>
    <row r="272" spans="1:14" s="94" customFormat="1" ht="47.25" customHeight="1">
      <c r="A272" s="242" t="s">
        <v>806</v>
      </c>
      <c r="B272" s="242" t="s">
        <v>1021</v>
      </c>
      <c r="C272" s="242" t="s">
        <v>83</v>
      </c>
      <c r="D272" s="419" t="s">
        <v>433</v>
      </c>
      <c r="E272" s="253" t="s">
        <v>553</v>
      </c>
      <c r="F272" s="354" t="s">
        <v>1204</v>
      </c>
      <c r="G272" s="332"/>
      <c r="H272" s="332">
        <f>104962905-1532293+(877500)+31462-124457-877500+984893+136166-1874425+602089-8836867</f>
        <v>94349473</v>
      </c>
      <c r="I272" s="332">
        <f t="shared" si="7"/>
        <v>94349473</v>
      </c>
      <c r="J272" s="232"/>
      <c r="K272" s="96"/>
      <c r="N272" s="143"/>
    </row>
    <row r="273" spans="1:14" s="94" customFormat="1" ht="47.25" customHeight="1" hidden="1">
      <c r="A273" s="242" t="s">
        <v>806</v>
      </c>
      <c r="B273" s="242" t="s">
        <v>1021</v>
      </c>
      <c r="C273" s="242" t="s">
        <v>83</v>
      </c>
      <c r="D273" s="420"/>
      <c r="E273" s="253" t="s">
        <v>553</v>
      </c>
      <c r="F273" s="90" t="s">
        <v>1166</v>
      </c>
      <c r="G273" s="81"/>
      <c r="H273" s="81"/>
      <c r="I273" s="81">
        <f t="shared" si="7"/>
        <v>0</v>
      </c>
      <c r="J273" s="232"/>
      <c r="K273" s="96"/>
      <c r="N273" s="143"/>
    </row>
    <row r="274" spans="1:14" s="94" customFormat="1" ht="47.25" customHeight="1">
      <c r="A274" s="272" t="s">
        <v>807</v>
      </c>
      <c r="B274" s="272" t="s">
        <v>1111</v>
      </c>
      <c r="C274" s="272" t="s">
        <v>808</v>
      </c>
      <c r="D274" s="272"/>
      <c r="E274" s="257" t="s">
        <v>809</v>
      </c>
      <c r="F274" s="198"/>
      <c r="G274" s="333">
        <f>G275</f>
        <v>267571468</v>
      </c>
      <c r="H274" s="333">
        <f>H275</f>
        <v>181875961</v>
      </c>
      <c r="I274" s="333">
        <f t="shared" si="7"/>
        <v>449447429</v>
      </c>
      <c r="J274" s="232"/>
      <c r="K274" s="96"/>
      <c r="N274" s="143"/>
    </row>
    <row r="275" spans="1:14" s="94" customFormat="1" ht="47.25" customHeight="1">
      <c r="A275" s="244" t="s">
        <v>1007</v>
      </c>
      <c r="B275" s="244" t="s">
        <v>1112</v>
      </c>
      <c r="C275" s="244">
        <v>170703</v>
      </c>
      <c r="D275" s="181" t="s">
        <v>461</v>
      </c>
      <c r="E275" s="252" t="s">
        <v>1011</v>
      </c>
      <c r="F275" s="354" t="s">
        <v>1204</v>
      </c>
      <c r="G275" s="269">
        <f>274027093-5683925-771700</f>
        <v>267571468</v>
      </c>
      <c r="H275" s="269">
        <f>192147458+987450-508360-66674-8073731-2600000-31462-70184+91464</f>
        <v>181875961</v>
      </c>
      <c r="I275" s="269">
        <f t="shared" si="7"/>
        <v>449447429</v>
      </c>
      <c r="J275" s="224"/>
      <c r="K275" s="96"/>
      <c r="N275" s="143"/>
    </row>
    <row r="276" spans="1:14" s="94" customFormat="1" ht="15.75" customHeight="1">
      <c r="A276" s="272" t="s">
        <v>810</v>
      </c>
      <c r="B276" s="272" t="s">
        <v>1023</v>
      </c>
      <c r="C276" s="272" t="s">
        <v>547</v>
      </c>
      <c r="D276" s="272"/>
      <c r="E276" s="257" t="s">
        <v>548</v>
      </c>
      <c r="F276" s="204"/>
      <c r="G276" s="334">
        <f>G277</f>
        <v>0</v>
      </c>
      <c r="H276" s="334">
        <f>H277</f>
        <v>14593366</v>
      </c>
      <c r="I276" s="334">
        <f t="shared" si="7"/>
        <v>14593366</v>
      </c>
      <c r="J276" s="219"/>
      <c r="K276" s="96"/>
      <c r="N276" s="143"/>
    </row>
    <row r="277" spans="1:14" s="94" customFormat="1" ht="47.25" customHeight="1">
      <c r="A277" s="244" t="s">
        <v>1008</v>
      </c>
      <c r="B277" s="244" t="s">
        <v>1024</v>
      </c>
      <c r="C277" s="244" t="s">
        <v>97</v>
      </c>
      <c r="D277" s="291" t="s">
        <v>433</v>
      </c>
      <c r="E277" s="144" t="s">
        <v>789</v>
      </c>
      <c r="F277" s="354" t="s">
        <v>1204</v>
      </c>
      <c r="G277" s="322"/>
      <c r="H277" s="322">
        <f>10000000+2600000+1298604+254762+440000</f>
        <v>14593366</v>
      </c>
      <c r="I277" s="322">
        <f t="shared" si="7"/>
        <v>14593366</v>
      </c>
      <c r="J277" s="104"/>
      <c r="K277" s="96"/>
      <c r="N277" s="143"/>
    </row>
    <row r="278" spans="1:14" s="94" customFormat="1" ht="15.75">
      <c r="A278" s="272" t="s">
        <v>811</v>
      </c>
      <c r="B278" s="272" t="s">
        <v>1025</v>
      </c>
      <c r="C278" s="272" t="s">
        <v>562</v>
      </c>
      <c r="D278" s="272"/>
      <c r="E278" s="257" t="s">
        <v>563</v>
      </c>
      <c r="F278" s="204"/>
      <c r="G278" s="335">
        <f>G279</f>
        <v>986716</v>
      </c>
      <c r="H278" s="335">
        <f>H279</f>
        <v>0</v>
      </c>
      <c r="I278" s="335">
        <f t="shared" si="7"/>
        <v>986716</v>
      </c>
      <c r="J278" s="104"/>
      <c r="K278" s="96"/>
      <c r="N278" s="143"/>
    </row>
    <row r="279" spans="1:14" s="94" customFormat="1" ht="15.75" hidden="1">
      <c r="A279" s="275" t="s">
        <v>812</v>
      </c>
      <c r="B279" s="275" t="s">
        <v>1026</v>
      </c>
      <c r="C279" s="275" t="s">
        <v>76</v>
      </c>
      <c r="D279" s="275"/>
      <c r="E279" s="304" t="s">
        <v>91</v>
      </c>
      <c r="F279" s="204"/>
      <c r="G279" s="322">
        <f>G280+G281</f>
        <v>986716</v>
      </c>
      <c r="H279" s="322">
        <f>H280+H281</f>
        <v>0</v>
      </c>
      <c r="I279" s="322">
        <f t="shared" si="7"/>
        <v>986716</v>
      </c>
      <c r="J279" s="104"/>
      <c r="K279" s="96"/>
      <c r="N279" s="143"/>
    </row>
    <row r="280" spans="1:14" s="94" customFormat="1" ht="47.25" customHeight="1">
      <c r="A280" s="275" t="s">
        <v>812</v>
      </c>
      <c r="B280" s="244" t="s">
        <v>1026</v>
      </c>
      <c r="C280" s="244" t="s">
        <v>76</v>
      </c>
      <c r="D280" s="244" t="s">
        <v>434</v>
      </c>
      <c r="E280" s="304" t="s">
        <v>91</v>
      </c>
      <c r="F280" s="354" t="s">
        <v>1204</v>
      </c>
      <c r="G280" s="322">
        <f>534916+384800+67000</f>
        <v>986716</v>
      </c>
      <c r="H280" s="322"/>
      <c r="I280" s="322">
        <f t="shared" si="7"/>
        <v>986716</v>
      </c>
      <c r="J280" s="104"/>
      <c r="K280" s="96"/>
      <c r="N280" s="143"/>
    </row>
    <row r="281" spans="1:14" s="94" customFormat="1" ht="47.25" customHeight="1" hidden="1">
      <c r="A281" s="244" t="s">
        <v>813</v>
      </c>
      <c r="B281" s="244" t="s">
        <v>1113</v>
      </c>
      <c r="C281" s="244" t="s">
        <v>76</v>
      </c>
      <c r="D281" s="244" t="s">
        <v>434</v>
      </c>
      <c r="E281" s="301" t="s">
        <v>1132</v>
      </c>
      <c r="F281" s="354" t="s">
        <v>1204</v>
      </c>
      <c r="G281" s="322"/>
      <c r="H281" s="322"/>
      <c r="I281" s="322">
        <f t="shared" si="7"/>
        <v>0</v>
      </c>
      <c r="J281" s="104"/>
      <c r="K281" s="96"/>
      <c r="N281" s="143"/>
    </row>
    <row r="282" spans="1:14" s="94" customFormat="1" ht="15.75" customHeight="1">
      <c r="A282" s="272" t="s">
        <v>814</v>
      </c>
      <c r="B282" s="272" t="s">
        <v>1031</v>
      </c>
      <c r="C282" s="272" t="s">
        <v>556</v>
      </c>
      <c r="D282" s="272"/>
      <c r="E282" s="257" t="s">
        <v>557</v>
      </c>
      <c r="F282" s="204"/>
      <c r="G282" s="334">
        <f>G283</f>
        <v>0</v>
      </c>
      <c r="H282" s="334">
        <f>H283</f>
        <v>3325000</v>
      </c>
      <c r="I282" s="334">
        <f t="shared" si="7"/>
        <v>3325000</v>
      </c>
      <c r="J282" s="104"/>
      <c r="K282" s="96"/>
      <c r="N282" s="143"/>
    </row>
    <row r="283" spans="1:14" s="94" customFormat="1" ht="56.25" customHeight="1">
      <c r="A283" s="244" t="s">
        <v>815</v>
      </c>
      <c r="B283" s="244" t="s">
        <v>1048</v>
      </c>
      <c r="C283" s="244" t="s">
        <v>28</v>
      </c>
      <c r="D283" s="244" t="s">
        <v>442</v>
      </c>
      <c r="E283" s="252" t="s">
        <v>105</v>
      </c>
      <c r="F283" s="361" t="s">
        <v>1194</v>
      </c>
      <c r="G283" s="269"/>
      <c r="H283" s="269">
        <f>1000000+4870000+2300000+25000-4870000</f>
        <v>3325000</v>
      </c>
      <c r="I283" s="269">
        <f t="shared" si="7"/>
        <v>3325000</v>
      </c>
      <c r="J283" s="224"/>
      <c r="K283" s="96"/>
      <c r="N283" s="143"/>
    </row>
    <row r="284" spans="1:14" s="94" customFormat="1" ht="31.5" customHeight="1" hidden="1">
      <c r="A284" s="88"/>
      <c r="B284" s="88" t="s">
        <v>145</v>
      </c>
      <c r="C284" s="88" t="s">
        <v>145</v>
      </c>
      <c r="D284" s="88"/>
      <c r="E284" s="89" t="s">
        <v>52</v>
      </c>
      <c r="F284" s="150"/>
      <c r="G284" s="80">
        <f>G285</f>
        <v>0</v>
      </c>
      <c r="H284" s="80">
        <f>H285</f>
        <v>0</v>
      </c>
      <c r="I284" s="80">
        <f t="shared" si="7"/>
        <v>0</v>
      </c>
      <c r="J284" s="129"/>
      <c r="K284" s="103"/>
      <c r="N284" s="143"/>
    </row>
    <row r="285" spans="1:14" s="94" customFormat="1" ht="25.5" customHeight="1" hidden="1">
      <c r="A285" s="25" t="s">
        <v>816</v>
      </c>
      <c r="B285" s="25"/>
      <c r="C285" s="25"/>
      <c r="D285" s="25"/>
      <c r="E285" s="302" t="s">
        <v>52</v>
      </c>
      <c r="F285" s="185"/>
      <c r="G285" s="80">
        <f>G286+G288</f>
        <v>0</v>
      </c>
      <c r="H285" s="80">
        <f>H286+H288</f>
        <v>0</v>
      </c>
      <c r="I285" s="80">
        <f t="shared" si="7"/>
        <v>0</v>
      </c>
      <c r="J285" s="129"/>
      <c r="K285" s="103"/>
      <c r="N285" s="143"/>
    </row>
    <row r="286" spans="1:14" s="94" customFormat="1" ht="15.75" customHeight="1" hidden="1">
      <c r="A286" s="272" t="s">
        <v>817</v>
      </c>
      <c r="B286" s="272" t="s">
        <v>1015</v>
      </c>
      <c r="C286" s="273" t="s">
        <v>537</v>
      </c>
      <c r="D286" s="273"/>
      <c r="E286" s="307" t="s">
        <v>538</v>
      </c>
      <c r="F286" s="186"/>
      <c r="G286" s="80">
        <f>G287</f>
        <v>0</v>
      </c>
      <c r="H286" s="80">
        <f>H287</f>
        <v>0</v>
      </c>
      <c r="I286" s="80">
        <f t="shared" si="7"/>
        <v>0</v>
      </c>
      <c r="J286" s="129"/>
      <c r="K286" s="103"/>
      <c r="N286" s="143"/>
    </row>
    <row r="287" spans="1:14" s="94" customFormat="1" ht="25.5" customHeight="1" hidden="1">
      <c r="A287" s="244" t="s">
        <v>818</v>
      </c>
      <c r="B287" s="244" t="s">
        <v>466</v>
      </c>
      <c r="C287" s="244" t="s">
        <v>164</v>
      </c>
      <c r="D287" s="244" t="s">
        <v>431</v>
      </c>
      <c r="E287" s="301" t="s">
        <v>819</v>
      </c>
      <c r="F287" s="187"/>
      <c r="G287" s="75"/>
      <c r="H287" s="75"/>
      <c r="I287" s="75">
        <f t="shared" si="7"/>
        <v>0</v>
      </c>
      <c r="J287" s="219"/>
      <c r="K287" s="103"/>
      <c r="N287" s="143"/>
    </row>
    <row r="288" spans="1:14" s="94" customFormat="1" ht="15.75" customHeight="1" hidden="1">
      <c r="A288" s="272" t="s">
        <v>820</v>
      </c>
      <c r="B288" s="272" t="s">
        <v>1025</v>
      </c>
      <c r="C288" s="272" t="s">
        <v>562</v>
      </c>
      <c r="D288" s="272"/>
      <c r="E288" s="306" t="s">
        <v>563</v>
      </c>
      <c r="F288" s="188"/>
      <c r="G288" s="75">
        <f>G289</f>
        <v>0</v>
      </c>
      <c r="H288" s="75">
        <f>H289</f>
        <v>0</v>
      </c>
      <c r="I288" s="75">
        <f t="shared" si="7"/>
        <v>0</v>
      </c>
      <c r="J288" s="219"/>
      <c r="K288" s="103"/>
      <c r="N288" s="143"/>
    </row>
    <row r="289" spans="1:14" s="94" customFormat="1" ht="15.75" customHeight="1" hidden="1">
      <c r="A289" s="274" t="s">
        <v>821</v>
      </c>
      <c r="B289" s="274" t="s">
        <v>1026</v>
      </c>
      <c r="C289" s="274" t="s">
        <v>76</v>
      </c>
      <c r="D289" s="274"/>
      <c r="E289" s="309" t="s">
        <v>91</v>
      </c>
      <c r="F289" s="209"/>
      <c r="G289" s="75">
        <f>G290</f>
        <v>0</v>
      </c>
      <c r="H289" s="75">
        <f>H290</f>
        <v>0</v>
      </c>
      <c r="I289" s="75">
        <f t="shared" si="7"/>
        <v>0</v>
      </c>
      <c r="J289" s="219"/>
      <c r="K289" s="103"/>
      <c r="N289" s="143"/>
    </row>
    <row r="290" spans="1:15" s="94" customFormat="1" ht="38.25" customHeight="1" hidden="1">
      <c r="A290" s="244" t="s">
        <v>822</v>
      </c>
      <c r="B290" s="244" t="s">
        <v>1028</v>
      </c>
      <c r="C290" s="244" t="s">
        <v>76</v>
      </c>
      <c r="D290" s="244" t="s">
        <v>434</v>
      </c>
      <c r="E290" s="301" t="s">
        <v>566</v>
      </c>
      <c r="F290" s="187"/>
      <c r="G290" s="75"/>
      <c r="H290" s="75"/>
      <c r="I290" s="75">
        <f t="shared" si="7"/>
        <v>0</v>
      </c>
      <c r="J290" s="219"/>
      <c r="K290" s="96"/>
      <c r="N290" s="104"/>
      <c r="O290" s="105"/>
    </row>
    <row r="291" spans="1:14" s="94" customFormat="1" ht="31.5" customHeight="1">
      <c r="A291" s="88"/>
      <c r="B291" s="88" t="s">
        <v>149</v>
      </c>
      <c r="C291" s="88" t="s">
        <v>149</v>
      </c>
      <c r="D291" s="88"/>
      <c r="E291" s="89" t="s">
        <v>54</v>
      </c>
      <c r="F291" s="150"/>
      <c r="G291" s="80">
        <f>G292</f>
        <v>1390000</v>
      </c>
      <c r="H291" s="80">
        <f>H292</f>
        <v>3127560</v>
      </c>
      <c r="I291" s="80">
        <f t="shared" si="7"/>
        <v>4517560</v>
      </c>
      <c r="J291" s="129"/>
      <c r="K291" s="96"/>
      <c r="N291" s="143"/>
    </row>
    <row r="292" spans="1:14" s="94" customFormat="1" ht="30" customHeight="1">
      <c r="A292" s="25" t="s">
        <v>823</v>
      </c>
      <c r="B292" s="25"/>
      <c r="C292" s="25"/>
      <c r="D292" s="25"/>
      <c r="E292" s="195" t="s">
        <v>54</v>
      </c>
      <c r="F292" s="205"/>
      <c r="G292" s="80">
        <f>G293+G295+G296</f>
        <v>1390000</v>
      </c>
      <c r="H292" s="80">
        <f>H293+H295+H296</f>
        <v>3127560</v>
      </c>
      <c r="I292" s="80">
        <f t="shared" si="7"/>
        <v>4517560</v>
      </c>
      <c r="J292" s="129"/>
      <c r="K292" s="96"/>
      <c r="N292" s="143"/>
    </row>
    <row r="293" spans="1:14" s="94" customFormat="1" ht="15.75" customHeight="1" hidden="1">
      <c r="A293" s="272" t="s">
        <v>824</v>
      </c>
      <c r="B293" s="272" t="s">
        <v>1015</v>
      </c>
      <c r="C293" s="273" t="s">
        <v>537</v>
      </c>
      <c r="D293" s="273"/>
      <c r="E293" s="307" t="s">
        <v>538</v>
      </c>
      <c r="F293" s="205"/>
      <c r="G293" s="80">
        <f>G294</f>
        <v>0</v>
      </c>
      <c r="H293" s="80">
        <f>H294</f>
        <v>0</v>
      </c>
      <c r="I293" s="80">
        <f t="shared" si="7"/>
        <v>0</v>
      </c>
      <c r="J293" s="129"/>
      <c r="K293" s="96"/>
      <c r="N293" s="143"/>
    </row>
    <row r="294" spans="1:14" s="94" customFormat="1" ht="49.5" customHeight="1" hidden="1">
      <c r="A294" s="244" t="s">
        <v>825</v>
      </c>
      <c r="B294" s="244" t="s">
        <v>466</v>
      </c>
      <c r="C294" s="244" t="s">
        <v>164</v>
      </c>
      <c r="D294" s="244" t="s">
        <v>431</v>
      </c>
      <c r="E294" s="301" t="s">
        <v>826</v>
      </c>
      <c r="F294" s="155" t="s">
        <v>482</v>
      </c>
      <c r="G294" s="75"/>
      <c r="H294" s="75"/>
      <c r="I294" s="75">
        <f t="shared" si="7"/>
        <v>0</v>
      </c>
      <c r="J294" s="219"/>
      <c r="K294" s="103"/>
      <c r="N294" s="143"/>
    </row>
    <row r="295" spans="1:14" s="94" customFormat="1" ht="47.25" customHeight="1">
      <c r="A295" s="272" t="s">
        <v>827</v>
      </c>
      <c r="B295" s="272" t="s">
        <v>1114</v>
      </c>
      <c r="C295" s="272" t="s">
        <v>387</v>
      </c>
      <c r="D295" s="272" t="s">
        <v>462</v>
      </c>
      <c r="E295" s="257" t="s">
        <v>392</v>
      </c>
      <c r="F295" s="214" t="s">
        <v>482</v>
      </c>
      <c r="G295" s="80"/>
      <c r="H295" s="80">
        <v>2357560</v>
      </c>
      <c r="I295" s="80">
        <f t="shared" si="7"/>
        <v>2357560</v>
      </c>
      <c r="J295" s="219"/>
      <c r="K295" s="96"/>
      <c r="N295" s="143"/>
    </row>
    <row r="296" spans="1:14" s="94" customFormat="1" ht="15.75" customHeight="1">
      <c r="A296" s="272" t="s">
        <v>828</v>
      </c>
      <c r="B296" s="272" t="s">
        <v>1025</v>
      </c>
      <c r="C296" s="272" t="s">
        <v>562</v>
      </c>
      <c r="D296" s="272"/>
      <c r="E296" s="257" t="s">
        <v>563</v>
      </c>
      <c r="F296" s="205"/>
      <c r="G296" s="80">
        <f>G297</f>
        <v>1390000</v>
      </c>
      <c r="H296" s="80">
        <f>H297</f>
        <v>770000</v>
      </c>
      <c r="I296" s="80">
        <f t="shared" si="7"/>
        <v>2160000</v>
      </c>
      <c r="J296" s="219"/>
      <c r="K296" s="96"/>
      <c r="N296" s="143"/>
    </row>
    <row r="297" spans="1:14" s="94" customFormat="1" ht="15.75" customHeight="1" hidden="1">
      <c r="A297" s="275" t="s">
        <v>829</v>
      </c>
      <c r="B297" s="275" t="s">
        <v>1026</v>
      </c>
      <c r="C297" s="275" t="s">
        <v>76</v>
      </c>
      <c r="D297" s="275"/>
      <c r="E297" s="287" t="s">
        <v>91</v>
      </c>
      <c r="F297" s="205"/>
      <c r="G297" s="75">
        <f>G298+G299</f>
        <v>1390000</v>
      </c>
      <c r="H297" s="75">
        <f>H298+H299</f>
        <v>770000</v>
      </c>
      <c r="I297" s="75">
        <f t="shared" si="7"/>
        <v>2160000</v>
      </c>
      <c r="J297" s="219"/>
      <c r="K297" s="96"/>
      <c r="N297" s="143"/>
    </row>
    <row r="298" spans="1:15" s="94" customFormat="1" ht="47.25" customHeight="1">
      <c r="A298" s="275" t="s">
        <v>829</v>
      </c>
      <c r="B298" s="275" t="s">
        <v>1026</v>
      </c>
      <c r="C298" s="244" t="s">
        <v>76</v>
      </c>
      <c r="D298" s="244" t="s">
        <v>434</v>
      </c>
      <c r="E298" s="287" t="s">
        <v>91</v>
      </c>
      <c r="F298" s="214" t="s">
        <v>482</v>
      </c>
      <c r="G298" s="317">
        <v>1390000</v>
      </c>
      <c r="H298" s="317">
        <v>770000</v>
      </c>
      <c r="I298" s="317">
        <f t="shared" si="7"/>
        <v>2160000</v>
      </c>
      <c r="J298" s="225"/>
      <c r="K298" s="103"/>
      <c r="N298" s="104"/>
      <c r="O298" s="105"/>
    </row>
    <row r="299" spans="1:14" s="94" customFormat="1" ht="63.75" customHeight="1" hidden="1">
      <c r="A299" s="25" t="s">
        <v>830</v>
      </c>
      <c r="B299" s="25" t="s">
        <v>1027</v>
      </c>
      <c r="C299" s="25" t="s">
        <v>76</v>
      </c>
      <c r="D299" s="25"/>
      <c r="E299" s="9" t="s">
        <v>565</v>
      </c>
      <c r="F299" s="150" t="s">
        <v>207</v>
      </c>
      <c r="G299" s="317"/>
      <c r="H299" s="317"/>
      <c r="I299" s="317">
        <f t="shared" si="7"/>
        <v>0</v>
      </c>
      <c r="J299" s="225"/>
      <c r="K299" s="96"/>
      <c r="N299" s="143"/>
    </row>
    <row r="300" spans="1:14" s="94" customFormat="1" ht="47.25" customHeight="1" hidden="1">
      <c r="A300" s="166"/>
      <c r="B300" s="260">
        <v>49</v>
      </c>
      <c r="C300" s="88" t="s">
        <v>512</v>
      </c>
      <c r="D300" s="181"/>
      <c r="E300" s="89" t="s">
        <v>513</v>
      </c>
      <c r="F300" s="165"/>
      <c r="G300" s="80">
        <f aca="true" t="shared" si="8" ref="G300:H302">G301</f>
        <v>0</v>
      </c>
      <c r="H300" s="80">
        <f t="shared" si="8"/>
        <v>0</v>
      </c>
      <c r="I300" s="80">
        <f t="shared" si="7"/>
        <v>0</v>
      </c>
      <c r="J300" s="129"/>
      <c r="K300" s="96"/>
      <c r="N300" s="143"/>
    </row>
    <row r="301" spans="1:14" s="94" customFormat="1" ht="25.5" customHeight="1" hidden="1">
      <c r="A301" s="25" t="s">
        <v>831</v>
      </c>
      <c r="B301" s="25"/>
      <c r="C301" s="25"/>
      <c r="D301" s="25"/>
      <c r="E301" s="301" t="s">
        <v>832</v>
      </c>
      <c r="F301" s="206"/>
      <c r="G301" s="80">
        <f t="shared" si="8"/>
        <v>0</v>
      </c>
      <c r="H301" s="80">
        <f t="shared" si="8"/>
        <v>0</v>
      </c>
      <c r="I301" s="80">
        <f t="shared" si="7"/>
        <v>0</v>
      </c>
      <c r="J301" s="129"/>
      <c r="K301" s="96"/>
      <c r="N301" s="143"/>
    </row>
    <row r="302" spans="1:14" s="94" customFormat="1" ht="15.75" customHeight="1" hidden="1">
      <c r="A302" s="272" t="s">
        <v>833</v>
      </c>
      <c r="B302" s="272" t="s">
        <v>1015</v>
      </c>
      <c r="C302" s="273" t="s">
        <v>537</v>
      </c>
      <c r="D302" s="273"/>
      <c r="E302" s="307" t="s">
        <v>538</v>
      </c>
      <c r="F302" s="206"/>
      <c r="G302" s="80">
        <f t="shared" si="8"/>
        <v>0</v>
      </c>
      <c r="H302" s="80">
        <f t="shared" si="8"/>
        <v>0</v>
      </c>
      <c r="I302" s="80">
        <f t="shared" si="7"/>
        <v>0</v>
      </c>
      <c r="J302" s="129"/>
      <c r="K302" s="96"/>
      <c r="N302" s="143"/>
    </row>
    <row r="303" spans="1:14" s="94" customFormat="1" ht="47.25" customHeight="1" hidden="1">
      <c r="A303" s="244" t="s">
        <v>834</v>
      </c>
      <c r="B303" s="244" t="s">
        <v>466</v>
      </c>
      <c r="C303" s="244" t="s">
        <v>164</v>
      </c>
      <c r="D303" s="244" t="s">
        <v>431</v>
      </c>
      <c r="E303" s="301" t="s">
        <v>835</v>
      </c>
      <c r="F303" s="345" t="s">
        <v>1158</v>
      </c>
      <c r="G303" s="317"/>
      <c r="H303" s="317"/>
      <c r="I303" s="317">
        <f t="shared" si="7"/>
        <v>0</v>
      </c>
      <c r="J303" s="225"/>
      <c r="K303" s="96"/>
      <c r="N303" s="143"/>
    </row>
    <row r="304" spans="1:14" s="94" customFormat="1" ht="31.5" customHeight="1" hidden="1">
      <c r="A304" s="166"/>
      <c r="B304" s="260">
        <v>50</v>
      </c>
      <c r="C304" s="88">
        <v>50</v>
      </c>
      <c r="D304" s="181"/>
      <c r="E304" s="89" t="s">
        <v>185</v>
      </c>
      <c r="F304" s="87"/>
      <c r="G304" s="80">
        <f aca="true" t="shared" si="9" ref="G304:H306">G305</f>
        <v>0</v>
      </c>
      <c r="H304" s="80">
        <f t="shared" si="9"/>
        <v>0</v>
      </c>
      <c r="I304" s="80">
        <f t="shared" si="7"/>
        <v>0</v>
      </c>
      <c r="J304" s="129"/>
      <c r="K304" s="96"/>
      <c r="N304" s="143"/>
    </row>
    <row r="305" spans="1:14" s="94" customFormat="1" ht="15.75" customHeight="1" hidden="1">
      <c r="A305" s="25" t="s">
        <v>836</v>
      </c>
      <c r="B305" s="25"/>
      <c r="C305" s="25"/>
      <c r="D305" s="25"/>
      <c r="E305" s="302" t="s">
        <v>185</v>
      </c>
      <c r="F305" s="210"/>
      <c r="G305" s="80">
        <f t="shared" si="9"/>
        <v>0</v>
      </c>
      <c r="H305" s="80">
        <f t="shared" si="9"/>
        <v>0</v>
      </c>
      <c r="I305" s="80">
        <f t="shared" si="7"/>
        <v>0</v>
      </c>
      <c r="J305" s="129"/>
      <c r="K305" s="96"/>
      <c r="N305" s="143"/>
    </row>
    <row r="306" spans="1:14" s="94" customFormat="1" ht="15.75" customHeight="1" hidden="1">
      <c r="A306" s="272" t="s">
        <v>837</v>
      </c>
      <c r="B306" s="272" t="s">
        <v>1015</v>
      </c>
      <c r="C306" s="273" t="s">
        <v>537</v>
      </c>
      <c r="D306" s="273"/>
      <c r="E306" s="307" t="s">
        <v>538</v>
      </c>
      <c r="F306" s="210"/>
      <c r="G306" s="80">
        <f t="shared" si="9"/>
        <v>0</v>
      </c>
      <c r="H306" s="80">
        <f t="shared" si="9"/>
        <v>0</v>
      </c>
      <c r="I306" s="80">
        <f t="shared" si="7"/>
        <v>0</v>
      </c>
      <c r="J306" s="129"/>
      <c r="K306" s="96"/>
      <c r="N306" s="143"/>
    </row>
    <row r="307" spans="1:14" s="94" customFormat="1" ht="47.25" customHeight="1" hidden="1">
      <c r="A307" s="244" t="s">
        <v>838</v>
      </c>
      <c r="B307" s="244" t="s">
        <v>466</v>
      </c>
      <c r="C307" s="244" t="s">
        <v>164</v>
      </c>
      <c r="D307" s="244" t="s">
        <v>431</v>
      </c>
      <c r="E307" s="301" t="s">
        <v>839</v>
      </c>
      <c r="F307" s="345" t="s">
        <v>1158</v>
      </c>
      <c r="G307" s="317"/>
      <c r="H307" s="317"/>
      <c r="I307" s="317">
        <f t="shared" si="7"/>
        <v>0</v>
      </c>
      <c r="J307" s="225"/>
      <c r="K307" s="96"/>
      <c r="N307" s="143"/>
    </row>
    <row r="308" spans="1:14" s="94" customFormat="1" ht="31.5" customHeight="1" hidden="1">
      <c r="A308" s="88"/>
      <c r="B308" s="88" t="s">
        <v>153</v>
      </c>
      <c r="C308" s="88" t="s">
        <v>153</v>
      </c>
      <c r="D308" s="88"/>
      <c r="E308" s="89" t="s">
        <v>58</v>
      </c>
      <c r="F308" s="89"/>
      <c r="G308" s="80">
        <f>G309</f>
        <v>0</v>
      </c>
      <c r="H308" s="80">
        <f>H309</f>
        <v>0</v>
      </c>
      <c r="I308" s="80">
        <f t="shared" si="7"/>
        <v>0</v>
      </c>
      <c r="J308" s="129"/>
      <c r="K308" s="103"/>
      <c r="N308" s="143"/>
    </row>
    <row r="309" spans="1:14" s="94" customFormat="1" ht="31.5" customHeight="1" hidden="1">
      <c r="A309" s="244" t="s">
        <v>840</v>
      </c>
      <c r="B309" s="244"/>
      <c r="C309" s="244"/>
      <c r="D309" s="244"/>
      <c r="E309" s="302" t="s">
        <v>58</v>
      </c>
      <c r="F309" s="211"/>
      <c r="G309" s="80">
        <f>G310+G312</f>
        <v>0</v>
      </c>
      <c r="H309" s="80">
        <f>H310+H312</f>
        <v>0</v>
      </c>
      <c r="I309" s="80">
        <f t="shared" si="7"/>
        <v>0</v>
      </c>
      <c r="J309" s="129"/>
      <c r="K309" s="103"/>
      <c r="N309" s="143"/>
    </row>
    <row r="310" spans="1:14" s="94" customFormat="1" ht="31.5" customHeight="1" hidden="1">
      <c r="A310" s="272" t="s">
        <v>841</v>
      </c>
      <c r="B310" s="272" t="s">
        <v>1015</v>
      </c>
      <c r="C310" s="272" t="s">
        <v>537</v>
      </c>
      <c r="D310" s="272"/>
      <c r="E310" s="307" t="s">
        <v>538</v>
      </c>
      <c r="F310" s="211"/>
      <c r="G310" s="80">
        <f>G311</f>
        <v>0</v>
      </c>
      <c r="H310" s="80">
        <f>H311</f>
        <v>0</v>
      </c>
      <c r="I310" s="80">
        <f t="shared" si="7"/>
        <v>0</v>
      </c>
      <c r="J310" s="129"/>
      <c r="K310" s="103"/>
      <c r="N310" s="143"/>
    </row>
    <row r="311" spans="1:14" s="94" customFormat="1" ht="31.5" customHeight="1" hidden="1">
      <c r="A311" s="244" t="s">
        <v>842</v>
      </c>
      <c r="B311" s="244" t="s">
        <v>466</v>
      </c>
      <c r="C311" s="244" t="s">
        <v>164</v>
      </c>
      <c r="D311" s="244" t="s">
        <v>431</v>
      </c>
      <c r="E311" s="301" t="s">
        <v>843</v>
      </c>
      <c r="F311" s="345" t="s">
        <v>1158</v>
      </c>
      <c r="G311" s="75"/>
      <c r="H311" s="75"/>
      <c r="I311" s="75">
        <f t="shared" si="7"/>
        <v>0</v>
      </c>
      <c r="J311" s="219"/>
      <c r="K311" s="103"/>
      <c r="N311" s="143"/>
    </row>
    <row r="312" spans="1:14" s="94" customFormat="1" ht="31.5" customHeight="1" hidden="1">
      <c r="A312" s="272" t="s">
        <v>844</v>
      </c>
      <c r="B312" s="272" t="s">
        <v>1115</v>
      </c>
      <c r="C312" s="272"/>
      <c r="D312" s="272"/>
      <c r="E312" s="303" t="s">
        <v>845</v>
      </c>
      <c r="F312" s="206"/>
      <c r="G312" s="75">
        <f>G313</f>
        <v>0</v>
      </c>
      <c r="H312" s="75">
        <f>H313</f>
        <v>0</v>
      </c>
      <c r="I312" s="75">
        <f t="shared" si="7"/>
        <v>0</v>
      </c>
      <c r="J312" s="219"/>
      <c r="K312" s="103"/>
      <c r="N312" s="143"/>
    </row>
    <row r="313" spans="1:14" s="94" customFormat="1" ht="31.5" customHeight="1" hidden="1">
      <c r="A313" s="244" t="s">
        <v>846</v>
      </c>
      <c r="B313" s="244" t="s">
        <v>1116</v>
      </c>
      <c r="C313" s="244" t="s">
        <v>40</v>
      </c>
      <c r="D313" s="244" t="s">
        <v>847</v>
      </c>
      <c r="E313" s="252" t="s">
        <v>848</v>
      </c>
      <c r="F313" s="148" t="s">
        <v>204</v>
      </c>
      <c r="G313" s="75"/>
      <c r="H313" s="75"/>
      <c r="I313" s="75">
        <f t="shared" si="7"/>
        <v>0</v>
      </c>
      <c r="J313" s="219"/>
      <c r="K313" s="103"/>
      <c r="N313" s="143"/>
    </row>
    <row r="314" spans="1:14" s="94" customFormat="1" ht="31.5" customHeight="1">
      <c r="A314" s="88"/>
      <c r="B314" s="88" t="s">
        <v>150</v>
      </c>
      <c r="C314" s="88" t="s">
        <v>150</v>
      </c>
      <c r="D314" s="88"/>
      <c r="E314" s="89" t="s">
        <v>55</v>
      </c>
      <c r="F314" s="150"/>
      <c r="G314" s="80">
        <f>G315</f>
        <v>0</v>
      </c>
      <c r="H314" s="80">
        <f>H315</f>
        <v>24164915</v>
      </c>
      <c r="I314" s="80">
        <f t="shared" si="7"/>
        <v>24164915</v>
      </c>
      <c r="J314" s="129"/>
      <c r="K314" s="103"/>
      <c r="N314" s="143"/>
    </row>
    <row r="315" spans="1:14" s="94" customFormat="1" ht="31.5" customHeight="1">
      <c r="A315" s="25" t="s">
        <v>849</v>
      </c>
      <c r="B315" s="25"/>
      <c r="C315" s="25"/>
      <c r="D315" s="25"/>
      <c r="E315" s="195" t="s">
        <v>55</v>
      </c>
      <c r="F315" s="206"/>
      <c r="G315" s="80">
        <f>G316+G318+G320+G323</f>
        <v>0</v>
      </c>
      <c r="H315" s="80">
        <f>H316+H318+H320+H323</f>
        <v>24164915</v>
      </c>
      <c r="I315" s="80">
        <f t="shared" si="7"/>
        <v>24164915</v>
      </c>
      <c r="J315" s="129"/>
      <c r="K315" s="103"/>
      <c r="N315" s="143"/>
    </row>
    <row r="316" spans="1:14" s="94" customFormat="1" ht="31.5" customHeight="1" hidden="1">
      <c r="A316" s="272" t="s">
        <v>850</v>
      </c>
      <c r="B316" s="272" t="s">
        <v>1015</v>
      </c>
      <c r="C316" s="273" t="s">
        <v>537</v>
      </c>
      <c r="D316" s="273"/>
      <c r="E316" s="307" t="s">
        <v>538</v>
      </c>
      <c r="F316" s="206"/>
      <c r="G316" s="80">
        <f>G317</f>
        <v>0</v>
      </c>
      <c r="H316" s="80">
        <f>H317</f>
        <v>0</v>
      </c>
      <c r="I316" s="80">
        <f t="shared" si="7"/>
        <v>0</v>
      </c>
      <c r="J316" s="129"/>
      <c r="K316" s="103"/>
      <c r="N316" s="143"/>
    </row>
    <row r="317" spans="1:14" s="94" customFormat="1" ht="31.5" customHeight="1" hidden="1">
      <c r="A317" s="244" t="s">
        <v>851</v>
      </c>
      <c r="B317" s="244" t="s">
        <v>466</v>
      </c>
      <c r="C317" s="244" t="s">
        <v>164</v>
      </c>
      <c r="D317" s="244" t="s">
        <v>431</v>
      </c>
      <c r="E317" s="301" t="s">
        <v>852</v>
      </c>
      <c r="F317" s="345" t="s">
        <v>1158</v>
      </c>
      <c r="G317" s="75"/>
      <c r="H317" s="75"/>
      <c r="I317" s="75">
        <f t="shared" si="7"/>
        <v>0</v>
      </c>
      <c r="J317" s="219"/>
      <c r="K317" s="103"/>
      <c r="N317" s="143"/>
    </row>
    <row r="318" spans="1:14" s="94" customFormat="1" ht="31.5" customHeight="1" hidden="1">
      <c r="A318" s="272" t="s">
        <v>853</v>
      </c>
      <c r="B318" s="272" t="s">
        <v>1020</v>
      </c>
      <c r="C318" s="272" t="s">
        <v>550</v>
      </c>
      <c r="D318" s="272"/>
      <c r="E318" s="303" t="s">
        <v>672</v>
      </c>
      <c r="F318" s="206"/>
      <c r="G318" s="75">
        <f>G319</f>
        <v>0</v>
      </c>
      <c r="H318" s="75">
        <f>H319</f>
        <v>0</v>
      </c>
      <c r="I318" s="75">
        <f t="shared" si="7"/>
        <v>0</v>
      </c>
      <c r="J318" s="219"/>
      <c r="K318" s="103"/>
      <c r="N318" s="143"/>
    </row>
    <row r="319" spans="1:14" s="94" customFormat="1" ht="50.25" customHeight="1" hidden="1">
      <c r="A319" s="244" t="s">
        <v>854</v>
      </c>
      <c r="B319" s="244" t="s">
        <v>1021</v>
      </c>
      <c r="C319" s="244">
        <v>150101</v>
      </c>
      <c r="D319" s="244" t="s">
        <v>433</v>
      </c>
      <c r="E319" s="252" t="s">
        <v>553</v>
      </c>
      <c r="F319" s="354" t="s">
        <v>1191</v>
      </c>
      <c r="G319" s="75"/>
      <c r="H319" s="75">
        <f>10000000-10000000</f>
        <v>0</v>
      </c>
      <c r="I319" s="75">
        <f t="shared" si="7"/>
        <v>0</v>
      </c>
      <c r="J319" s="219"/>
      <c r="K319" s="103"/>
      <c r="N319" s="143"/>
    </row>
    <row r="320" spans="1:14" s="94" customFormat="1" ht="31.5" customHeight="1" hidden="1">
      <c r="A320" s="272" t="s">
        <v>855</v>
      </c>
      <c r="B320" s="272" t="s">
        <v>1025</v>
      </c>
      <c r="C320" s="272" t="s">
        <v>562</v>
      </c>
      <c r="D320" s="272"/>
      <c r="E320" s="306" t="s">
        <v>563</v>
      </c>
      <c r="F320" s="205"/>
      <c r="G320" s="75">
        <f>G321</f>
        <v>0</v>
      </c>
      <c r="H320" s="75">
        <f>H321</f>
        <v>0</v>
      </c>
      <c r="I320" s="75">
        <f t="shared" si="7"/>
        <v>0</v>
      </c>
      <c r="J320" s="219"/>
      <c r="K320" s="103"/>
      <c r="N320" s="143"/>
    </row>
    <row r="321" spans="1:14" s="94" customFormat="1" ht="31.5" customHeight="1" hidden="1">
      <c r="A321" s="276" t="s">
        <v>856</v>
      </c>
      <c r="B321" s="276" t="s">
        <v>1026</v>
      </c>
      <c r="C321" s="276" t="s">
        <v>76</v>
      </c>
      <c r="D321" s="276"/>
      <c r="E321" s="310" t="s">
        <v>91</v>
      </c>
      <c r="F321" s="205"/>
      <c r="G321" s="75">
        <f>G322</f>
        <v>0</v>
      </c>
      <c r="H321" s="75">
        <f>H322</f>
        <v>0</v>
      </c>
      <c r="I321" s="75">
        <f>G321+H321</f>
        <v>0</v>
      </c>
      <c r="J321" s="219"/>
      <c r="K321" s="103"/>
      <c r="N321" s="143"/>
    </row>
    <row r="322" spans="1:14" s="94" customFormat="1" ht="31.5" customHeight="1" hidden="1">
      <c r="A322" s="244" t="s">
        <v>857</v>
      </c>
      <c r="B322" s="244" t="s">
        <v>1027</v>
      </c>
      <c r="C322" s="244" t="s">
        <v>76</v>
      </c>
      <c r="D322" s="244"/>
      <c r="E322" s="9" t="s">
        <v>565</v>
      </c>
      <c r="F322" s="263" t="s">
        <v>1133</v>
      </c>
      <c r="G322" s="75"/>
      <c r="H322" s="75"/>
      <c r="I322" s="75">
        <f>G322+H322</f>
        <v>0</v>
      </c>
      <c r="J322" s="219"/>
      <c r="K322" s="103"/>
      <c r="N322" s="143"/>
    </row>
    <row r="323" spans="1:14" s="94" customFormat="1" ht="31.5" customHeight="1">
      <c r="A323" s="272" t="s">
        <v>858</v>
      </c>
      <c r="B323" s="272" t="s">
        <v>1031</v>
      </c>
      <c r="C323" s="272" t="s">
        <v>556</v>
      </c>
      <c r="D323" s="272"/>
      <c r="E323" s="257" t="s">
        <v>557</v>
      </c>
      <c r="F323" s="205"/>
      <c r="G323" s="80">
        <f>G324</f>
        <v>0</v>
      </c>
      <c r="H323" s="80">
        <f>H324</f>
        <v>24164915</v>
      </c>
      <c r="I323" s="80">
        <f>G323+H323</f>
        <v>24164915</v>
      </c>
      <c r="J323" s="219"/>
      <c r="K323" s="103"/>
      <c r="N323" s="143"/>
    </row>
    <row r="324" spans="1:14" s="94" customFormat="1" ht="51.75" customHeight="1">
      <c r="A324" s="244" t="s">
        <v>859</v>
      </c>
      <c r="B324" s="244" t="s">
        <v>1048</v>
      </c>
      <c r="C324" s="244" t="s">
        <v>28</v>
      </c>
      <c r="D324" s="244" t="s">
        <v>442</v>
      </c>
      <c r="E324" s="252" t="s">
        <v>105</v>
      </c>
      <c r="F324" s="361" t="s">
        <v>1194</v>
      </c>
      <c r="G324" s="269"/>
      <c r="H324" s="269">
        <f>16292589+6907326-3750000-155000+4870000</f>
        <v>24164915</v>
      </c>
      <c r="I324" s="269">
        <f aca="true" t="shared" si="10" ref="I324:I420">G324+H324</f>
        <v>24164915</v>
      </c>
      <c r="J324" s="224"/>
      <c r="K324" s="103"/>
      <c r="N324" s="143"/>
    </row>
    <row r="325" spans="1:14" s="94" customFormat="1" ht="47.25" customHeight="1">
      <c r="A325" s="92"/>
      <c r="B325" s="92" t="s">
        <v>148</v>
      </c>
      <c r="C325" s="92" t="s">
        <v>148</v>
      </c>
      <c r="D325" s="92"/>
      <c r="E325" s="93" t="s">
        <v>56</v>
      </c>
      <c r="F325" s="150"/>
      <c r="G325" s="80">
        <f>G326</f>
        <v>78644253</v>
      </c>
      <c r="H325" s="80">
        <f>H326</f>
        <v>365126547</v>
      </c>
      <c r="I325" s="80">
        <f t="shared" si="10"/>
        <v>443770800</v>
      </c>
      <c r="J325" s="129"/>
      <c r="K325" s="103"/>
      <c r="N325" s="143"/>
    </row>
    <row r="326" spans="1:14" s="94" customFormat="1" ht="30" customHeight="1">
      <c r="A326" s="244" t="s">
        <v>860</v>
      </c>
      <c r="B326" s="244"/>
      <c r="C326" s="244"/>
      <c r="D326" s="244"/>
      <c r="E326" s="195" t="s">
        <v>56</v>
      </c>
      <c r="F326" s="206"/>
      <c r="G326" s="80">
        <f>G327+G329+G334+G336+G340+G345+G349</f>
        <v>78644253</v>
      </c>
      <c r="H326" s="80">
        <f>H327+H329+H334+H336+H340+H345+H349</f>
        <v>365126547</v>
      </c>
      <c r="I326" s="80">
        <f>G326+H326</f>
        <v>443770800</v>
      </c>
      <c r="J326" s="129"/>
      <c r="K326" s="103"/>
      <c r="N326" s="143"/>
    </row>
    <row r="327" spans="1:14" s="94" customFormat="1" ht="15.75" customHeight="1" hidden="1">
      <c r="A327" s="272" t="s">
        <v>861</v>
      </c>
      <c r="B327" s="272" t="s">
        <v>1015</v>
      </c>
      <c r="C327" s="272" t="s">
        <v>537</v>
      </c>
      <c r="D327" s="272"/>
      <c r="E327" s="306" t="s">
        <v>538</v>
      </c>
      <c r="F327" s="206"/>
      <c r="G327" s="80">
        <f>G328</f>
        <v>0</v>
      </c>
      <c r="H327" s="80">
        <f>H328</f>
        <v>0</v>
      </c>
      <c r="I327" s="80">
        <f t="shared" si="10"/>
        <v>0</v>
      </c>
      <c r="J327" s="129"/>
      <c r="K327" s="103"/>
      <c r="N327" s="143"/>
    </row>
    <row r="328" spans="1:14" s="94" customFormat="1" ht="54.75" customHeight="1" hidden="1">
      <c r="A328" s="244" t="s">
        <v>862</v>
      </c>
      <c r="B328" s="244" t="s">
        <v>466</v>
      </c>
      <c r="C328" s="244" t="s">
        <v>164</v>
      </c>
      <c r="D328" s="244" t="s">
        <v>431</v>
      </c>
      <c r="E328" s="301" t="s">
        <v>863</v>
      </c>
      <c r="F328" s="345" t="s">
        <v>1158</v>
      </c>
      <c r="G328" s="75"/>
      <c r="H328" s="75"/>
      <c r="I328" s="75">
        <f t="shared" si="10"/>
        <v>0</v>
      </c>
      <c r="J328" s="219"/>
      <c r="K328" s="96"/>
      <c r="N328" s="143"/>
    </row>
    <row r="329" spans="1:14" s="94" customFormat="1" ht="15.75" customHeight="1">
      <c r="A329" s="272" t="s">
        <v>864</v>
      </c>
      <c r="B329" s="272" t="s">
        <v>1020</v>
      </c>
      <c r="C329" s="272" t="s">
        <v>550</v>
      </c>
      <c r="D329" s="272"/>
      <c r="E329" s="257" t="s">
        <v>672</v>
      </c>
      <c r="F329" s="206"/>
      <c r="G329" s="80">
        <f>G330+G331+G332+G333</f>
        <v>0</v>
      </c>
      <c r="H329" s="80">
        <f>H330+H331+H332+H333</f>
        <v>290424708</v>
      </c>
      <c r="I329" s="80">
        <f t="shared" si="10"/>
        <v>290424708</v>
      </c>
      <c r="J329" s="219"/>
      <c r="K329" s="96"/>
      <c r="N329" s="143"/>
    </row>
    <row r="330" spans="1:14" s="94" customFormat="1" ht="70.5" customHeight="1">
      <c r="A330" s="242" t="s">
        <v>865</v>
      </c>
      <c r="B330" s="242" t="s">
        <v>1021</v>
      </c>
      <c r="C330" s="242">
        <v>150101</v>
      </c>
      <c r="D330" s="242" t="s">
        <v>433</v>
      </c>
      <c r="E330" s="253" t="s">
        <v>553</v>
      </c>
      <c r="F330" s="205" t="s">
        <v>483</v>
      </c>
      <c r="G330" s="75"/>
      <c r="H330" s="75">
        <f>1571658+874972-874972+874972</f>
        <v>2446630</v>
      </c>
      <c r="I330" s="75">
        <f t="shared" si="10"/>
        <v>2446630</v>
      </c>
      <c r="J330" s="219"/>
      <c r="K330" s="96"/>
      <c r="N330" s="143"/>
    </row>
    <row r="331" spans="1:14" s="94" customFormat="1" ht="63.75" customHeight="1">
      <c r="A331" s="242" t="s">
        <v>865</v>
      </c>
      <c r="B331" s="242" t="s">
        <v>1021</v>
      </c>
      <c r="C331" s="242">
        <v>150101</v>
      </c>
      <c r="D331" s="242" t="s">
        <v>433</v>
      </c>
      <c r="E331" s="253" t="s">
        <v>553</v>
      </c>
      <c r="F331" s="205" t="s">
        <v>484</v>
      </c>
      <c r="G331" s="75"/>
      <c r="H331" s="75">
        <f>200000000-20000000-3833254-273472+4712055-605329+605329</f>
        <v>180605329</v>
      </c>
      <c r="I331" s="75">
        <f t="shared" si="10"/>
        <v>180605329</v>
      </c>
      <c r="J331" s="219"/>
      <c r="K331" s="96"/>
      <c r="N331" s="143"/>
    </row>
    <row r="332" spans="1:14" s="94" customFormat="1" ht="56.25" customHeight="1">
      <c r="A332" s="242" t="s">
        <v>865</v>
      </c>
      <c r="B332" s="242" t="s">
        <v>1021</v>
      </c>
      <c r="C332" s="242">
        <v>150101</v>
      </c>
      <c r="D332" s="242" t="s">
        <v>433</v>
      </c>
      <c r="E332" s="253" t="s">
        <v>553</v>
      </c>
      <c r="F332" s="82" t="s">
        <v>486</v>
      </c>
      <c r="G332" s="75"/>
      <c r="H332" s="75">
        <v>5000000</v>
      </c>
      <c r="I332" s="75">
        <f t="shared" si="10"/>
        <v>5000000</v>
      </c>
      <c r="J332" s="219"/>
      <c r="K332" s="96"/>
      <c r="N332" s="143"/>
    </row>
    <row r="333" spans="1:14" s="94" customFormat="1" ht="54.75" customHeight="1">
      <c r="A333" s="242" t="s">
        <v>865</v>
      </c>
      <c r="B333" s="242" t="s">
        <v>1021</v>
      </c>
      <c r="C333" s="242">
        <v>150101</v>
      </c>
      <c r="D333" s="242" t="s">
        <v>433</v>
      </c>
      <c r="E333" s="253" t="s">
        <v>553</v>
      </c>
      <c r="F333" s="82" t="s">
        <v>1172</v>
      </c>
      <c r="G333" s="75"/>
      <c r="H333" s="75">
        <f>195972000-45972000-27627251-20000000</f>
        <v>102372749</v>
      </c>
      <c r="I333" s="75">
        <f t="shared" si="10"/>
        <v>102372749</v>
      </c>
      <c r="J333" s="219"/>
      <c r="K333" s="96"/>
      <c r="N333" s="143"/>
    </row>
    <row r="334" spans="1:14" s="94" customFormat="1" ht="33.75" customHeight="1">
      <c r="A334" s="272" t="s">
        <v>866</v>
      </c>
      <c r="B334" s="272" t="s">
        <v>1111</v>
      </c>
      <c r="C334" s="272" t="s">
        <v>808</v>
      </c>
      <c r="D334" s="272"/>
      <c r="E334" s="257" t="s">
        <v>809</v>
      </c>
      <c r="F334" s="206"/>
      <c r="G334" s="80">
        <f>G335</f>
        <v>58800000</v>
      </c>
      <c r="H334" s="80">
        <f>H335</f>
        <v>0</v>
      </c>
      <c r="I334" s="80">
        <f t="shared" si="10"/>
        <v>58800000</v>
      </c>
      <c r="J334" s="219"/>
      <c r="K334" s="96"/>
      <c r="N334" s="143"/>
    </row>
    <row r="335" spans="1:15" s="94" customFormat="1" ht="81.75" customHeight="1">
      <c r="A335" s="244" t="s">
        <v>867</v>
      </c>
      <c r="B335" s="244" t="s">
        <v>1117</v>
      </c>
      <c r="C335" s="244" t="s">
        <v>81</v>
      </c>
      <c r="D335" s="244" t="s">
        <v>463</v>
      </c>
      <c r="E335" s="252" t="s">
        <v>82</v>
      </c>
      <c r="F335" s="214" t="s">
        <v>483</v>
      </c>
      <c r="G335" s="75">
        <f>60000000-1200000</f>
        <v>58800000</v>
      </c>
      <c r="H335" s="75"/>
      <c r="I335" s="75">
        <f t="shared" si="10"/>
        <v>58800000</v>
      </c>
      <c r="J335" s="219"/>
      <c r="K335" s="96"/>
      <c r="N335" s="104"/>
      <c r="O335" s="105"/>
    </row>
    <row r="336" spans="1:15" s="94" customFormat="1" ht="31.5" hidden="1">
      <c r="A336" s="272" t="s">
        <v>868</v>
      </c>
      <c r="B336" s="272" t="s">
        <v>1118</v>
      </c>
      <c r="C336" s="272" t="s">
        <v>213</v>
      </c>
      <c r="D336" s="272"/>
      <c r="E336" s="257" t="s">
        <v>214</v>
      </c>
      <c r="F336" s="205"/>
      <c r="G336" s="331">
        <f>G337+G338+G339</f>
        <v>19844253</v>
      </c>
      <c r="H336" s="331">
        <f>H337+H338+H339</f>
        <v>2010676</v>
      </c>
      <c r="I336" s="331">
        <f t="shared" si="10"/>
        <v>21854929</v>
      </c>
      <c r="J336" s="219"/>
      <c r="K336" s="96"/>
      <c r="N336" s="104"/>
      <c r="O336" s="105"/>
    </row>
    <row r="337" spans="1:15" s="94" customFormat="1" ht="63" customHeight="1" hidden="1">
      <c r="A337" s="272" t="s">
        <v>868</v>
      </c>
      <c r="B337" s="272" t="s">
        <v>1118</v>
      </c>
      <c r="C337" s="244" t="s">
        <v>213</v>
      </c>
      <c r="D337" s="244" t="s">
        <v>464</v>
      </c>
      <c r="E337" s="257" t="s">
        <v>214</v>
      </c>
      <c r="F337" s="214" t="s">
        <v>483</v>
      </c>
      <c r="G337" s="75"/>
      <c r="H337" s="75"/>
      <c r="I337" s="75">
        <f t="shared" si="10"/>
        <v>0</v>
      </c>
      <c r="J337" s="219"/>
      <c r="K337" s="96"/>
      <c r="N337" s="104"/>
      <c r="O337" s="105"/>
    </row>
    <row r="338" spans="1:15" s="94" customFormat="1" ht="67.5" customHeight="1">
      <c r="A338" s="244" t="s">
        <v>868</v>
      </c>
      <c r="B338" s="244" t="s">
        <v>1118</v>
      </c>
      <c r="C338" s="244" t="s">
        <v>213</v>
      </c>
      <c r="D338" s="244" t="s">
        <v>464</v>
      </c>
      <c r="E338" s="351" t="s">
        <v>214</v>
      </c>
      <c r="F338" s="214" t="s">
        <v>484</v>
      </c>
      <c r="G338" s="75">
        <v>19245753</v>
      </c>
      <c r="H338" s="75">
        <f>20000000+3833254-3833254-19245753+1256429</f>
        <v>2010676</v>
      </c>
      <c r="I338" s="75">
        <f t="shared" si="10"/>
        <v>21256429</v>
      </c>
      <c r="J338" s="219"/>
      <c r="K338" s="96"/>
      <c r="N338" s="104"/>
      <c r="O338" s="105"/>
    </row>
    <row r="339" spans="1:15" s="94" customFormat="1" ht="63" customHeight="1">
      <c r="A339" s="244" t="s">
        <v>868</v>
      </c>
      <c r="B339" s="244" t="s">
        <v>1118</v>
      </c>
      <c r="C339" s="244" t="s">
        <v>213</v>
      </c>
      <c r="D339" s="244" t="s">
        <v>464</v>
      </c>
      <c r="E339" s="351" t="s">
        <v>214</v>
      </c>
      <c r="F339" s="205" t="s">
        <v>522</v>
      </c>
      <c r="G339" s="75">
        <f>1200000-601500+601500-601500</f>
        <v>598500</v>
      </c>
      <c r="H339" s="75"/>
      <c r="I339" s="75">
        <f t="shared" si="10"/>
        <v>598500</v>
      </c>
      <c r="J339" s="219"/>
      <c r="K339" s="96"/>
      <c r="N339" s="104"/>
      <c r="O339" s="105"/>
    </row>
    <row r="340" spans="1:15" s="94" customFormat="1" ht="15.75" customHeight="1">
      <c r="A340" s="272" t="s">
        <v>869</v>
      </c>
      <c r="B340" s="272" t="s">
        <v>1023</v>
      </c>
      <c r="C340" s="273" t="s">
        <v>547</v>
      </c>
      <c r="D340" s="273"/>
      <c r="E340" s="257" t="s">
        <v>548</v>
      </c>
      <c r="G340" s="80">
        <f>G341+G342+G343+G344</f>
        <v>0</v>
      </c>
      <c r="H340" s="80">
        <f>H341+H342+H343+H344</f>
        <v>72666163</v>
      </c>
      <c r="I340" s="80">
        <f t="shared" si="10"/>
        <v>72666163</v>
      </c>
      <c r="J340" s="219"/>
      <c r="K340" s="96"/>
      <c r="N340" s="104"/>
      <c r="O340" s="105"/>
    </row>
    <row r="341" spans="1:14" s="94" customFormat="1" ht="79.5" customHeight="1">
      <c r="A341" s="244" t="s">
        <v>870</v>
      </c>
      <c r="B341" s="244" t="s">
        <v>1024</v>
      </c>
      <c r="C341" s="244" t="s">
        <v>97</v>
      </c>
      <c r="D341" s="244" t="s">
        <v>433</v>
      </c>
      <c r="E341" s="252" t="s">
        <v>789</v>
      </c>
      <c r="F341" s="353" t="s">
        <v>483</v>
      </c>
      <c r="G341" s="75"/>
      <c r="H341" s="75">
        <f>73323350+508360-1165547</f>
        <v>72666163</v>
      </c>
      <c r="I341" s="75">
        <f t="shared" si="10"/>
        <v>72666163</v>
      </c>
      <c r="J341" s="219"/>
      <c r="K341" s="103"/>
      <c r="N341" s="143"/>
    </row>
    <row r="342" spans="1:14" s="94" customFormat="1" ht="79.5" customHeight="1" hidden="1">
      <c r="A342" s="244" t="s">
        <v>870</v>
      </c>
      <c r="B342" s="244" t="s">
        <v>1024</v>
      </c>
      <c r="C342" s="244" t="s">
        <v>97</v>
      </c>
      <c r="D342" s="367"/>
      <c r="E342" s="252" t="s">
        <v>789</v>
      </c>
      <c r="F342" s="353" t="s">
        <v>469</v>
      </c>
      <c r="G342" s="75"/>
      <c r="H342" s="75"/>
      <c r="I342" s="75">
        <f t="shared" si="10"/>
        <v>0</v>
      </c>
      <c r="J342" s="219"/>
      <c r="K342" s="103"/>
      <c r="N342" s="143"/>
    </row>
    <row r="343" spans="1:14" s="94" customFormat="1" ht="53.25" customHeight="1" hidden="1">
      <c r="A343" s="342" t="s">
        <v>870</v>
      </c>
      <c r="B343" s="342" t="s">
        <v>1024</v>
      </c>
      <c r="C343" s="342" t="s">
        <v>97</v>
      </c>
      <c r="D343" s="362"/>
      <c r="E343" s="364" t="s">
        <v>789</v>
      </c>
      <c r="F343" s="365" t="s">
        <v>1166</v>
      </c>
      <c r="G343" s="366"/>
      <c r="H343" s="366"/>
      <c r="I343" s="75">
        <f t="shared" si="10"/>
        <v>0</v>
      </c>
      <c r="J343" s="226"/>
      <c r="K343" s="103"/>
      <c r="N343" s="143"/>
    </row>
    <row r="344" spans="1:14" s="94" customFormat="1" ht="63" customHeight="1" hidden="1">
      <c r="A344" s="244" t="s">
        <v>870</v>
      </c>
      <c r="B344" s="244" t="s">
        <v>1024</v>
      </c>
      <c r="C344" s="244" t="s">
        <v>97</v>
      </c>
      <c r="D344" s="363"/>
      <c r="E344" s="252" t="s">
        <v>789</v>
      </c>
      <c r="F344" s="353" t="s">
        <v>484</v>
      </c>
      <c r="G344" s="75"/>
      <c r="H344" s="75"/>
      <c r="I344" s="75">
        <f t="shared" si="10"/>
        <v>0</v>
      </c>
      <c r="J344" s="104"/>
      <c r="K344" s="103"/>
      <c r="N344" s="143"/>
    </row>
    <row r="345" spans="1:14" s="94" customFormat="1" ht="15.75" customHeight="1" hidden="1">
      <c r="A345" s="272" t="s">
        <v>855</v>
      </c>
      <c r="B345" s="272" t="s">
        <v>1025</v>
      </c>
      <c r="C345" s="272" t="s">
        <v>562</v>
      </c>
      <c r="D345" s="272"/>
      <c r="E345" s="306" t="s">
        <v>563</v>
      </c>
      <c r="F345" s="205"/>
      <c r="G345" s="75">
        <f>G346</f>
        <v>0</v>
      </c>
      <c r="H345" s="75">
        <f>H346</f>
        <v>0</v>
      </c>
      <c r="I345" s="75">
        <f t="shared" si="10"/>
        <v>0</v>
      </c>
      <c r="J345" s="104"/>
      <c r="K345" s="103"/>
      <c r="N345" s="143"/>
    </row>
    <row r="346" spans="1:14" s="94" customFormat="1" ht="15.75" customHeight="1" hidden="1">
      <c r="A346" s="277" t="s">
        <v>871</v>
      </c>
      <c r="B346" s="277" t="s">
        <v>1026</v>
      </c>
      <c r="C346" s="277" t="s">
        <v>76</v>
      </c>
      <c r="D346" s="277"/>
      <c r="E346" s="311" t="s">
        <v>91</v>
      </c>
      <c r="F346" s="205"/>
      <c r="G346" s="75">
        <f>G347+G348</f>
        <v>0</v>
      </c>
      <c r="H346" s="75">
        <f>H347+H348</f>
        <v>0</v>
      </c>
      <c r="I346" s="75">
        <f t="shared" si="10"/>
        <v>0</v>
      </c>
      <c r="J346" s="104"/>
      <c r="K346" s="103"/>
      <c r="N346" s="143"/>
    </row>
    <row r="347" spans="1:14" s="94" customFormat="1" ht="51" customHeight="1" hidden="1">
      <c r="A347" s="25" t="s">
        <v>872</v>
      </c>
      <c r="B347" s="25" t="s">
        <v>1027</v>
      </c>
      <c r="C347" s="25" t="s">
        <v>76</v>
      </c>
      <c r="D347" s="25"/>
      <c r="E347" s="9" t="s">
        <v>565</v>
      </c>
      <c r="F347" s="159" t="s">
        <v>495</v>
      </c>
      <c r="G347" s="75"/>
      <c r="H347" s="75"/>
      <c r="I347" s="75">
        <f t="shared" si="10"/>
        <v>0</v>
      </c>
      <c r="J347" s="104"/>
      <c r="K347" s="103"/>
      <c r="N347" s="143"/>
    </row>
    <row r="348" spans="1:14" s="94" customFormat="1" ht="38.25" customHeight="1" hidden="1">
      <c r="A348" s="25" t="s">
        <v>873</v>
      </c>
      <c r="B348" s="25" t="s">
        <v>1029</v>
      </c>
      <c r="C348" s="25" t="s">
        <v>76</v>
      </c>
      <c r="D348" s="25"/>
      <c r="E348" s="252" t="s">
        <v>567</v>
      </c>
      <c r="G348" s="75">
        <f>1441000-1441000</f>
        <v>0</v>
      </c>
      <c r="H348" s="75">
        <f>1441000-1441000</f>
        <v>0</v>
      </c>
      <c r="I348" s="75">
        <f t="shared" si="10"/>
        <v>0</v>
      </c>
      <c r="J348" s="219"/>
      <c r="K348" s="103"/>
      <c r="N348" s="143"/>
    </row>
    <row r="349" spans="1:14" s="94" customFormat="1" ht="38.25" customHeight="1">
      <c r="A349" s="272" t="s">
        <v>1196</v>
      </c>
      <c r="B349" s="272" t="s">
        <v>1031</v>
      </c>
      <c r="C349" s="272" t="s">
        <v>556</v>
      </c>
      <c r="D349" s="272"/>
      <c r="E349" s="303" t="s">
        <v>557</v>
      </c>
      <c r="F349" s="354"/>
      <c r="G349" s="75">
        <f>G350</f>
        <v>0</v>
      </c>
      <c r="H349" s="75">
        <f>H350</f>
        <v>25000</v>
      </c>
      <c r="I349" s="75">
        <f t="shared" si="10"/>
        <v>25000</v>
      </c>
      <c r="J349" s="219"/>
      <c r="K349" s="103"/>
      <c r="N349" s="143"/>
    </row>
    <row r="350" spans="1:14" s="94" customFormat="1" ht="63">
      <c r="A350" s="244" t="s">
        <v>1197</v>
      </c>
      <c r="B350" s="244" t="s">
        <v>1048</v>
      </c>
      <c r="C350" s="244" t="s">
        <v>28</v>
      </c>
      <c r="D350" s="244" t="s">
        <v>442</v>
      </c>
      <c r="E350" s="252" t="s">
        <v>105</v>
      </c>
      <c r="F350" s="354" t="s">
        <v>1194</v>
      </c>
      <c r="G350" s="75"/>
      <c r="H350" s="75">
        <v>25000</v>
      </c>
      <c r="I350" s="75">
        <f t="shared" si="10"/>
        <v>25000</v>
      </c>
      <c r="J350" s="219"/>
      <c r="K350" s="103"/>
      <c r="N350" s="143"/>
    </row>
    <row r="351" spans="1:14" s="94" customFormat="1" ht="52.5" customHeight="1">
      <c r="A351" s="88"/>
      <c r="B351" s="88" t="s">
        <v>143</v>
      </c>
      <c r="C351" s="88" t="s">
        <v>143</v>
      </c>
      <c r="D351" s="88"/>
      <c r="E351" s="89" t="s">
        <v>51</v>
      </c>
      <c r="F351" s="151"/>
      <c r="G351" s="80">
        <f>G352</f>
        <v>9650756</v>
      </c>
      <c r="H351" s="80">
        <f>H352</f>
        <v>214188</v>
      </c>
      <c r="I351" s="80">
        <f t="shared" si="10"/>
        <v>9864944</v>
      </c>
      <c r="J351" s="129"/>
      <c r="K351" s="103"/>
      <c r="N351" s="143"/>
    </row>
    <row r="352" spans="1:14" s="94" customFormat="1" ht="45.75" customHeight="1">
      <c r="A352" s="25" t="s">
        <v>874</v>
      </c>
      <c r="B352" s="25"/>
      <c r="C352" s="25"/>
      <c r="D352" s="25"/>
      <c r="E352" s="195" t="s">
        <v>51</v>
      </c>
      <c r="F352" s="206"/>
      <c r="G352" s="80">
        <f>G353+G355</f>
        <v>9650756</v>
      </c>
      <c r="H352" s="80">
        <f>H353+H355</f>
        <v>214188</v>
      </c>
      <c r="I352" s="80">
        <f t="shared" si="10"/>
        <v>9864944</v>
      </c>
      <c r="J352" s="129"/>
      <c r="K352" s="103"/>
      <c r="N352" s="143"/>
    </row>
    <row r="353" spans="1:14" s="94" customFormat="1" ht="15.75" customHeight="1" hidden="1">
      <c r="A353" s="272" t="s">
        <v>875</v>
      </c>
      <c r="B353" s="272" t="s">
        <v>1015</v>
      </c>
      <c r="C353" s="273" t="s">
        <v>537</v>
      </c>
      <c r="D353" s="273"/>
      <c r="E353" s="307" t="s">
        <v>538</v>
      </c>
      <c r="F353" s="206"/>
      <c r="G353" s="80">
        <f>G354</f>
        <v>0</v>
      </c>
      <c r="H353" s="80">
        <f>H354</f>
        <v>0</v>
      </c>
      <c r="I353" s="80">
        <f t="shared" si="10"/>
        <v>0</v>
      </c>
      <c r="J353" s="129"/>
      <c r="K353" s="103"/>
      <c r="N353" s="143"/>
    </row>
    <row r="354" spans="1:14" s="94" customFormat="1" ht="47.25" customHeight="1" hidden="1">
      <c r="A354" s="244" t="s">
        <v>876</v>
      </c>
      <c r="B354" s="244" t="s">
        <v>466</v>
      </c>
      <c r="C354" s="244" t="s">
        <v>164</v>
      </c>
      <c r="D354" s="244" t="s">
        <v>431</v>
      </c>
      <c r="E354" s="301" t="s">
        <v>877</v>
      </c>
      <c r="F354" s="345" t="s">
        <v>1158</v>
      </c>
      <c r="G354" s="75"/>
      <c r="H354" s="75"/>
      <c r="I354" s="75">
        <f t="shared" si="10"/>
        <v>0</v>
      </c>
      <c r="J354" s="219"/>
      <c r="K354" s="103"/>
      <c r="N354" s="143"/>
    </row>
    <row r="355" spans="1:14" s="94" customFormat="1" ht="36" customHeight="1">
      <c r="A355" s="272" t="s">
        <v>878</v>
      </c>
      <c r="B355" s="272" t="s">
        <v>1119</v>
      </c>
      <c r="C355" s="272" t="s">
        <v>879</v>
      </c>
      <c r="D355" s="272"/>
      <c r="E355" s="257" t="s">
        <v>880</v>
      </c>
      <c r="F355" s="206"/>
      <c r="G355" s="80">
        <f>G356+G357</f>
        <v>9650756</v>
      </c>
      <c r="H355" s="80">
        <f>H356+H357</f>
        <v>214188</v>
      </c>
      <c r="I355" s="80">
        <f t="shared" si="10"/>
        <v>9864944</v>
      </c>
      <c r="J355" s="219"/>
      <c r="K355" s="103"/>
      <c r="N355" s="143"/>
    </row>
    <row r="356" spans="1:15" s="94" customFormat="1" ht="66.75" customHeight="1">
      <c r="A356" s="244" t="s">
        <v>881</v>
      </c>
      <c r="B356" s="244" t="s">
        <v>1120</v>
      </c>
      <c r="C356" s="244" t="s">
        <v>87</v>
      </c>
      <c r="D356" s="244" t="s">
        <v>465</v>
      </c>
      <c r="E356" s="252" t="s">
        <v>218</v>
      </c>
      <c r="F356" s="350" t="s">
        <v>1173</v>
      </c>
      <c r="G356" s="75">
        <v>4662123</v>
      </c>
      <c r="H356" s="75">
        <v>93043</v>
      </c>
      <c r="I356" s="75">
        <f t="shared" si="10"/>
        <v>4755166</v>
      </c>
      <c r="J356" s="219"/>
      <c r="K356" s="103"/>
      <c r="N356" s="104"/>
      <c r="O356" s="105"/>
    </row>
    <row r="357" spans="1:15" s="94" customFormat="1" ht="63" customHeight="1">
      <c r="A357" s="244" t="s">
        <v>882</v>
      </c>
      <c r="B357" s="244" t="s">
        <v>1121</v>
      </c>
      <c r="C357" s="244">
        <v>210110</v>
      </c>
      <c r="D357" s="244" t="s">
        <v>465</v>
      </c>
      <c r="E357" s="252" t="s">
        <v>883</v>
      </c>
      <c r="F357" s="350" t="s">
        <v>1173</v>
      </c>
      <c r="G357" s="75">
        <v>4988633</v>
      </c>
      <c r="H357" s="75">
        <v>121145</v>
      </c>
      <c r="I357" s="75">
        <f t="shared" si="10"/>
        <v>5109778</v>
      </c>
      <c r="J357" s="219"/>
      <c r="K357" s="103"/>
      <c r="N357" s="104"/>
      <c r="O357" s="105"/>
    </row>
    <row r="358" spans="1:14" s="94" customFormat="1" ht="31.5" customHeight="1">
      <c r="A358" s="88"/>
      <c r="B358" s="88" t="s">
        <v>152</v>
      </c>
      <c r="C358" s="88" t="s">
        <v>152</v>
      </c>
      <c r="D358" s="88"/>
      <c r="E358" s="89" t="s">
        <v>57</v>
      </c>
      <c r="F358" s="149"/>
      <c r="G358" s="80">
        <f>G359</f>
        <v>5087531</v>
      </c>
      <c r="H358" s="80">
        <f>H359</f>
        <v>30000</v>
      </c>
      <c r="I358" s="80">
        <f t="shared" si="10"/>
        <v>5117531</v>
      </c>
      <c r="J358" s="129"/>
      <c r="K358" s="103"/>
      <c r="N358" s="143"/>
    </row>
    <row r="359" spans="1:14" s="94" customFormat="1" ht="34.5" customHeight="1">
      <c r="A359" s="25" t="s">
        <v>884</v>
      </c>
      <c r="B359" s="25"/>
      <c r="C359" s="25"/>
      <c r="D359" s="25"/>
      <c r="E359" s="195" t="s">
        <v>57</v>
      </c>
      <c r="F359" s="212"/>
      <c r="G359" s="80">
        <f>G360+G362+G365+G369+G373+G367</f>
        <v>5087531</v>
      </c>
      <c r="H359" s="80">
        <f>H360+H362+H365+H369+H373+H367</f>
        <v>30000</v>
      </c>
      <c r="I359" s="80">
        <f>I360+I362+I365+I369+I373+I367</f>
        <v>5117531</v>
      </c>
      <c r="J359" s="129"/>
      <c r="K359" s="103"/>
      <c r="N359" s="143"/>
    </row>
    <row r="360" spans="1:14" s="94" customFormat="1" ht="15.75" customHeight="1" hidden="1">
      <c r="A360" s="272" t="s">
        <v>885</v>
      </c>
      <c r="B360" s="272" t="s">
        <v>1015</v>
      </c>
      <c r="C360" s="273" t="s">
        <v>537</v>
      </c>
      <c r="D360" s="273"/>
      <c r="E360" s="307" t="s">
        <v>538</v>
      </c>
      <c r="F360" s="212"/>
      <c r="G360" s="80">
        <f>G361</f>
        <v>0</v>
      </c>
      <c r="H360" s="80">
        <f>H361</f>
        <v>0</v>
      </c>
      <c r="I360" s="80">
        <f t="shared" si="10"/>
        <v>0</v>
      </c>
      <c r="J360" s="129"/>
      <c r="K360" s="103"/>
      <c r="N360" s="143"/>
    </row>
    <row r="361" spans="1:14" s="94" customFormat="1" ht="47.25" customHeight="1" hidden="1">
      <c r="A361" s="244" t="s">
        <v>886</v>
      </c>
      <c r="B361" s="244" t="s">
        <v>466</v>
      </c>
      <c r="C361" s="244" t="s">
        <v>164</v>
      </c>
      <c r="D361" s="244" t="s">
        <v>431</v>
      </c>
      <c r="E361" s="301" t="s">
        <v>887</v>
      </c>
      <c r="F361" s="345" t="s">
        <v>1158</v>
      </c>
      <c r="G361" s="75"/>
      <c r="H361" s="75"/>
      <c r="I361" s="75">
        <f t="shared" si="10"/>
        <v>0</v>
      </c>
      <c r="J361" s="219"/>
      <c r="K361" s="103"/>
      <c r="N361" s="143"/>
    </row>
    <row r="362" spans="1:14" s="94" customFormat="1" ht="15.75" customHeight="1" hidden="1">
      <c r="A362" s="272" t="s">
        <v>888</v>
      </c>
      <c r="B362" s="272" t="s">
        <v>1020</v>
      </c>
      <c r="C362" s="272" t="s">
        <v>550</v>
      </c>
      <c r="D362" s="272"/>
      <c r="E362" s="306" t="s">
        <v>672</v>
      </c>
      <c r="F362" s="206"/>
      <c r="G362" s="75">
        <f>G363+G364</f>
        <v>0</v>
      </c>
      <c r="H362" s="75">
        <f>H363+H364</f>
        <v>0</v>
      </c>
      <c r="I362" s="75">
        <f t="shared" si="10"/>
        <v>0</v>
      </c>
      <c r="J362" s="219"/>
      <c r="K362" s="103"/>
      <c r="N362" s="143"/>
    </row>
    <row r="363" spans="1:14" s="94" customFormat="1" ht="66" customHeight="1" hidden="1">
      <c r="A363" s="244" t="s">
        <v>889</v>
      </c>
      <c r="B363" s="244" t="s">
        <v>1021</v>
      </c>
      <c r="C363" s="244" t="s">
        <v>83</v>
      </c>
      <c r="D363" s="244" t="s">
        <v>433</v>
      </c>
      <c r="E363" s="252" t="s">
        <v>553</v>
      </c>
      <c r="F363" s="263" t="s">
        <v>1130</v>
      </c>
      <c r="G363" s="269"/>
      <c r="H363" s="269"/>
      <c r="I363" s="269">
        <f t="shared" si="10"/>
        <v>0</v>
      </c>
      <c r="J363" s="224"/>
      <c r="K363" s="103"/>
      <c r="N363" s="143"/>
    </row>
    <row r="364" spans="1:14" s="94" customFormat="1" ht="68.25" customHeight="1" hidden="1">
      <c r="A364" s="244" t="s">
        <v>890</v>
      </c>
      <c r="B364" s="244" t="s">
        <v>1109</v>
      </c>
      <c r="C364" s="244" t="s">
        <v>98</v>
      </c>
      <c r="D364" s="244" t="s">
        <v>460</v>
      </c>
      <c r="E364" s="301" t="s">
        <v>786</v>
      </c>
      <c r="F364" s="263" t="s">
        <v>1130</v>
      </c>
      <c r="G364" s="269"/>
      <c r="H364" s="269"/>
      <c r="I364" s="269">
        <f t="shared" si="10"/>
        <v>0</v>
      </c>
      <c r="J364" s="224"/>
      <c r="K364" s="103"/>
      <c r="N364" s="143"/>
    </row>
    <row r="365" spans="1:14" s="94" customFormat="1" ht="15.75" customHeight="1" hidden="1">
      <c r="A365" s="272" t="s">
        <v>891</v>
      </c>
      <c r="B365" s="272" t="s">
        <v>1023</v>
      </c>
      <c r="C365" s="273" t="s">
        <v>547</v>
      </c>
      <c r="D365" s="273"/>
      <c r="E365" s="257" t="s">
        <v>548</v>
      </c>
      <c r="F365" s="206"/>
      <c r="G365" s="269">
        <f>G366</f>
        <v>0</v>
      </c>
      <c r="H365" s="269">
        <f>H366</f>
        <v>0</v>
      </c>
      <c r="I365" s="269">
        <f t="shared" si="10"/>
        <v>0</v>
      </c>
      <c r="J365" s="224"/>
      <c r="K365" s="103"/>
      <c r="N365" s="143"/>
    </row>
    <row r="366" spans="1:14" s="125" customFormat="1" ht="63" customHeight="1" hidden="1">
      <c r="A366" s="244" t="s">
        <v>892</v>
      </c>
      <c r="B366" s="244" t="s">
        <v>1024</v>
      </c>
      <c r="C366" s="244" t="s">
        <v>97</v>
      </c>
      <c r="D366" s="244" t="s">
        <v>433</v>
      </c>
      <c r="E366" s="252" t="s">
        <v>789</v>
      </c>
      <c r="F366" s="148" t="s">
        <v>468</v>
      </c>
      <c r="G366" s="269"/>
      <c r="H366" s="269"/>
      <c r="I366" s="269">
        <f t="shared" si="10"/>
        <v>0</v>
      </c>
      <c r="J366" s="224"/>
      <c r="K366" s="124"/>
      <c r="N366" s="126"/>
    </row>
    <row r="367" spans="1:14" s="125" customFormat="1" ht="15.75" customHeight="1" hidden="1">
      <c r="A367" s="272" t="s">
        <v>1141</v>
      </c>
      <c r="B367" s="272"/>
      <c r="C367" s="272" t="s">
        <v>205</v>
      </c>
      <c r="D367" s="272"/>
      <c r="E367" s="257" t="s">
        <v>206</v>
      </c>
      <c r="F367" s="339"/>
      <c r="G367" s="299">
        <f>G368</f>
        <v>4784670</v>
      </c>
      <c r="H367" s="299">
        <f>H368</f>
        <v>0</v>
      </c>
      <c r="I367" s="299">
        <f>I368</f>
        <v>4784670</v>
      </c>
      <c r="J367" s="224"/>
      <c r="K367" s="124"/>
      <c r="N367" s="126"/>
    </row>
    <row r="368" spans="1:14" s="125" customFormat="1" ht="31.5">
      <c r="A368" s="272" t="s">
        <v>1141</v>
      </c>
      <c r="B368" s="244" t="s">
        <v>1098</v>
      </c>
      <c r="C368" s="244" t="s">
        <v>205</v>
      </c>
      <c r="D368" s="244" t="s">
        <v>441</v>
      </c>
      <c r="E368" s="257" t="s">
        <v>206</v>
      </c>
      <c r="F368" s="345" t="s">
        <v>1158</v>
      </c>
      <c r="G368" s="269">
        <f>10000000-3000000-2215330</f>
        <v>4784670</v>
      </c>
      <c r="H368" s="269"/>
      <c r="I368" s="299">
        <f t="shared" si="10"/>
        <v>4784670</v>
      </c>
      <c r="J368" s="224"/>
      <c r="K368" s="124"/>
      <c r="N368" s="126"/>
    </row>
    <row r="369" spans="1:14" s="125" customFormat="1" ht="15.75" customHeight="1">
      <c r="A369" s="272" t="s">
        <v>893</v>
      </c>
      <c r="B369" s="272" t="s">
        <v>1025</v>
      </c>
      <c r="C369" s="272" t="s">
        <v>562</v>
      </c>
      <c r="D369" s="272"/>
      <c r="E369" s="257" t="s">
        <v>563</v>
      </c>
      <c r="F369" s="206"/>
      <c r="G369" s="299">
        <f>G370</f>
        <v>302861</v>
      </c>
      <c r="H369" s="299">
        <f>H370</f>
        <v>0</v>
      </c>
      <c r="I369" s="299">
        <f t="shared" si="10"/>
        <v>302861</v>
      </c>
      <c r="J369" s="224"/>
      <c r="K369" s="124"/>
      <c r="N369" s="126"/>
    </row>
    <row r="370" spans="1:14" s="125" customFormat="1" ht="15.75" customHeight="1" hidden="1">
      <c r="A370" s="275" t="s">
        <v>894</v>
      </c>
      <c r="B370" s="275" t="s">
        <v>1026</v>
      </c>
      <c r="C370" s="275" t="s">
        <v>76</v>
      </c>
      <c r="D370" s="275"/>
      <c r="E370" s="287" t="s">
        <v>91</v>
      </c>
      <c r="F370" s="206"/>
      <c r="G370" s="269">
        <f>G371+G372</f>
        <v>302861</v>
      </c>
      <c r="H370" s="269">
        <f>H371+H372</f>
        <v>0</v>
      </c>
      <c r="I370" s="269">
        <f t="shared" si="10"/>
        <v>302861</v>
      </c>
      <c r="J370" s="224"/>
      <c r="K370" s="124"/>
      <c r="N370" s="126"/>
    </row>
    <row r="371" spans="1:14" s="125" customFormat="1" ht="67.5" customHeight="1">
      <c r="A371" s="275" t="s">
        <v>894</v>
      </c>
      <c r="B371" s="275" t="s">
        <v>1026</v>
      </c>
      <c r="C371" s="25" t="s">
        <v>76</v>
      </c>
      <c r="D371" s="25" t="s">
        <v>434</v>
      </c>
      <c r="E371" s="287" t="s">
        <v>91</v>
      </c>
      <c r="F371" s="354" t="s">
        <v>1191</v>
      </c>
      <c r="G371" s="269">
        <v>302861</v>
      </c>
      <c r="H371" s="269"/>
      <c r="I371" s="269">
        <f t="shared" si="10"/>
        <v>302861</v>
      </c>
      <c r="J371" s="224"/>
      <c r="K371" s="124"/>
      <c r="N371" s="126"/>
    </row>
    <row r="372" spans="1:14" s="125" customFormat="1" ht="78.75" customHeight="1" hidden="1">
      <c r="A372" s="25" t="s">
        <v>895</v>
      </c>
      <c r="B372" s="25" t="s">
        <v>1027</v>
      </c>
      <c r="C372" s="25" t="s">
        <v>76</v>
      </c>
      <c r="D372" s="314"/>
      <c r="E372" s="313"/>
      <c r="F372" s="206" t="s">
        <v>527</v>
      </c>
      <c r="G372" s="269"/>
      <c r="H372" s="269"/>
      <c r="I372" s="269">
        <f t="shared" si="10"/>
        <v>0</v>
      </c>
      <c r="J372" s="224"/>
      <c r="K372" s="124"/>
      <c r="N372" s="126"/>
    </row>
    <row r="373" spans="1:14" s="125" customFormat="1" ht="15.75" customHeight="1">
      <c r="A373" s="272" t="s">
        <v>896</v>
      </c>
      <c r="B373" s="272" t="s">
        <v>1031</v>
      </c>
      <c r="C373" s="272" t="s">
        <v>556</v>
      </c>
      <c r="D373" s="272"/>
      <c r="E373" s="303" t="s">
        <v>557</v>
      </c>
      <c r="F373" s="206"/>
      <c r="G373" s="269">
        <f>G375+G374</f>
        <v>0</v>
      </c>
      <c r="H373" s="269">
        <f>H375+H374</f>
        <v>30000</v>
      </c>
      <c r="I373" s="269">
        <f t="shared" si="10"/>
        <v>30000</v>
      </c>
      <c r="J373" s="224"/>
      <c r="K373" s="124"/>
      <c r="N373" s="126"/>
    </row>
    <row r="374" spans="1:14" s="125" customFormat="1" ht="59.25" customHeight="1">
      <c r="A374" s="244" t="s">
        <v>1195</v>
      </c>
      <c r="B374" s="244" t="s">
        <v>1048</v>
      </c>
      <c r="C374" s="244" t="s">
        <v>28</v>
      </c>
      <c r="D374" s="244" t="s">
        <v>442</v>
      </c>
      <c r="E374" s="252" t="s">
        <v>105</v>
      </c>
      <c r="F374" s="354" t="s">
        <v>1194</v>
      </c>
      <c r="G374" s="269"/>
      <c r="H374" s="269">
        <v>30000</v>
      </c>
      <c r="I374" s="269">
        <f t="shared" si="10"/>
        <v>30000</v>
      </c>
      <c r="J374" s="224"/>
      <c r="K374" s="124"/>
      <c r="N374" s="126"/>
    </row>
    <row r="375" spans="1:14" s="125" customFormat="1" ht="63" hidden="1">
      <c r="A375" s="275" t="s">
        <v>897</v>
      </c>
      <c r="B375" s="275" t="s">
        <v>1032</v>
      </c>
      <c r="C375" s="286" t="s">
        <v>70</v>
      </c>
      <c r="D375" s="286"/>
      <c r="E375" s="287" t="s">
        <v>220</v>
      </c>
      <c r="F375" s="206"/>
      <c r="G375" s="269">
        <f>G376</f>
        <v>0</v>
      </c>
      <c r="H375" s="269">
        <f>H376</f>
        <v>0</v>
      </c>
      <c r="I375" s="269">
        <f>G375+H375</f>
        <v>0</v>
      </c>
      <c r="J375" s="224"/>
      <c r="K375" s="124"/>
      <c r="N375" s="126"/>
    </row>
    <row r="376" spans="1:14" s="125" customFormat="1" ht="66" customHeight="1" hidden="1">
      <c r="A376" s="25" t="s">
        <v>898</v>
      </c>
      <c r="B376" s="25" t="s">
        <v>1033</v>
      </c>
      <c r="C376" s="25" t="s">
        <v>70</v>
      </c>
      <c r="D376" s="25" t="s">
        <v>434</v>
      </c>
      <c r="E376" s="252" t="s">
        <v>560</v>
      </c>
      <c r="F376" s="347" t="s">
        <v>1162</v>
      </c>
      <c r="G376" s="269"/>
      <c r="H376" s="269"/>
      <c r="I376" s="269">
        <f t="shared" si="10"/>
        <v>0</v>
      </c>
      <c r="J376" s="224"/>
      <c r="K376" s="124"/>
      <c r="N376" s="126"/>
    </row>
    <row r="377" spans="1:14" s="94" customFormat="1" ht="46.5" customHeight="1">
      <c r="A377" s="92"/>
      <c r="B377" s="92" t="s">
        <v>151</v>
      </c>
      <c r="C377" s="92" t="s">
        <v>151</v>
      </c>
      <c r="D377" s="92"/>
      <c r="E377" s="93" t="s">
        <v>36</v>
      </c>
      <c r="F377" s="150"/>
      <c r="G377" s="80">
        <f>G378</f>
        <v>1030000</v>
      </c>
      <c r="H377" s="80">
        <f>H378</f>
        <v>0</v>
      </c>
      <c r="I377" s="80">
        <f t="shared" si="10"/>
        <v>1030000</v>
      </c>
      <c r="J377" s="129"/>
      <c r="K377" s="96"/>
      <c r="N377" s="143"/>
    </row>
    <row r="378" spans="1:14" s="94" customFormat="1" ht="36" customHeight="1">
      <c r="A378" s="25" t="s">
        <v>899</v>
      </c>
      <c r="B378" s="25"/>
      <c r="C378" s="25"/>
      <c r="D378" s="25"/>
      <c r="E378" s="195" t="s">
        <v>36</v>
      </c>
      <c r="F378" s="206"/>
      <c r="G378" s="80">
        <f>G379+G382</f>
        <v>1030000</v>
      </c>
      <c r="H378" s="80">
        <f>H379+H382</f>
        <v>0</v>
      </c>
      <c r="I378" s="80">
        <f t="shared" si="10"/>
        <v>1030000</v>
      </c>
      <c r="J378" s="129"/>
      <c r="K378" s="96"/>
      <c r="N378" s="143"/>
    </row>
    <row r="379" spans="1:14" s="94" customFormat="1" ht="15.75" customHeight="1">
      <c r="A379" s="272" t="s">
        <v>900</v>
      </c>
      <c r="B379" s="272" t="s">
        <v>1015</v>
      </c>
      <c r="C379" s="273" t="s">
        <v>537</v>
      </c>
      <c r="D379" s="273"/>
      <c r="E379" s="257" t="s">
        <v>538</v>
      </c>
      <c r="F379" s="206"/>
      <c r="G379" s="80">
        <f>G380+G381</f>
        <v>1030000</v>
      </c>
      <c r="H379" s="80">
        <f>H380+H381</f>
        <v>0</v>
      </c>
      <c r="I379" s="80">
        <f t="shared" si="10"/>
        <v>1030000</v>
      </c>
      <c r="J379" s="129"/>
      <c r="K379" s="96"/>
      <c r="N379" s="143"/>
    </row>
    <row r="380" spans="1:14" s="94" customFormat="1" ht="46.5" customHeight="1">
      <c r="A380" s="242" t="s">
        <v>901</v>
      </c>
      <c r="B380" s="242" t="s">
        <v>466</v>
      </c>
      <c r="C380" s="419" t="s">
        <v>164</v>
      </c>
      <c r="D380" s="242" t="s">
        <v>431</v>
      </c>
      <c r="E380" s="253" t="s">
        <v>902</v>
      </c>
      <c r="F380" s="264" t="s">
        <v>494</v>
      </c>
      <c r="G380" s="317">
        <v>20000</v>
      </c>
      <c r="H380" s="317"/>
      <c r="I380" s="317">
        <f t="shared" si="10"/>
        <v>20000</v>
      </c>
      <c r="J380" s="225"/>
      <c r="K380" s="103"/>
      <c r="N380" s="143"/>
    </row>
    <row r="381" spans="1:14" s="94" customFormat="1" ht="46.5" customHeight="1">
      <c r="A381" s="242" t="s">
        <v>901</v>
      </c>
      <c r="B381" s="242" t="s">
        <v>466</v>
      </c>
      <c r="C381" s="420"/>
      <c r="D381" s="242" t="s">
        <v>431</v>
      </c>
      <c r="E381" s="253" t="s">
        <v>902</v>
      </c>
      <c r="F381" s="345" t="s">
        <v>1161</v>
      </c>
      <c r="G381" s="317">
        <v>1010000</v>
      </c>
      <c r="H381" s="317"/>
      <c r="I381" s="317">
        <f t="shared" si="10"/>
        <v>1010000</v>
      </c>
      <c r="J381" s="225"/>
      <c r="K381" s="103"/>
      <c r="N381" s="143"/>
    </row>
    <row r="382" spans="1:14" s="94" customFormat="1" ht="15.75" customHeight="1" hidden="1">
      <c r="A382" s="272" t="s">
        <v>903</v>
      </c>
      <c r="B382" s="272" t="s">
        <v>1025</v>
      </c>
      <c r="C382" s="272" t="s">
        <v>562</v>
      </c>
      <c r="D382" s="272"/>
      <c r="E382" s="257" t="s">
        <v>563</v>
      </c>
      <c r="F382" s="82"/>
      <c r="G382" s="80">
        <f>G383</f>
        <v>0</v>
      </c>
      <c r="H382" s="80">
        <f>H383</f>
        <v>0</v>
      </c>
      <c r="I382" s="80">
        <f t="shared" si="10"/>
        <v>0</v>
      </c>
      <c r="J382" s="219"/>
      <c r="K382" s="103"/>
      <c r="N382" s="143"/>
    </row>
    <row r="383" spans="1:14" s="94" customFormat="1" ht="15.75" customHeight="1" hidden="1">
      <c r="A383" s="275" t="s">
        <v>904</v>
      </c>
      <c r="B383" s="275" t="s">
        <v>1026</v>
      </c>
      <c r="C383" s="275" t="s">
        <v>76</v>
      </c>
      <c r="D383" s="275"/>
      <c r="E383" s="304" t="s">
        <v>91</v>
      </c>
      <c r="F383" s="201"/>
      <c r="G383" s="75">
        <f>G384</f>
        <v>0</v>
      </c>
      <c r="H383" s="75">
        <f>H384</f>
        <v>0</v>
      </c>
      <c r="I383" s="75">
        <f t="shared" si="10"/>
        <v>0</v>
      </c>
      <c r="J383" s="219"/>
      <c r="K383" s="103"/>
      <c r="N383" s="143"/>
    </row>
    <row r="384" spans="1:14" s="94" customFormat="1" ht="76.5" customHeight="1" hidden="1">
      <c r="A384" s="25" t="s">
        <v>905</v>
      </c>
      <c r="B384" s="25" t="s">
        <v>1030</v>
      </c>
      <c r="C384" s="25" t="s">
        <v>76</v>
      </c>
      <c r="D384" s="25" t="s">
        <v>434</v>
      </c>
      <c r="E384" s="252" t="s">
        <v>1127</v>
      </c>
      <c r="F384" s="264" t="s">
        <v>1136</v>
      </c>
      <c r="G384" s="317"/>
      <c r="H384" s="317"/>
      <c r="I384" s="317">
        <f t="shared" si="10"/>
        <v>0</v>
      </c>
      <c r="J384" s="225"/>
      <c r="K384" s="103"/>
      <c r="N384" s="143"/>
    </row>
    <row r="385" spans="1:14" s="94" customFormat="1" ht="47.25" customHeight="1">
      <c r="A385" s="92"/>
      <c r="B385" s="92" t="s">
        <v>192</v>
      </c>
      <c r="C385" s="92" t="s">
        <v>192</v>
      </c>
      <c r="D385" s="92"/>
      <c r="E385" s="93" t="s">
        <v>36</v>
      </c>
      <c r="F385" s="150"/>
      <c r="G385" s="80">
        <f>G386</f>
        <v>2439890</v>
      </c>
      <c r="H385" s="80">
        <f>H386</f>
        <v>5745400</v>
      </c>
      <c r="I385" s="80">
        <f t="shared" si="10"/>
        <v>8185290</v>
      </c>
      <c r="J385" s="129"/>
      <c r="K385" s="103"/>
      <c r="N385" s="143"/>
    </row>
    <row r="386" spans="1:14" s="94" customFormat="1" ht="33" customHeight="1">
      <c r="A386" s="25" t="s">
        <v>906</v>
      </c>
      <c r="B386" s="25"/>
      <c r="C386" s="25"/>
      <c r="D386" s="25"/>
      <c r="E386" s="302" t="s">
        <v>36</v>
      </c>
      <c r="F386" s="207"/>
      <c r="G386" s="80">
        <f>G387</f>
        <v>2439890</v>
      </c>
      <c r="H386" s="80">
        <f>H387</f>
        <v>5745400</v>
      </c>
      <c r="I386" s="80">
        <f t="shared" si="10"/>
        <v>8185290</v>
      </c>
      <c r="J386" s="129"/>
      <c r="K386" s="103"/>
      <c r="N386" s="143"/>
    </row>
    <row r="387" spans="1:14" s="94" customFormat="1" ht="21" customHeight="1">
      <c r="A387" s="272" t="s">
        <v>907</v>
      </c>
      <c r="B387" s="272" t="s">
        <v>1025</v>
      </c>
      <c r="C387" s="273" t="s">
        <v>562</v>
      </c>
      <c r="D387" s="273"/>
      <c r="E387" s="306" t="s">
        <v>563</v>
      </c>
      <c r="F387" s="207"/>
      <c r="G387" s="80">
        <f>G388+G389</f>
        <v>2439890</v>
      </c>
      <c r="H387" s="80">
        <f>H388+H389</f>
        <v>5745400</v>
      </c>
      <c r="I387" s="80">
        <f t="shared" si="10"/>
        <v>8185290</v>
      </c>
      <c r="J387" s="129"/>
      <c r="K387" s="103"/>
      <c r="N387" s="143"/>
    </row>
    <row r="388" spans="1:14" s="94" customFormat="1" ht="99.75" customHeight="1">
      <c r="A388" s="25" t="s">
        <v>908</v>
      </c>
      <c r="B388" s="25" t="s">
        <v>1122</v>
      </c>
      <c r="C388" s="244" t="s">
        <v>100</v>
      </c>
      <c r="D388" s="244" t="s">
        <v>466</v>
      </c>
      <c r="E388" s="252" t="s">
        <v>909</v>
      </c>
      <c r="F388" s="82" t="s">
        <v>1201</v>
      </c>
      <c r="G388" s="75">
        <f>1217890+1222000</f>
        <v>2439890</v>
      </c>
      <c r="H388" s="75">
        <f>6967400-1222000</f>
        <v>5745400</v>
      </c>
      <c r="I388" s="75">
        <f t="shared" si="10"/>
        <v>8185290</v>
      </c>
      <c r="J388" s="219"/>
      <c r="K388" s="96"/>
      <c r="N388" s="143"/>
    </row>
    <row r="389" spans="1:14" s="146" customFormat="1" ht="51.75" customHeight="1" hidden="1">
      <c r="A389" s="244" t="s">
        <v>910</v>
      </c>
      <c r="B389" s="244" t="s">
        <v>1123</v>
      </c>
      <c r="C389" s="244" t="s">
        <v>911</v>
      </c>
      <c r="D389" s="244" t="s">
        <v>466</v>
      </c>
      <c r="E389" s="252" t="s">
        <v>286</v>
      </c>
      <c r="F389" s="354" t="s">
        <v>1204</v>
      </c>
      <c r="G389" s="323"/>
      <c r="H389" s="323"/>
      <c r="I389" s="323">
        <f t="shared" si="10"/>
        <v>0</v>
      </c>
      <c r="J389" s="235"/>
      <c r="K389" s="145"/>
      <c r="N389" s="147"/>
    </row>
    <row r="390" spans="1:14" s="94" customFormat="1" ht="31.5" customHeight="1">
      <c r="A390" s="88"/>
      <c r="B390" s="88" t="s">
        <v>133</v>
      </c>
      <c r="C390" s="88" t="s">
        <v>133</v>
      </c>
      <c r="D390" s="88"/>
      <c r="E390" s="89" t="s">
        <v>496</v>
      </c>
      <c r="F390" s="150"/>
      <c r="G390" s="80">
        <f>G391</f>
        <v>10225868</v>
      </c>
      <c r="H390" s="80">
        <f>H391</f>
        <v>20000</v>
      </c>
      <c r="I390" s="80">
        <f t="shared" si="10"/>
        <v>10245868</v>
      </c>
      <c r="J390" s="129"/>
      <c r="K390" s="103"/>
      <c r="N390" s="143"/>
    </row>
    <row r="391" spans="1:14" s="94" customFormat="1" ht="30" customHeight="1">
      <c r="A391" s="25" t="s">
        <v>912</v>
      </c>
      <c r="B391" s="25"/>
      <c r="C391" s="25"/>
      <c r="D391" s="25"/>
      <c r="E391" s="195" t="s">
        <v>496</v>
      </c>
      <c r="F391" s="208"/>
      <c r="G391" s="80">
        <f>G392+G395+G400+G402+G409</f>
        <v>10225868</v>
      </c>
      <c r="H391" s="80">
        <f>H392+H395+H400+H402+H409</f>
        <v>20000</v>
      </c>
      <c r="I391" s="80">
        <f t="shared" si="10"/>
        <v>10245868</v>
      </c>
      <c r="J391" s="129"/>
      <c r="K391" s="103"/>
      <c r="N391" s="143"/>
    </row>
    <row r="392" spans="1:14" s="94" customFormat="1" ht="15.75" customHeight="1">
      <c r="A392" s="273" t="s">
        <v>913</v>
      </c>
      <c r="B392" s="273" t="s">
        <v>1015</v>
      </c>
      <c r="C392" s="273" t="s">
        <v>537</v>
      </c>
      <c r="D392" s="273"/>
      <c r="E392" s="256" t="s">
        <v>538</v>
      </c>
      <c r="F392" s="208"/>
      <c r="G392" s="80">
        <f>G393+G394</f>
        <v>2121747</v>
      </c>
      <c r="H392" s="80">
        <f>H393+H394</f>
        <v>0</v>
      </c>
      <c r="I392" s="80">
        <f t="shared" si="10"/>
        <v>2121747</v>
      </c>
      <c r="J392" s="129"/>
      <c r="K392" s="103"/>
      <c r="N392" s="143"/>
    </row>
    <row r="393" spans="1:14" s="94" customFormat="1" ht="65.25" customHeight="1" hidden="1">
      <c r="A393" s="25" t="s">
        <v>914</v>
      </c>
      <c r="B393" s="25" t="s">
        <v>466</v>
      </c>
      <c r="C393" s="25" t="s">
        <v>164</v>
      </c>
      <c r="D393" s="25" t="s">
        <v>431</v>
      </c>
      <c r="E393" s="301" t="s">
        <v>915</v>
      </c>
      <c r="F393" s="345" t="s">
        <v>1158</v>
      </c>
      <c r="G393" s="75"/>
      <c r="H393" s="75"/>
      <c r="I393" s="75">
        <f t="shared" si="10"/>
        <v>0</v>
      </c>
      <c r="J393" s="219"/>
      <c r="K393" s="103"/>
      <c r="N393" s="143"/>
    </row>
    <row r="394" spans="1:14" s="94" customFormat="1" ht="65.25" customHeight="1">
      <c r="A394" s="25" t="s">
        <v>914</v>
      </c>
      <c r="B394" s="291" t="s">
        <v>466</v>
      </c>
      <c r="C394" s="261" t="s">
        <v>164</v>
      </c>
      <c r="D394" s="291" t="s">
        <v>431</v>
      </c>
      <c r="E394" s="189" t="s">
        <v>1135</v>
      </c>
      <c r="F394" s="347" t="s">
        <v>1161</v>
      </c>
      <c r="G394" s="75">
        <v>2121747</v>
      </c>
      <c r="H394" s="75"/>
      <c r="I394" s="75">
        <f t="shared" si="10"/>
        <v>2121747</v>
      </c>
      <c r="J394" s="219"/>
      <c r="K394" s="103"/>
      <c r="N394" s="143"/>
    </row>
    <row r="395" spans="1:14" s="94" customFormat="1" ht="15.75" customHeight="1">
      <c r="A395" s="273" t="s">
        <v>916</v>
      </c>
      <c r="B395" s="273" t="s">
        <v>1101</v>
      </c>
      <c r="C395" s="272" t="s">
        <v>769</v>
      </c>
      <c r="D395" s="272"/>
      <c r="E395" s="257" t="s">
        <v>770</v>
      </c>
      <c r="F395" s="208"/>
      <c r="G395" s="80">
        <f>G396+G397+G398+G399</f>
        <v>7741630</v>
      </c>
      <c r="H395" s="80">
        <f>H396+H397+H398+H399</f>
        <v>20000</v>
      </c>
      <c r="I395" s="80">
        <f t="shared" si="10"/>
        <v>7761630</v>
      </c>
      <c r="J395" s="219"/>
      <c r="K395" s="103"/>
      <c r="N395" s="143"/>
    </row>
    <row r="396" spans="1:14" s="94" customFormat="1" ht="47.25" customHeight="1">
      <c r="A396" s="295" t="s">
        <v>917</v>
      </c>
      <c r="B396" s="295" t="s">
        <v>1102</v>
      </c>
      <c r="C396" s="281" t="s">
        <v>215</v>
      </c>
      <c r="D396" s="376" t="s">
        <v>459</v>
      </c>
      <c r="E396" s="282" t="s">
        <v>772</v>
      </c>
      <c r="F396" s="354" t="s">
        <v>1191</v>
      </c>
      <c r="G396" s="75">
        <v>4105154</v>
      </c>
      <c r="H396" s="75"/>
      <c r="I396" s="75">
        <f t="shared" si="10"/>
        <v>4105154</v>
      </c>
      <c r="J396" s="219"/>
      <c r="K396" s="103"/>
      <c r="N396" s="143"/>
    </row>
    <row r="397" spans="1:14" s="94" customFormat="1" ht="47.25" hidden="1">
      <c r="A397" s="295" t="s">
        <v>917</v>
      </c>
      <c r="B397" s="295" t="s">
        <v>1102</v>
      </c>
      <c r="C397" s="281" t="s">
        <v>215</v>
      </c>
      <c r="D397" s="376" t="s">
        <v>459</v>
      </c>
      <c r="E397" s="282" t="s">
        <v>772</v>
      </c>
      <c r="F397" s="90" t="s">
        <v>1166</v>
      </c>
      <c r="G397" s="75">
        <f>22232-22232</f>
        <v>0</v>
      </c>
      <c r="H397" s="75"/>
      <c r="I397" s="75">
        <f t="shared" si="10"/>
        <v>0</v>
      </c>
      <c r="J397" s="219"/>
      <c r="K397" s="103"/>
      <c r="N397" s="143"/>
    </row>
    <row r="398" spans="1:15" s="94" customFormat="1" ht="52.5" customHeight="1">
      <c r="A398" s="295" t="s">
        <v>918</v>
      </c>
      <c r="B398" s="295" t="s">
        <v>1110</v>
      </c>
      <c r="C398" s="281" t="s">
        <v>93</v>
      </c>
      <c r="D398" s="424" t="s">
        <v>460</v>
      </c>
      <c r="E398" s="282" t="s">
        <v>94</v>
      </c>
      <c r="F398" s="354" t="s">
        <v>1204</v>
      </c>
      <c r="G398" s="75">
        <f>3614476+22000</f>
        <v>3636476</v>
      </c>
      <c r="H398" s="75">
        <v>20000</v>
      </c>
      <c r="I398" s="75">
        <f t="shared" si="10"/>
        <v>3656476</v>
      </c>
      <c r="J398" s="219"/>
      <c r="K398" s="96"/>
      <c r="N398" s="104"/>
      <c r="O398" s="105"/>
    </row>
    <row r="399" spans="1:15" s="94" customFormat="1" ht="52.5" customHeight="1" hidden="1">
      <c r="A399" s="295" t="s">
        <v>918</v>
      </c>
      <c r="B399" s="295" t="s">
        <v>1110</v>
      </c>
      <c r="C399" s="281" t="s">
        <v>93</v>
      </c>
      <c r="D399" s="425"/>
      <c r="E399" s="282" t="s">
        <v>94</v>
      </c>
      <c r="F399" s="90" t="s">
        <v>1166</v>
      </c>
      <c r="G399" s="75"/>
      <c r="H399" s="75"/>
      <c r="I399" s="75">
        <f t="shared" si="10"/>
        <v>0</v>
      </c>
      <c r="J399" s="219"/>
      <c r="K399" s="96"/>
      <c r="N399" s="104"/>
      <c r="O399" s="105"/>
    </row>
    <row r="400" spans="1:15" s="94" customFormat="1" ht="15.75" customHeight="1" hidden="1">
      <c r="A400" s="272" t="s">
        <v>919</v>
      </c>
      <c r="B400" s="272" t="s">
        <v>1020</v>
      </c>
      <c r="C400" s="273" t="s">
        <v>550</v>
      </c>
      <c r="D400" s="273"/>
      <c r="E400" s="307" t="s">
        <v>672</v>
      </c>
      <c r="F400" s="198"/>
      <c r="G400" s="75">
        <f>G401</f>
        <v>0</v>
      </c>
      <c r="H400" s="75">
        <f>H401</f>
        <v>0</v>
      </c>
      <c r="I400" s="75">
        <f t="shared" si="10"/>
        <v>0</v>
      </c>
      <c r="J400" s="219"/>
      <c r="K400" s="96"/>
      <c r="N400" s="104"/>
      <c r="O400" s="105"/>
    </row>
    <row r="401" spans="1:15" s="94" customFormat="1" ht="52.5" customHeight="1" hidden="1">
      <c r="A401" s="244" t="s">
        <v>920</v>
      </c>
      <c r="B401" s="244" t="s">
        <v>1021</v>
      </c>
      <c r="C401" s="244" t="s">
        <v>83</v>
      </c>
      <c r="D401" s="244" t="s">
        <v>433</v>
      </c>
      <c r="E401" s="301" t="s">
        <v>553</v>
      </c>
      <c r="F401" s="354" t="s">
        <v>1204</v>
      </c>
      <c r="G401" s="75"/>
      <c r="H401" s="75"/>
      <c r="I401" s="75">
        <f t="shared" si="10"/>
        <v>0</v>
      </c>
      <c r="J401" s="219"/>
      <c r="K401" s="96"/>
      <c r="N401" s="104"/>
      <c r="O401" s="105"/>
    </row>
    <row r="402" spans="1:15" s="94" customFormat="1" ht="15.75" customHeight="1">
      <c r="A402" s="273" t="s">
        <v>921</v>
      </c>
      <c r="B402" s="273" t="s">
        <v>1025</v>
      </c>
      <c r="C402" s="273" t="s">
        <v>562</v>
      </c>
      <c r="D402" s="273"/>
      <c r="E402" s="257" t="s">
        <v>563</v>
      </c>
      <c r="F402" s="208"/>
      <c r="G402" s="80">
        <f>G403</f>
        <v>362491</v>
      </c>
      <c r="H402" s="80">
        <f>H403</f>
        <v>0</v>
      </c>
      <c r="I402" s="80">
        <f t="shared" si="10"/>
        <v>362491</v>
      </c>
      <c r="J402" s="219"/>
      <c r="K402" s="96"/>
      <c r="N402" s="104"/>
      <c r="O402" s="105"/>
    </row>
    <row r="403" spans="1:15" s="94" customFormat="1" ht="15.75" customHeight="1" hidden="1">
      <c r="A403" s="286" t="s">
        <v>922</v>
      </c>
      <c r="B403" s="286" t="s">
        <v>1026</v>
      </c>
      <c r="C403" s="286" t="s">
        <v>76</v>
      </c>
      <c r="D403" s="286"/>
      <c r="E403" s="304" t="s">
        <v>91</v>
      </c>
      <c r="F403" s="208"/>
      <c r="G403" s="75">
        <f>G404+G405+G406+G407+G408</f>
        <v>362491</v>
      </c>
      <c r="H403" s="75">
        <f>H404+H405+H406+H407+H408</f>
        <v>0</v>
      </c>
      <c r="I403" s="75">
        <f t="shared" si="10"/>
        <v>362491</v>
      </c>
      <c r="J403" s="219"/>
      <c r="K403" s="96"/>
      <c r="N403" s="104"/>
      <c r="O403" s="105"/>
    </row>
    <row r="404" spans="1:15" s="94" customFormat="1" ht="51.75" customHeight="1">
      <c r="A404" s="286" t="s">
        <v>922</v>
      </c>
      <c r="B404" s="286" t="s">
        <v>1026</v>
      </c>
      <c r="C404" s="25" t="s">
        <v>76</v>
      </c>
      <c r="D404" s="244" t="s">
        <v>434</v>
      </c>
      <c r="E404" s="304" t="s">
        <v>91</v>
      </c>
      <c r="F404" s="349" t="s">
        <v>1174</v>
      </c>
      <c r="G404" s="75">
        <v>256309</v>
      </c>
      <c r="H404" s="75"/>
      <c r="I404" s="75">
        <f t="shared" si="10"/>
        <v>256309</v>
      </c>
      <c r="J404" s="219"/>
      <c r="K404" s="96"/>
      <c r="N404" s="104"/>
      <c r="O404" s="105"/>
    </row>
    <row r="405" spans="1:15" s="94" customFormat="1" ht="47.25" customHeight="1" hidden="1">
      <c r="A405" s="286" t="s">
        <v>922</v>
      </c>
      <c r="B405" s="286" t="s">
        <v>1026</v>
      </c>
      <c r="C405" s="242" t="s">
        <v>76</v>
      </c>
      <c r="D405" s="244" t="s">
        <v>434</v>
      </c>
      <c r="E405" s="304" t="s">
        <v>91</v>
      </c>
      <c r="F405" s="263" t="s">
        <v>1130</v>
      </c>
      <c r="G405" s="75"/>
      <c r="H405" s="75"/>
      <c r="I405" s="75">
        <f t="shared" si="10"/>
        <v>0</v>
      </c>
      <c r="J405" s="219"/>
      <c r="K405" s="96"/>
      <c r="N405" s="104"/>
      <c r="O405" s="105"/>
    </row>
    <row r="406" spans="1:15" s="94" customFormat="1" ht="47.25" customHeight="1">
      <c r="A406" s="286" t="s">
        <v>922</v>
      </c>
      <c r="B406" s="286" t="s">
        <v>1026</v>
      </c>
      <c r="C406" s="242" t="s">
        <v>76</v>
      </c>
      <c r="D406" s="244" t="s">
        <v>434</v>
      </c>
      <c r="E406" s="304" t="s">
        <v>91</v>
      </c>
      <c r="F406" s="349" t="s">
        <v>1175</v>
      </c>
      <c r="G406" s="75">
        <v>44235</v>
      </c>
      <c r="H406" s="75"/>
      <c r="I406" s="75">
        <f t="shared" si="10"/>
        <v>44235</v>
      </c>
      <c r="J406" s="219"/>
      <c r="K406" s="96"/>
      <c r="N406" s="104"/>
      <c r="O406" s="105"/>
    </row>
    <row r="407" spans="1:15" s="94" customFormat="1" ht="63" customHeight="1">
      <c r="A407" s="286" t="s">
        <v>922</v>
      </c>
      <c r="B407" s="286" t="s">
        <v>1026</v>
      </c>
      <c r="C407" s="244" t="s">
        <v>76</v>
      </c>
      <c r="D407" s="244" t="s">
        <v>434</v>
      </c>
      <c r="E407" s="304" t="s">
        <v>91</v>
      </c>
      <c r="F407" s="346" t="s">
        <v>1159</v>
      </c>
      <c r="G407" s="75">
        <v>50000</v>
      </c>
      <c r="H407" s="75"/>
      <c r="I407" s="75">
        <f t="shared" si="10"/>
        <v>50000</v>
      </c>
      <c r="J407" s="219"/>
      <c r="K407" s="96"/>
      <c r="N407" s="104"/>
      <c r="O407" s="105"/>
    </row>
    <row r="408" spans="1:15" s="94" customFormat="1" ht="56.25" customHeight="1">
      <c r="A408" s="286" t="s">
        <v>922</v>
      </c>
      <c r="B408" s="286" t="s">
        <v>1026</v>
      </c>
      <c r="C408" s="244" t="s">
        <v>76</v>
      </c>
      <c r="D408" s="244" t="s">
        <v>434</v>
      </c>
      <c r="E408" s="304" t="s">
        <v>91</v>
      </c>
      <c r="F408" s="349" t="s">
        <v>1176</v>
      </c>
      <c r="G408" s="75">
        <v>11947</v>
      </c>
      <c r="H408" s="75"/>
      <c r="I408" s="75">
        <f t="shared" si="10"/>
        <v>11947</v>
      </c>
      <c r="J408" s="219"/>
      <c r="K408" s="96"/>
      <c r="N408" s="104"/>
      <c r="O408" s="105"/>
    </row>
    <row r="409" spans="1:15" s="94" customFormat="1" ht="15.75" customHeight="1" hidden="1">
      <c r="A409" s="272" t="s">
        <v>1002</v>
      </c>
      <c r="B409" s="272" t="s">
        <v>1031</v>
      </c>
      <c r="C409" s="272" t="s">
        <v>556</v>
      </c>
      <c r="D409" s="272"/>
      <c r="E409" s="305" t="s">
        <v>557</v>
      </c>
      <c r="F409" s="207"/>
      <c r="G409" s="75">
        <f>G410</f>
        <v>0</v>
      </c>
      <c r="H409" s="75">
        <f>H410</f>
        <v>0</v>
      </c>
      <c r="I409" s="75">
        <f t="shared" si="10"/>
        <v>0</v>
      </c>
      <c r="J409" s="219"/>
      <c r="K409" s="96"/>
      <c r="N409" s="104"/>
      <c r="O409" s="105"/>
    </row>
    <row r="410" spans="1:15" s="94" customFormat="1" ht="60" customHeight="1" hidden="1">
      <c r="A410" s="274" t="s">
        <v>1003</v>
      </c>
      <c r="B410" s="274" t="s">
        <v>1032</v>
      </c>
      <c r="C410" s="277" t="s">
        <v>70</v>
      </c>
      <c r="D410" s="277"/>
      <c r="E410" s="309" t="s">
        <v>220</v>
      </c>
      <c r="F410" s="207"/>
      <c r="G410" s="75">
        <f>G411</f>
        <v>0</v>
      </c>
      <c r="H410" s="75">
        <f>H411</f>
        <v>0</v>
      </c>
      <c r="I410" s="75">
        <f t="shared" si="10"/>
        <v>0</v>
      </c>
      <c r="J410" s="219"/>
      <c r="K410" s="96"/>
      <c r="N410" s="104"/>
      <c r="O410" s="105"/>
    </row>
    <row r="411" spans="1:14" s="94" customFormat="1" ht="47.25" customHeight="1" hidden="1">
      <c r="A411" s="25" t="s">
        <v>1004</v>
      </c>
      <c r="B411" s="25" t="s">
        <v>1033</v>
      </c>
      <c r="C411" s="25" t="s">
        <v>70</v>
      </c>
      <c r="D411" s="25"/>
      <c r="E411" s="252" t="s">
        <v>560</v>
      </c>
      <c r="F411" s="347" t="s">
        <v>1162</v>
      </c>
      <c r="G411" s="75"/>
      <c r="H411" s="75"/>
      <c r="I411" s="75">
        <f t="shared" si="10"/>
        <v>0</v>
      </c>
      <c r="J411" s="219"/>
      <c r="K411" s="96"/>
      <c r="N411" s="143"/>
    </row>
    <row r="412" spans="1:14" s="94" customFormat="1" ht="31.5" customHeight="1">
      <c r="A412" s="88"/>
      <c r="B412" s="88" t="s">
        <v>134</v>
      </c>
      <c r="C412" s="88" t="s">
        <v>134</v>
      </c>
      <c r="D412" s="88"/>
      <c r="E412" s="89" t="s">
        <v>42</v>
      </c>
      <c r="F412" s="150"/>
      <c r="G412" s="80">
        <f>G413</f>
        <v>5680633</v>
      </c>
      <c r="H412" s="80">
        <f>H413</f>
        <v>7465796</v>
      </c>
      <c r="I412" s="80">
        <f t="shared" si="10"/>
        <v>13146429</v>
      </c>
      <c r="J412" s="129"/>
      <c r="K412" s="103"/>
      <c r="N412" s="143"/>
    </row>
    <row r="413" spans="1:14" s="94" customFormat="1" ht="31.5">
      <c r="A413" s="18" t="s">
        <v>924</v>
      </c>
      <c r="B413" s="18"/>
      <c r="C413" s="18"/>
      <c r="D413" s="18"/>
      <c r="E413" s="195" t="s">
        <v>42</v>
      </c>
      <c r="F413" s="208"/>
      <c r="G413" s="80">
        <f>G414+G417+G422+G425+G432</f>
        <v>5680633</v>
      </c>
      <c r="H413" s="80">
        <f>H414+H417+H422+H425+H432</f>
        <v>7465796</v>
      </c>
      <c r="I413" s="80">
        <f t="shared" si="10"/>
        <v>13146429</v>
      </c>
      <c r="J413" s="129"/>
      <c r="K413" s="103"/>
      <c r="N413" s="143"/>
    </row>
    <row r="414" spans="1:14" s="94" customFormat="1" ht="15.75" customHeight="1">
      <c r="A414" s="272" t="s">
        <v>925</v>
      </c>
      <c r="B414" s="272" t="s">
        <v>1015</v>
      </c>
      <c r="C414" s="278" t="s">
        <v>769</v>
      </c>
      <c r="D414" s="278"/>
      <c r="E414" s="256" t="s">
        <v>538</v>
      </c>
      <c r="F414" s="208"/>
      <c r="G414" s="80">
        <f>G415+G416</f>
        <v>1196568</v>
      </c>
      <c r="H414" s="80">
        <f>H415+H416</f>
        <v>100000</v>
      </c>
      <c r="I414" s="80">
        <f>I415+I416</f>
        <v>1296568</v>
      </c>
      <c r="J414" s="129"/>
      <c r="K414" s="103"/>
      <c r="N414" s="143"/>
    </row>
    <row r="415" spans="1:14" s="125" customFormat="1" ht="60" customHeight="1">
      <c r="A415" s="244" t="s">
        <v>926</v>
      </c>
      <c r="B415" s="244" t="s">
        <v>466</v>
      </c>
      <c r="C415" s="279" t="s">
        <v>164</v>
      </c>
      <c r="D415" s="244" t="s">
        <v>431</v>
      </c>
      <c r="E415" s="301" t="s">
        <v>915</v>
      </c>
      <c r="F415" s="345" t="s">
        <v>1158</v>
      </c>
      <c r="G415" s="75"/>
      <c r="H415" s="75">
        <v>100000</v>
      </c>
      <c r="I415" s="75">
        <f t="shared" si="10"/>
        <v>100000</v>
      </c>
      <c r="J415" s="219"/>
      <c r="K415" s="124"/>
      <c r="N415" s="126"/>
    </row>
    <row r="416" spans="1:14" s="125" customFormat="1" ht="60" customHeight="1">
      <c r="A416" s="244" t="s">
        <v>926</v>
      </c>
      <c r="B416" s="291" t="s">
        <v>466</v>
      </c>
      <c r="C416" s="261" t="s">
        <v>164</v>
      </c>
      <c r="D416" s="291" t="s">
        <v>431</v>
      </c>
      <c r="E416" s="301" t="s">
        <v>915</v>
      </c>
      <c r="F416" s="347" t="s">
        <v>1161</v>
      </c>
      <c r="G416" s="75">
        <v>1196568</v>
      </c>
      <c r="H416" s="75"/>
      <c r="I416" s="75">
        <f t="shared" si="10"/>
        <v>1196568</v>
      </c>
      <c r="J416" s="219"/>
      <c r="K416" s="124"/>
      <c r="N416" s="126"/>
    </row>
    <row r="417" spans="1:14" s="125" customFormat="1" ht="15.75" customHeight="1">
      <c r="A417" s="273" t="s">
        <v>927</v>
      </c>
      <c r="B417" s="273" t="s">
        <v>1101</v>
      </c>
      <c r="C417" s="272" t="s">
        <v>769</v>
      </c>
      <c r="D417" s="272"/>
      <c r="E417" s="257" t="s">
        <v>770</v>
      </c>
      <c r="F417" s="208"/>
      <c r="G417" s="80">
        <f>G418+G420+G421+G419</f>
        <v>4320508</v>
      </c>
      <c r="H417" s="80">
        <f>H418+H420+H421+H419</f>
        <v>194830</v>
      </c>
      <c r="I417" s="80">
        <f>G417+H417</f>
        <v>4515338</v>
      </c>
      <c r="J417" s="219"/>
      <c r="K417" s="124"/>
      <c r="N417" s="126"/>
    </row>
    <row r="418" spans="1:14" s="125" customFormat="1" ht="45.75" customHeight="1">
      <c r="A418" s="275" t="s">
        <v>928</v>
      </c>
      <c r="B418" s="275" t="s">
        <v>1102</v>
      </c>
      <c r="C418" s="275" t="s">
        <v>215</v>
      </c>
      <c r="D418" s="275" t="s">
        <v>459</v>
      </c>
      <c r="E418" s="287" t="s">
        <v>772</v>
      </c>
      <c r="F418" s="354" t="s">
        <v>1191</v>
      </c>
      <c r="G418" s="75">
        <v>2749802</v>
      </c>
      <c r="H418" s="75"/>
      <c r="I418" s="75">
        <f t="shared" si="10"/>
        <v>2749802</v>
      </c>
      <c r="J418" s="219"/>
      <c r="K418" s="124"/>
      <c r="N418" s="126"/>
    </row>
    <row r="419" spans="1:14" s="125" customFormat="1" ht="45.75" customHeight="1">
      <c r="A419" s="275" t="s">
        <v>928</v>
      </c>
      <c r="B419" s="275" t="s">
        <v>1102</v>
      </c>
      <c r="C419" s="275" t="s">
        <v>215</v>
      </c>
      <c r="D419" s="275" t="s">
        <v>459</v>
      </c>
      <c r="E419" s="287" t="s">
        <v>772</v>
      </c>
      <c r="F419" s="90" t="s">
        <v>1166</v>
      </c>
      <c r="G419" s="322">
        <f>200000+40000</f>
        <v>240000</v>
      </c>
      <c r="H419" s="322"/>
      <c r="I419" s="75">
        <f t="shared" si="10"/>
        <v>240000</v>
      </c>
      <c r="J419" s="219"/>
      <c r="K419" s="124"/>
      <c r="N419" s="126"/>
    </row>
    <row r="420" spans="1:15" s="94" customFormat="1" ht="51" customHeight="1">
      <c r="A420" s="254" t="s">
        <v>929</v>
      </c>
      <c r="B420" s="254" t="s">
        <v>1110</v>
      </c>
      <c r="C420" s="254" t="s">
        <v>93</v>
      </c>
      <c r="D420" s="254" t="s">
        <v>460</v>
      </c>
      <c r="E420" s="255" t="s">
        <v>94</v>
      </c>
      <c r="F420" s="354" t="s">
        <v>1204</v>
      </c>
      <c r="G420" s="322">
        <v>1330706</v>
      </c>
      <c r="H420" s="322">
        <v>94830</v>
      </c>
      <c r="I420" s="322">
        <f t="shared" si="10"/>
        <v>1425536</v>
      </c>
      <c r="J420" s="219"/>
      <c r="K420" s="103"/>
      <c r="N420" s="104"/>
      <c r="O420" s="105"/>
    </row>
    <row r="421" spans="1:15" s="94" customFormat="1" ht="51" customHeight="1">
      <c r="A421" s="254" t="s">
        <v>929</v>
      </c>
      <c r="B421" s="254" t="s">
        <v>1110</v>
      </c>
      <c r="C421" s="254" t="s">
        <v>1006</v>
      </c>
      <c r="D421" s="254" t="s">
        <v>1207</v>
      </c>
      <c r="E421" s="255" t="s">
        <v>94</v>
      </c>
      <c r="F421" s="90" t="s">
        <v>1166</v>
      </c>
      <c r="G421" s="322"/>
      <c r="H421" s="322">
        <v>100000</v>
      </c>
      <c r="I421" s="322">
        <f aca="true" t="shared" si="11" ref="I421:I489">G421+H421</f>
        <v>100000</v>
      </c>
      <c r="J421" s="219"/>
      <c r="K421" s="103"/>
      <c r="N421" s="104"/>
      <c r="O421" s="105"/>
    </row>
    <row r="422" spans="1:15" s="94" customFormat="1" ht="15.75" customHeight="1">
      <c r="A422" s="272" t="s">
        <v>930</v>
      </c>
      <c r="B422" s="272" t="s">
        <v>1020</v>
      </c>
      <c r="C422" s="273" t="s">
        <v>550</v>
      </c>
      <c r="D422" s="273"/>
      <c r="E422" s="256" t="s">
        <v>672</v>
      </c>
      <c r="F422" s="198"/>
      <c r="G422" s="335">
        <f>G423</f>
        <v>0</v>
      </c>
      <c r="H422" s="335">
        <f>H423+H424</f>
        <v>7170966</v>
      </c>
      <c r="I422" s="335">
        <f t="shared" si="11"/>
        <v>7170966</v>
      </c>
      <c r="J422" s="219"/>
      <c r="K422" s="103"/>
      <c r="N422" s="104"/>
      <c r="O422" s="105"/>
    </row>
    <row r="423" spans="1:15" s="94" customFormat="1" ht="47.25" customHeight="1">
      <c r="A423" s="244" t="s">
        <v>931</v>
      </c>
      <c r="B423" s="244" t="s">
        <v>1021</v>
      </c>
      <c r="C423" s="25" t="s">
        <v>83</v>
      </c>
      <c r="D423" s="25" t="s">
        <v>433</v>
      </c>
      <c r="E423" s="301" t="s">
        <v>553</v>
      </c>
      <c r="F423" s="361" t="s">
        <v>1204</v>
      </c>
      <c r="G423" s="75"/>
      <c r="H423" s="75">
        <f>6000000+577500</f>
        <v>6577500</v>
      </c>
      <c r="I423" s="75">
        <f t="shared" si="11"/>
        <v>6577500</v>
      </c>
      <c r="J423" s="219"/>
      <c r="K423" s="103"/>
      <c r="N423" s="104"/>
      <c r="O423" s="105"/>
    </row>
    <row r="424" spans="1:15" s="94" customFormat="1" ht="47.25" customHeight="1">
      <c r="A424" s="244" t="s">
        <v>931</v>
      </c>
      <c r="B424" s="244" t="s">
        <v>1021</v>
      </c>
      <c r="C424" s="25" t="s">
        <v>83</v>
      </c>
      <c r="D424" s="25" t="s">
        <v>433</v>
      </c>
      <c r="E424" s="301" t="s">
        <v>553</v>
      </c>
      <c r="F424" s="354" t="s">
        <v>1158</v>
      </c>
      <c r="G424" s="75"/>
      <c r="H424" s="75">
        <v>593466</v>
      </c>
      <c r="I424" s="75">
        <f t="shared" si="11"/>
        <v>593466</v>
      </c>
      <c r="J424" s="219"/>
      <c r="K424" s="103"/>
      <c r="N424" s="104"/>
      <c r="O424" s="105"/>
    </row>
    <row r="425" spans="1:14" s="94" customFormat="1" ht="15.75" customHeight="1">
      <c r="A425" s="273" t="s">
        <v>945</v>
      </c>
      <c r="B425" s="273" t="s">
        <v>1025</v>
      </c>
      <c r="C425" s="273" t="s">
        <v>562</v>
      </c>
      <c r="D425" s="273"/>
      <c r="E425" s="257" t="s">
        <v>563</v>
      </c>
      <c r="F425" s="208"/>
      <c r="G425" s="80">
        <f>G426</f>
        <v>163557</v>
      </c>
      <c r="H425" s="80">
        <f>H426</f>
        <v>0</v>
      </c>
      <c r="I425" s="80">
        <f t="shared" si="11"/>
        <v>163557</v>
      </c>
      <c r="J425" s="219"/>
      <c r="K425" s="103"/>
      <c r="N425" s="143"/>
    </row>
    <row r="426" spans="1:14" s="94" customFormat="1" ht="15.75" customHeight="1" hidden="1">
      <c r="A426" s="286" t="s">
        <v>946</v>
      </c>
      <c r="B426" s="286" t="s">
        <v>1026</v>
      </c>
      <c r="C426" s="286" t="s">
        <v>76</v>
      </c>
      <c r="D426" s="286"/>
      <c r="E426" s="338" t="s">
        <v>91</v>
      </c>
      <c r="F426" s="208"/>
      <c r="G426" s="75">
        <f>G427+G428+G429+G430+G431</f>
        <v>163557</v>
      </c>
      <c r="H426" s="75">
        <f>H427+H428+H429+H430+H431</f>
        <v>0</v>
      </c>
      <c r="I426" s="75">
        <f t="shared" si="11"/>
        <v>163557</v>
      </c>
      <c r="J426" s="219"/>
      <c r="K426" s="103"/>
      <c r="N426" s="143"/>
    </row>
    <row r="427" spans="1:14" s="94" customFormat="1" ht="49.5" customHeight="1">
      <c r="A427" s="286" t="s">
        <v>946</v>
      </c>
      <c r="B427" s="286" t="s">
        <v>1026</v>
      </c>
      <c r="C427" s="25" t="s">
        <v>76</v>
      </c>
      <c r="D427" s="244" t="s">
        <v>434</v>
      </c>
      <c r="E427" s="338" t="s">
        <v>91</v>
      </c>
      <c r="F427" s="349" t="s">
        <v>1174</v>
      </c>
      <c r="G427" s="75">
        <v>38400</v>
      </c>
      <c r="H427" s="75"/>
      <c r="I427" s="75">
        <f t="shared" si="11"/>
        <v>38400</v>
      </c>
      <c r="J427" s="219"/>
      <c r="K427" s="103"/>
      <c r="N427" s="143"/>
    </row>
    <row r="428" spans="1:14" s="94" customFormat="1" ht="47.25" customHeight="1" hidden="1">
      <c r="A428" s="286" t="s">
        <v>946</v>
      </c>
      <c r="B428" s="286" t="s">
        <v>1026</v>
      </c>
      <c r="C428" s="242" t="s">
        <v>76</v>
      </c>
      <c r="D428" s="244" t="s">
        <v>434</v>
      </c>
      <c r="E428" s="338" t="s">
        <v>91</v>
      </c>
      <c r="F428" s="263" t="s">
        <v>1130</v>
      </c>
      <c r="G428" s="75"/>
      <c r="H428" s="75"/>
      <c r="I428" s="75">
        <f t="shared" si="11"/>
        <v>0</v>
      </c>
      <c r="J428" s="219"/>
      <c r="K428" s="103"/>
      <c r="N428" s="143"/>
    </row>
    <row r="429" spans="1:14" s="94" customFormat="1" ht="47.25" customHeight="1">
      <c r="A429" s="286" t="s">
        <v>946</v>
      </c>
      <c r="B429" s="286" t="s">
        <v>1026</v>
      </c>
      <c r="C429" s="242" t="s">
        <v>76</v>
      </c>
      <c r="D429" s="244" t="s">
        <v>434</v>
      </c>
      <c r="E429" s="338" t="s">
        <v>91</v>
      </c>
      <c r="F429" s="349" t="s">
        <v>1175</v>
      </c>
      <c r="G429" s="75">
        <v>56738</v>
      </c>
      <c r="H429" s="75"/>
      <c r="I429" s="75">
        <f t="shared" si="11"/>
        <v>56738</v>
      </c>
      <c r="J429" s="219"/>
      <c r="K429" s="103"/>
      <c r="N429" s="143"/>
    </row>
    <row r="430" spans="1:14" s="94" customFormat="1" ht="63" customHeight="1">
      <c r="A430" s="286" t="s">
        <v>946</v>
      </c>
      <c r="B430" s="286" t="s">
        <v>1026</v>
      </c>
      <c r="C430" s="244" t="s">
        <v>76</v>
      </c>
      <c r="D430" s="244" t="s">
        <v>434</v>
      </c>
      <c r="E430" s="338" t="s">
        <v>91</v>
      </c>
      <c r="F430" s="347" t="s">
        <v>1159</v>
      </c>
      <c r="G430" s="75">
        <v>49999</v>
      </c>
      <c r="H430" s="75"/>
      <c r="I430" s="75">
        <f t="shared" si="11"/>
        <v>49999</v>
      </c>
      <c r="J430" s="219"/>
      <c r="K430" s="103"/>
      <c r="N430" s="143"/>
    </row>
    <row r="431" spans="1:14" s="94" customFormat="1" ht="54" customHeight="1">
      <c r="A431" s="286" t="s">
        <v>946</v>
      </c>
      <c r="B431" s="286" t="s">
        <v>1026</v>
      </c>
      <c r="C431" s="244" t="s">
        <v>76</v>
      </c>
      <c r="D431" s="244" t="s">
        <v>434</v>
      </c>
      <c r="E431" s="338" t="s">
        <v>91</v>
      </c>
      <c r="F431" s="349" t="s">
        <v>1176</v>
      </c>
      <c r="G431" s="75">
        <v>18420</v>
      </c>
      <c r="H431" s="75"/>
      <c r="I431" s="75">
        <f t="shared" si="11"/>
        <v>18420</v>
      </c>
      <c r="J431" s="219"/>
      <c r="K431" s="103"/>
      <c r="N431" s="143"/>
    </row>
    <row r="432" spans="1:14" s="94" customFormat="1" ht="15.75" customHeight="1" hidden="1">
      <c r="A432" s="272" t="s">
        <v>932</v>
      </c>
      <c r="B432" s="272" t="s">
        <v>1031</v>
      </c>
      <c r="C432" s="272" t="s">
        <v>556</v>
      </c>
      <c r="D432" s="272"/>
      <c r="E432" s="257" t="s">
        <v>557</v>
      </c>
      <c r="F432" s="213"/>
      <c r="G432" s="75">
        <f>G433</f>
        <v>0</v>
      </c>
      <c r="H432" s="75">
        <f>H433</f>
        <v>0</v>
      </c>
      <c r="I432" s="75">
        <f t="shared" si="11"/>
        <v>0</v>
      </c>
      <c r="J432" s="219"/>
      <c r="K432" s="103"/>
      <c r="N432" s="143"/>
    </row>
    <row r="433" spans="1:14" s="94" customFormat="1" ht="69.75" customHeight="1" hidden="1">
      <c r="A433" s="275" t="s">
        <v>933</v>
      </c>
      <c r="B433" s="275" t="s">
        <v>1032</v>
      </c>
      <c r="C433" s="286" t="s">
        <v>70</v>
      </c>
      <c r="D433" s="286"/>
      <c r="E433" s="287" t="s">
        <v>220</v>
      </c>
      <c r="F433" s="213"/>
      <c r="G433" s="75">
        <f>G434</f>
        <v>0</v>
      </c>
      <c r="H433" s="75">
        <f>H434</f>
        <v>0</v>
      </c>
      <c r="I433" s="75">
        <f t="shared" si="11"/>
        <v>0</v>
      </c>
      <c r="J433" s="219"/>
      <c r="K433" s="103"/>
      <c r="N433" s="143"/>
    </row>
    <row r="434" spans="1:14" s="94" customFormat="1" ht="47.25" customHeight="1" hidden="1">
      <c r="A434" s="25" t="s">
        <v>934</v>
      </c>
      <c r="B434" s="25" t="s">
        <v>1033</v>
      </c>
      <c r="C434" s="25" t="s">
        <v>70</v>
      </c>
      <c r="D434" s="25" t="s">
        <v>434</v>
      </c>
      <c r="E434" s="252" t="s">
        <v>560</v>
      </c>
      <c r="F434" s="347" t="s">
        <v>1162</v>
      </c>
      <c r="G434" s="75"/>
      <c r="H434" s="75"/>
      <c r="I434" s="75">
        <f t="shared" si="11"/>
        <v>0</v>
      </c>
      <c r="J434" s="219"/>
      <c r="K434" s="103"/>
      <c r="N434" s="143"/>
    </row>
    <row r="435" spans="1:14" s="94" customFormat="1" ht="31.5" customHeight="1">
      <c r="A435" s="88"/>
      <c r="B435" s="88" t="s">
        <v>135</v>
      </c>
      <c r="C435" s="88" t="s">
        <v>135</v>
      </c>
      <c r="D435" s="88"/>
      <c r="E435" s="89" t="s">
        <v>497</v>
      </c>
      <c r="F435" s="150"/>
      <c r="G435" s="80">
        <f>G436</f>
        <v>5445733</v>
      </c>
      <c r="H435" s="80">
        <f>H436</f>
        <v>15272408</v>
      </c>
      <c r="I435" s="80">
        <f t="shared" si="11"/>
        <v>20718141</v>
      </c>
      <c r="J435" s="129"/>
      <c r="K435" s="103"/>
      <c r="N435" s="143"/>
    </row>
    <row r="436" spans="1:14" s="94" customFormat="1" ht="39" customHeight="1">
      <c r="A436" s="25" t="s">
        <v>935</v>
      </c>
      <c r="B436" s="25"/>
      <c r="C436" s="25"/>
      <c r="D436" s="25"/>
      <c r="E436" s="195" t="s">
        <v>936</v>
      </c>
      <c r="F436" s="213"/>
      <c r="G436" s="80">
        <f>G437+G440+G443+G446+G453</f>
        <v>5445733</v>
      </c>
      <c r="H436" s="80">
        <f>H437+H440+H443+H446+H453</f>
        <v>15272408</v>
      </c>
      <c r="I436" s="80">
        <f t="shared" si="11"/>
        <v>20718141</v>
      </c>
      <c r="J436" s="129"/>
      <c r="K436" s="103"/>
      <c r="N436" s="143"/>
    </row>
    <row r="437" spans="1:14" s="94" customFormat="1" ht="15.75" customHeight="1">
      <c r="A437" s="273" t="s">
        <v>937</v>
      </c>
      <c r="B437" s="273" t="s">
        <v>1015</v>
      </c>
      <c r="C437" s="273" t="s">
        <v>537</v>
      </c>
      <c r="D437" s="273"/>
      <c r="E437" s="256" t="s">
        <v>538</v>
      </c>
      <c r="F437" s="213"/>
      <c r="G437" s="80">
        <f>G438+G439</f>
        <v>1437489</v>
      </c>
      <c r="H437" s="80">
        <f>H438+H439</f>
        <v>65008</v>
      </c>
      <c r="I437" s="80">
        <f>I438+I439</f>
        <v>1502497</v>
      </c>
      <c r="J437" s="129"/>
      <c r="K437" s="103"/>
      <c r="N437" s="143"/>
    </row>
    <row r="438" spans="1:14" s="94" customFormat="1" ht="61.5" customHeight="1">
      <c r="A438" s="25" t="s">
        <v>938</v>
      </c>
      <c r="B438" s="25" t="s">
        <v>466</v>
      </c>
      <c r="C438" s="280" t="s">
        <v>164</v>
      </c>
      <c r="D438" s="25" t="s">
        <v>431</v>
      </c>
      <c r="E438" s="301" t="s">
        <v>915</v>
      </c>
      <c r="F438" s="345" t="s">
        <v>1158</v>
      </c>
      <c r="G438" s="75"/>
      <c r="H438" s="75">
        <v>65008</v>
      </c>
      <c r="I438" s="75">
        <f t="shared" si="11"/>
        <v>65008</v>
      </c>
      <c r="J438" s="219"/>
      <c r="K438" s="103"/>
      <c r="N438" s="143"/>
    </row>
    <row r="439" spans="1:14" s="94" customFormat="1" ht="63">
      <c r="A439" s="25" t="s">
        <v>938</v>
      </c>
      <c r="B439" s="291" t="s">
        <v>466</v>
      </c>
      <c r="C439" s="261" t="s">
        <v>164</v>
      </c>
      <c r="D439" s="291" t="s">
        <v>431</v>
      </c>
      <c r="E439" s="301" t="s">
        <v>915</v>
      </c>
      <c r="F439" s="347" t="s">
        <v>1161</v>
      </c>
      <c r="G439" s="75">
        <v>1437489</v>
      </c>
      <c r="H439" s="75"/>
      <c r="I439" s="75">
        <f t="shared" si="11"/>
        <v>1437489</v>
      </c>
      <c r="J439" s="219"/>
      <c r="K439" s="103"/>
      <c r="N439" s="143"/>
    </row>
    <row r="440" spans="1:14" s="94" customFormat="1" ht="15.75">
      <c r="A440" s="273" t="s">
        <v>939</v>
      </c>
      <c r="B440" s="273" t="s">
        <v>1101</v>
      </c>
      <c r="C440" s="273" t="s">
        <v>769</v>
      </c>
      <c r="D440" s="273"/>
      <c r="E440" s="257" t="s">
        <v>770</v>
      </c>
      <c r="F440" s="213"/>
      <c r="G440" s="80">
        <f>G441+G442</f>
        <v>3646756</v>
      </c>
      <c r="H440" s="80">
        <f>H441+H442</f>
        <v>839905</v>
      </c>
      <c r="I440" s="80">
        <f t="shared" si="11"/>
        <v>4486661</v>
      </c>
      <c r="J440" s="219"/>
      <c r="K440" s="103"/>
      <c r="N440" s="143"/>
    </row>
    <row r="441" spans="1:14" s="284" customFormat="1" ht="49.5" customHeight="1">
      <c r="A441" s="275" t="s">
        <v>940</v>
      </c>
      <c r="B441" s="275" t="s">
        <v>1102</v>
      </c>
      <c r="C441" s="275" t="s">
        <v>215</v>
      </c>
      <c r="D441" s="275" t="s">
        <v>459</v>
      </c>
      <c r="E441" s="287" t="s">
        <v>772</v>
      </c>
      <c r="F441" s="354" t="s">
        <v>1191</v>
      </c>
      <c r="G441" s="316">
        <v>2016970</v>
      </c>
      <c r="H441" s="316"/>
      <c r="I441" s="316">
        <f t="shared" si="11"/>
        <v>2016970</v>
      </c>
      <c r="J441" s="234"/>
      <c r="K441" s="283"/>
      <c r="N441" s="285"/>
    </row>
    <row r="442" spans="1:15" s="94" customFormat="1" ht="52.5" customHeight="1">
      <c r="A442" s="25" t="s">
        <v>941</v>
      </c>
      <c r="B442" s="25" t="s">
        <v>1110</v>
      </c>
      <c r="C442" s="25" t="s">
        <v>93</v>
      </c>
      <c r="D442" s="25" t="s">
        <v>460</v>
      </c>
      <c r="E442" s="302" t="s">
        <v>94</v>
      </c>
      <c r="F442" s="354" t="s">
        <v>1204</v>
      </c>
      <c r="G442" s="75">
        <f>1558746+71040</f>
        <v>1629786</v>
      </c>
      <c r="H442" s="75">
        <f>220952+530490+88463</f>
        <v>839905</v>
      </c>
      <c r="I442" s="75">
        <f t="shared" si="11"/>
        <v>2469691</v>
      </c>
      <c r="J442" s="219"/>
      <c r="K442" s="103"/>
      <c r="N442" s="104"/>
      <c r="O442" s="105"/>
    </row>
    <row r="443" spans="1:15" s="94" customFormat="1" ht="15.75" customHeight="1">
      <c r="A443" s="272" t="s">
        <v>942</v>
      </c>
      <c r="B443" s="272" t="s">
        <v>1020</v>
      </c>
      <c r="C443" s="273" t="s">
        <v>550</v>
      </c>
      <c r="D443" s="273"/>
      <c r="E443" s="307" t="s">
        <v>672</v>
      </c>
      <c r="F443" s="213"/>
      <c r="G443" s="80">
        <f>G444+G445</f>
        <v>0</v>
      </c>
      <c r="H443" s="80">
        <f>H444+H445</f>
        <v>10617495</v>
      </c>
      <c r="I443" s="80">
        <f t="shared" si="11"/>
        <v>10617495</v>
      </c>
      <c r="J443" s="219"/>
      <c r="K443" s="103"/>
      <c r="N443" s="104"/>
      <c r="O443" s="105"/>
    </row>
    <row r="444" spans="1:14" s="94" customFormat="1" ht="47.25" customHeight="1">
      <c r="A444" s="242" t="s">
        <v>943</v>
      </c>
      <c r="B444" s="242" t="s">
        <v>1021</v>
      </c>
      <c r="C444" s="242" t="s">
        <v>83</v>
      </c>
      <c r="D444" s="419" t="s">
        <v>433</v>
      </c>
      <c r="E444" s="253" t="s">
        <v>553</v>
      </c>
      <c r="F444" s="354" t="s">
        <v>1204</v>
      </c>
      <c r="G444" s="75"/>
      <c r="H444" s="75">
        <f>7830239+2170416+299800+317040</f>
        <v>10617495</v>
      </c>
      <c r="I444" s="75">
        <f t="shared" si="11"/>
        <v>10617495</v>
      </c>
      <c r="J444" s="219"/>
      <c r="K444" s="103"/>
      <c r="N444" s="143"/>
    </row>
    <row r="445" spans="1:14" s="94" customFormat="1" ht="47.25" customHeight="1" hidden="1">
      <c r="A445" s="242" t="s">
        <v>943</v>
      </c>
      <c r="B445" s="242" t="s">
        <v>1021</v>
      </c>
      <c r="C445" s="242" t="s">
        <v>83</v>
      </c>
      <c r="D445" s="420"/>
      <c r="E445" s="253" t="s">
        <v>553</v>
      </c>
      <c r="F445" s="175" t="s">
        <v>516</v>
      </c>
      <c r="G445" s="75"/>
      <c r="H445" s="75"/>
      <c r="I445" s="75">
        <f t="shared" si="11"/>
        <v>0</v>
      </c>
      <c r="J445" s="219"/>
      <c r="K445" s="103"/>
      <c r="N445" s="143"/>
    </row>
    <row r="446" spans="1:14" s="94" customFormat="1" ht="15.75" customHeight="1">
      <c r="A446" s="273" t="s">
        <v>958</v>
      </c>
      <c r="B446" s="273" t="s">
        <v>1025</v>
      </c>
      <c r="C446" s="273" t="s">
        <v>562</v>
      </c>
      <c r="D446" s="273"/>
      <c r="E446" s="257" t="s">
        <v>563</v>
      </c>
      <c r="F446" s="213"/>
      <c r="G446" s="80">
        <f>G447</f>
        <v>361488</v>
      </c>
      <c r="H446" s="80">
        <f>H447</f>
        <v>0</v>
      </c>
      <c r="I446" s="80">
        <f t="shared" si="11"/>
        <v>361488</v>
      </c>
      <c r="J446" s="219"/>
      <c r="K446" s="103"/>
      <c r="N446" s="143"/>
    </row>
    <row r="447" spans="1:14" s="94" customFormat="1" ht="15.75" customHeight="1" hidden="1">
      <c r="A447" s="286" t="s">
        <v>944</v>
      </c>
      <c r="B447" s="286" t="s">
        <v>1026</v>
      </c>
      <c r="C447" s="286" t="s">
        <v>76</v>
      </c>
      <c r="D447" s="286"/>
      <c r="E447" s="304" t="s">
        <v>91</v>
      </c>
      <c r="F447" s="213"/>
      <c r="G447" s="75">
        <f>G448+G449+G450+G451+G452</f>
        <v>361488</v>
      </c>
      <c r="H447" s="75">
        <f>H448+H449+H450+H451+H452</f>
        <v>0</v>
      </c>
      <c r="I447" s="75">
        <f t="shared" si="11"/>
        <v>361488</v>
      </c>
      <c r="J447" s="219"/>
      <c r="K447" s="103"/>
      <c r="N447" s="143"/>
    </row>
    <row r="448" spans="1:14" s="94" customFormat="1" ht="48.75" customHeight="1">
      <c r="A448" s="286" t="s">
        <v>944</v>
      </c>
      <c r="B448" s="286" t="s">
        <v>1026</v>
      </c>
      <c r="C448" s="25" t="s">
        <v>76</v>
      </c>
      <c r="D448" s="244" t="s">
        <v>434</v>
      </c>
      <c r="E448" s="304" t="s">
        <v>91</v>
      </c>
      <c r="F448" s="349" t="s">
        <v>1178</v>
      </c>
      <c r="G448" s="75">
        <v>211200</v>
      </c>
      <c r="H448" s="75"/>
      <c r="I448" s="75">
        <f t="shared" si="11"/>
        <v>211200</v>
      </c>
      <c r="J448" s="219"/>
      <c r="K448" s="103"/>
      <c r="N448" s="143"/>
    </row>
    <row r="449" spans="1:14" s="94" customFormat="1" ht="47.25" customHeight="1" hidden="1">
      <c r="A449" s="286" t="s">
        <v>944</v>
      </c>
      <c r="B449" s="286" t="s">
        <v>1026</v>
      </c>
      <c r="C449" s="25" t="s">
        <v>76</v>
      </c>
      <c r="D449" s="244" t="s">
        <v>434</v>
      </c>
      <c r="E449" s="304" t="s">
        <v>91</v>
      </c>
      <c r="F449" s="263" t="s">
        <v>1130</v>
      </c>
      <c r="G449" s="75"/>
      <c r="H449" s="75"/>
      <c r="I449" s="75">
        <f t="shared" si="11"/>
        <v>0</v>
      </c>
      <c r="J449" s="219"/>
      <c r="K449" s="103"/>
      <c r="N449" s="143"/>
    </row>
    <row r="450" spans="1:14" s="94" customFormat="1" ht="47.25" customHeight="1">
      <c r="A450" s="286" t="s">
        <v>944</v>
      </c>
      <c r="B450" s="286" t="s">
        <v>1026</v>
      </c>
      <c r="C450" s="25" t="s">
        <v>76</v>
      </c>
      <c r="D450" s="244" t="s">
        <v>434</v>
      </c>
      <c r="E450" s="304" t="s">
        <v>91</v>
      </c>
      <c r="F450" s="349" t="s">
        <v>1175</v>
      </c>
      <c r="G450" s="75">
        <v>50673</v>
      </c>
      <c r="H450" s="75"/>
      <c r="I450" s="75">
        <f t="shared" si="11"/>
        <v>50673</v>
      </c>
      <c r="J450" s="219"/>
      <c r="K450" s="103"/>
      <c r="N450" s="143"/>
    </row>
    <row r="451" spans="1:14" s="94" customFormat="1" ht="63" customHeight="1">
      <c r="A451" s="286" t="s">
        <v>944</v>
      </c>
      <c r="B451" s="286" t="s">
        <v>1026</v>
      </c>
      <c r="C451" s="244" t="s">
        <v>76</v>
      </c>
      <c r="D451" s="244" t="s">
        <v>434</v>
      </c>
      <c r="E451" s="304" t="s">
        <v>91</v>
      </c>
      <c r="F451" s="346" t="s">
        <v>1159</v>
      </c>
      <c r="G451" s="75">
        <v>75855</v>
      </c>
      <c r="H451" s="75"/>
      <c r="I451" s="75">
        <f t="shared" si="11"/>
        <v>75855</v>
      </c>
      <c r="J451" s="219"/>
      <c r="K451" s="103"/>
      <c r="N451" s="143"/>
    </row>
    <row r="452" spans="1:18" s="94" customFormat="1" ht="56.25" customHeight="1">
      <c r="A452" s="286" t="s">
        <v>944</v>
      </c>
      <c r="B452" s="286" t="s">
        <v>1026</v>
      </c>
      <c r="C452" s="244" t="s">
        <v>76</v>
      </c>
      <c r="D452" s="244" t="s">
        <v>434</v>
      </c>
      <c r="E452" s="304" t="s">
        <v>91</v>
      </c>
      <c r="F452" s="349" t="s">
        <v>1176</v>
      </c>
      <c r="G452" s="75">
        <v>23760</v>
      </c>
      <c r="H452" s="75"/>
      <c r="I452" s="75">
        <f t="shared" si="11"/>
        <v>23760</v>
      </c>
      <c r="J452" s="219"/>
      <c r="K452" s="246"/>
      <c r="L452" s="143"/>
      <c r="M452" s="143"/>
      <c r="N452" s="143"/>
      <c r="O452" s="143"/>
      <c r="P452" s="143"/>
      <c r="Q452" s="143"/>
      <c r="R452" s="143"/>
    </row>
    <row r="453" spans="1:18" s="216" customFormat="1" ht="15.75" customHeight="1">
      <c r="A453" s="272" t="s">
        <v>947</v>
      </c>
      <c r="B453" s="272" t="s">
        <v>1031</v>
      </c>
      <c r="C453" s="272" t="s">
        <v>556</v>
      </c>
      <c r="D453" s="272"/>
      <c r="E453" s="256" t="s">
        <v>557</v>
      </c>
      <c r="F453" s="215">
        <f>G453+J453</f>
        <v>0</v>
      </c>
      <c r="G453" s="80">
        <f>G455+G454</f>
        <v>0</v>
      </c>
      <c r="H453" s="80">
        <f>H455+H454</f>
        <v>3750000</v>
      </c>
      <c r="I453" s="80">
        <f t="shared" si="11"/>
        <v>3750000</v>
      </c>
      <c r="J453" s="236"/>
      <c r="K453" s="247"/>
      <c r="L453" s="236"/>
      <c r="M453" s="236"/>
      <c r="N453" s="236"/>
      <c r="O453" s="236"/>
      <c r="P453" s="236"/>
      <c r="Q453" s="247"/>
      <c r="R453" s="248"/>
    </row>
    <row r="454" spans="1:18" s="216" customFormat="1" ht="57" customHeight="1">
      <c r="A454" s="244" t="s">
        <v>859</v>
      </c>
      <c r="B454" s="244" t="s">
        <v>1048</v>
      </c>
      <c r="C454" s="244" t="s">
        <v>28</v>
      </c>
      <c r="D454" s="244" t="s">
        <v>442</v>
      </c>
      <c r="E454" s="252" t="s">
        <v>105</v>
      </c>
      <c r="F454" s="361" t="s">
        <v>1194</v>
      </c>
      <c r="G454" s="324"/>
      <c r="H454" s="75">
        <f>3750000-3750000+3750000</f>
        <v>3750000</v>
      </c>
      <c r="I454" s="75">
        <f t="shared" si="11"/>
        <v>3750000</v>
      </c>
      <c r="J454" s="236"/>
      <c r="K454" s="247"/>
      <c r="L454" s="236"/>
      <c r="M454" s="236"/>
      <c r="N454" s="236"/>
      <c r="O454" s="236"/>
      <c r="P454" s="236"/>
      <c r="Q454" s="247"/>
      <c r="R454" s="248"/>
    </row>
    <row r="455" spans="1:18" s="217" customFormat="1" ht="46.5" customHeight="1" hidden="1">
      <c r="A455" s="277" t="s">
        <v>948</v>
      </c>
      <c r="B455" s="277" t="s">
        <v>1033</v>
      </c>
      <c r="C455" s="277" t="s">
        <v>70</v>
      </c>
      <c r="D455" s="277"/>
      <c r="E455" s="312" t="s">
        <v>220</v>
      </c>
      <c r="F455" s="215">
        <f>G455+J455</f>
        <v>0</v>
      </c>
      <c r="G455" s="325">
        <f>G456</f>
        <v>0</v>
      </c>
      <c r="H455" s="325">
        <f>H456</f>
        <v>0</v>
      </c>
      <c r="I455" s="325">
        <f t="shared" si="11"/>
        <v>0</v>
      </c>
      <c r="J455" s="237"/>
      <c r="K455" s="247"/>
      <c r="L455" s="237"/>
      <c r="M455" s="237"/>
      <c r="N455" s="237"/>
      <c r="O455" s="237"/>
      <c r="P455" s="237"/>
      <c r="Q455" s="247"/>
      <c r="R455" s="249"/>
    </row>
    <row r="456" spans="1:18" s="217" customFormat="1" ht="49.5" customHeight="1" hidden="1">
      <c r="A456" s="25" t="s">
        <v>948</v>
      </c>
      <c r="B456" s="25" t="s">
        <v>1033</v>
      </c>
      <c r="C456" s="25" t="s">
        <v>70</v>
      </c>
      <c r="D456" s="25"/>
      <c r="E456" s="252" t="s">
        <v>560</v>
      </c>
      <c r="F456" s="347" t="s">
        <v>1162</v>
      </c>
      <c r="G456" s="326"/>
      <c r="H456" s="326"/>
      <c r="I456" s="326">
        <f t="shared" si="11"/>
        <v>0</v>
      </c>
      <c r="J456" s="238"/>
      <c r="K456" s="247"/>
      <c r="L456" s="238"/>
      <c r="M456" s="238"/>
      <c r="N456" s="238"/>
      <c r="O456" s="238"/>
      <c r="P456" s="238"/>
      <c r="Q456" s="247"/>
      <c r="R456" s="249"/>
    </row>
    <row r="457" spans="1:18" s="94" customFormat="1" ht="31.5" customHeight="1">
      <c r="A457" s="88"/>
      <c r="B457" s="88" t="s">
        <v>136</v>
      </c>
      <c r="C457" s="88" t="s">
        <v>136</v>
      </c>
      <c r="D457" s="88"/>
      <c r="E457" s="89" t="s">
        <v>498</v>
      </c>
      <c r="F457" s="150"/>
      <c r="G457" s="80">
        <f>G458</f>
        <v>7565708</v>
      </c>
      <c r="H457" s="80">
        <f>H458</f>
        <v>9385629</v>
      </c>
      <c r="I457" s="80">
        <f t="shared" si="11"/>
        <v>16951337</v>
      </c>
      <c r="J457" s="129"/>
      <c r="K457" s="246"/>
      <c r="L457" s="143"/>
      <c r="M457" s="143"/>
      <c r="N457" s="143"/>
      <c r="O457" s="143"/>
      <c r="P457" s="143"/>
      <c r="Q457" s="143"/>
      <c r="R457" s="143"/>
    </row>
    <row r="458" spans="1:18" s="94" customFormat="1" ht="31.5">
      <c r="A458" s="25" t="s">
        <v>949</v>
      </c>
      <c r="B458" s="25"/>
      <c r="C458" s="25"/>
      <c r="D458" s="25"/>
      <c r="E458" s="195" t="s">
        <v>950</v>
      </c>
      <c r="F458" s="213"/>
      <c r="G458" s="80">
        <f>G459+G462+G466+G468+G475</f>
        <v>7565708</v>
      </c>
      <c r="H458" s="80">
        <f>H459+H462+H466+H468+H475</f>
        <v>9385629</v>
      </c>
      <c r="I458" s="80">
        <f t="shared" si="11"/>
        <v>16951337</v>
      </c>
      <c r="J458" s="129"/>
      <c r="K458" s="246"/>
      <c r="L458" s="143"/>
      <c r="M458" s="143"/>
      <c r="N458" s="143"/>
      <c r="O458" s="143"/>
      <c r="P458" s="143"/>
      <c r="Q458" s="143"/>
      <c r="R458" s="143"/>
    </row>
    <row r="459" spans="1:14" s="94" customFormat="1" ht="15.75" customHeight="1">
      <c r="A459" s="272" t="s">
        <v>951</v>
      </c>
      <c r="B459" s="272" t="s">
        <v>1015</v>
      </c>
      <c r="C459" s="273" t="s">
        <v>537</v>
      </c>
      <c r="D459" s="273"/>
      <c r="E459" s="307" t="s">
        <v>538</v>
      </c>
      <c r="F459" s="213"/>
      <c r="G459" s="80">
        <f>G460+G461</f>
        <v>1433042</v>
      </c>
      <c r="H459" s="80">
        <f>H460</f>
        <v>0</v>
      </c>
      <c r="I459" s="80">
        <f t="shared" si="11"/>
        <v>1433042</v>
      </c>
      <c r="J459" s="129"/>
      <c r="K459" s="103"/>
      <c r="N459" s="143"/>
    </row>
    <row r="460" spans="1:14" s="94" customFormat="1" ht="69" customHeight="1" hidden="1">
      <c r="A460" s="244" t="s">
        <v>952</v>
      </c>
      <c r="B460" s="244" t="s">
        <v>466</v>
      </c>
      <c r="C460" s="244" t="s">
        <v>164</v>
      </c>
      <c r="D460" s="244" t="s">
        <v>431</v>
      </c>
      <c r="E460" s="301" t="s">
        <v>915</v>
      </c>
      <c r="F460" s="345" t="s">
        <v>1158</v>
      </c>
      <c r="G460" s="75"/>
      <c r="H460" s="75"/>
      <c r="I460" s="75">
        <f t="shared" si="11"/>
        <v>0</v>
      </c>
      <c r="J460" s="219"/>
      <c r="K460" s="103"/>
      <c r="N460" s="143"/>
    </row>
    <row r="461" spans="1:14" s="94" customFormat="1" ht="62.25" customHeight="1">
      <c r="A461" s="244" t="s">
        <v>952</v>
      </c>
      <c r="B461" s="291" t="s">
        <v>466</v>
      </c>
      <c r="C461" s="261" t="s">
        <v>164</v>
      </c>
      <c r="D461" s="291" t="s">
        <v>431</v>
      </c>
      <c r="E461" s="301" t="s">
        <v>915</v>
      </c>
      <c r="F461" s="347" t="s">
        <v>1161</v>
      </c>
      <c r="G461" s="75">
        <v>1433042</v>
      </c>
      <c r="H461" s="75"/>
      <c r="I461" s="75">
        <f t="shared" si="11"/>
        <v>1433042</v>
      </c>
      <c r="J461" s="219"/>
      <c r="K461" s="103"/>
      <c r="N461" s="143"/>
    </row>
    <row r="462" spans="1:14" s="94" customFormat="1" ht="15.75" customHeight="1">
      <c r="A462" s="273" t="s">
        <v>953</v>
      </c>
      <c r="B462" s="273" t="s">
        <v>1101</v>
      </c>
      <c r="C462" s="272" t="s">
        <v>769</v>
      </c>
      <c r="D462" s="272"/>
      <c r="E462" s="257" t="s">
        <v>770</v>
      </c>
      <c r="F462" s="213"/>
      <c r="G462" s="80">
        <f>G463+G464+G465</f>
        <v>5837596</v>
      </c>
      <c r="H462" s="80">
        <f>H463+H464+H465</f>
        <v>96449</v>
      </c>
      <c r="I462" s="80">
        <f t="shared" si="11"/>
        <v>5934045</v>
      </c>
      <c r="J462" s="219"/>
      <c r="K462" s="103"/>
      <c r="N462" s="143"/>
    </row>
    <row r="463" spans="1:14" s="94" customFormat="1" ht="47.25" customHeight="1">
      <c r="A463" s="275" t="s">
        <v>954</v>
      </c>
      <c r="B463" s="275" t="s">
        <v>1102</v>
      </c>
      <c r="C463" s="275" t="s">
        <v>215</v>
      </c>
      <c r="D463" s="275" t="s">
        <v>459</v>
      </c>
      <c r="E463" s="287" t="s">
        <v>772</v>
      </c>
      <c r="F463" s="354" t="s">
        <v>1191</v>
      </c>
      <c r="G463" s="75">
        <v>4741133</v>
      </c>
      <c r="H463" s="75"/>
      <c r="I463" s="75">
        <f t="shared" si="11"/>
        <v>4741133</v>
      </c>
      <c r="J463" s="219"/>
      <c r="K463" s="103"/>
      <c r="N463" s="143"/>
    </row>
    <row r="464" spans="1:15" s="94" customFormat="1" ht="47.25" customHeight="1">
      <c r="A464" s="254" t="s">
        <v>955</v>
      </c>
      <c r="B464" s="254" t="s">
        <v>1110</v>
      </c>
      <c r="C464" s="254" t="s">
        <v>93</v>
      </c>
      <c r="D464" s="417" t="s">
        <v>460</v>
      </c>
      <c r="E464" s="255" t="s">
        <v>94</v>
      </c>
      <c r="F464" s="354" t="s">
        <v>1204</v>
      </c>
      <c r="G464" s="75">
        <v>1096463</v>
      </c>
      <c r="H464" s="75">
        <v>96449</v>
      </c>
      <c r="I464" s="75">
        <f t="shared" si="11"/>
        <v>1192912</v>
      </c>
      <c r="J464" s="219"/>
      <c r="K464" s="103"/>
      <c r="N464" s="104"/>
      <c r="O464" s="105"/>
    </row>
    <row r="465" spans="1:15" s="94" customFormat="1" ht="42.75" customHeight="1" hidden="1">
      <c r="A465" s="254" t="s">
        <v>955</v>
      </c>
      <c r="B465" s="254" t="s">
        <v>1110</v>
      </c>
      <c r="C465" s="254" t="s">
        <v>93</v>
      </c>
      <c r="D465" s="418"/>
      <c r="E465" s="255" t="s">
        <v>94</v>
      </c>
      <c r="F465" s="90" t="s">
        <v>1166</v>
      </c>
      <c r="G465" s="83"/>
      <c r="H465" s="83"/>
      <c r="I465" s="83">
        <f t="shared" si="11"/>
        <v>0</v>
      </c>
      <c r="J465" s="239"/>
      <c r="K465" s="103"/>
      <c r="N465" s="104"/>
      <c r="O465" s="105"/>
    </row>
    <row r="466" spans="1:15" s="94" customFormat="1" ht="15.75" customHeight="1">
      <c r="A466" s="272" t="s">
        <v>956</v>
      </c>
      <c r="B466" s="272" t="s">
        <v>1020</v>
      </c>
      <c r="C466" s="273" t="s">
        <v>550</v>
      </c>
      <c r="D466" s="273"/>
      <c r="E466" s="256" t="s">
        <v>770</v>
      </c>
      <c r="F466" s="95"/>
      <c r="G466" s="331">
        <f>G467</f>
        <v>0</v>
      </c>
      <c r="H466" s="331">
        <f>H467</f>
        <v>9289180</v>
      </c>
      <c r="I466" s="331">
        <f t="shared" si="11"/>
        <v>9289180</v>
      </c>
      <c r="J466" s="239"/>
      <c r="K466" s="103"/>
      <c r="N466" s="104"/>
      <c r="O466" s="105"/>
    </row>
    <row r="467" spans="1:14" s="94" customFormat="1" ht="47.25" customHeight="1">
      <c r="A467" s="244" t="s">
        <v>957</v>
      </c>
      <c r="B467" s="244" t="s">
        <v>1021</v>
      </c>
      <c r="C467" s="244" t="s">
        <v>83</v>
      </c>
      <c r="D467" s="244" t="s">
        <v>433</v>
      </c>
      <c r="E467" s="301" t="s">
        <v>553</v>
      </c>
      <c r="F467" s="354" t="s">
        <v>1204</v>
      </c>
      <c r="G467" s="75"/>
      <c r="H467" s="75">
        <f>1810040+8009630-530490</f>
        <v>9289180</v>
      </c>
      <c r="I467" s="75">
        <f t="shared" si="11"/>
        <v>9289180</v>
      </c>
      <c r="J467" s="219"/>
      <c r="K467" s="103"/>
      <c r="N467" s="143"/>
    </row>
    <row r="468" spans="1:14" s="94" customFormat="1" ht="15.75" customHeight="1">
      <c r="A468" s="273" t="s">
        <v>959</v>
      </c>
      <c r="B468" s="273" t="s">
        <v>1025</v>
      </c>
      <c r="C468" s="273" t="s">
        <v>562</v>
      </c>
      <c r="D468" s="273"/>
      <c r="E468" s="257" t="s">
        <v>563</v>
      </c>
      <c r="F468" s="213"/>
      <c r="G468" s="80">
        <f>G469</f>
        <v>295070</v>
      </c>
      <c r="H468" s="80">
        <f>H469</f>
        <v>0</v>
      </c>
      <c r="I468" s="80">
        <f t="shared" si="11"/>
        <v>295070</v>
      </c>
      <c r="J468" s="219"/>
      <c r="K468" s="103"/>
      <c r="N468" s="143"/>
    </row>
    <row r="469" spans="1:14" s="94" customFormat="1" ht="15.75" customHeight="1" hidden="1">
      <c r="A469" s="286" t="s">
        <v>960</v>
      </c>
      <c r="B469" s="286" t="s">
        <v>1026</v>
      </c>
      <c r="C469" s="286" t="s">
        <v>76</v>
      </c>
      <c r="D469" s="286"/>
      <c r="E469" s="304" t="s">
        <v>91</v>
      </c>
      <c r="F469" s="213"/>
      <c r="G469" s="75">
        <f>G470+G471+G472+G473+G474</f>
        <v>295070</v>
      </c>
      <c r="H469" s="75">
        <f>H470+H471+H472+H473+H474</f>
        <v>0</v>
      </c>
      <c r="I469" s="75">
        <f t="shared" si="11"/>
        <v>295070</v>
      </c>
      <c r="J469" s="219"/>
      <c r="K469" s="103"/>
      <c r="N469" s="143"/>
    </row>
    <row r="470" spans="1:14" s="94" customFormat="1" ht="48" customHeight="1">
      <c r="A470" s="286" t="s">
        <v>960</v>
      </c>
      <c r="B470" s="286" t="s">
        <v>1026</v>
      </c>
      <c r="C470" s="25" t="s">
        <v>76</v>
      </c>
      <c r="D470" s="244" t="s">
        <v>434</v>
      </c>
      <c r="E470" s="304" t="s">
        <v>91</v>
      </c>
      <c r="F470" s="349" t="s">
        <v>1179</v>
      </c>
      <c r="G470" s="75">
        <v>198640</v>
      </c>
      <c r="H470" s="75"/>
      <c r="I470" s="75">
        <f t="shared" si="11"/>
        <v>198640</v>
      </c>
      <c r="J470" s="219"/>
      <c r="K470" s="103"/>
      <c r="N470" s="143"/>
    </row>
    <row r="471" spans="1:14" s="94" customFormat="1" ht="47.25" customHeight="1" hidden="1">
      <c r="A471" s="286" t="s">
        <v>960</v>
      </c>
      <c r="B471" s="286" t="s">
        <v>1026</v>
      </c>
      <c r="C471" s="25" t="s">
        <v>76</v>
      </c>
      <c r="D471" s="244" t="s">
        <v>434</v>
      </c>
      <c r="E471" s="304" t="s">
        <v>91</v>
      </c>
      <c r="F471" s="263" t="s">
        <v>1130</v>
      </c>
      <c r="G471" s="75"/>
      <c r="H471" s="75"/>
      <c r="I471" s="75">
        <f t="shared" si="11"/>
        <v>0</v>
      </c>
      <c r="J471" s="219"/>
      <c r="K471" s="103"/>
      <c r="N471" s="143"/>
    </row>
    <row r="472" spans="1:14" s="94" customFormat="1" ht="47.25" customHeight="1">
      <c r="A472" s="286" t="s">
        <v>960</v>
      </c>
      <c r="B472" s="286" t="s">
        <v>1026</v>
      </c>
      <c r="C472" s="25" t="s">
        <v>76</v>
      </c>
      <c r="D472" s="244" t="s">
        <v>434</v>
      </c>
      <c r="E472" s="304" t="s">
        <v>91</v>
      </c>
      <c r="F472" s="349" t="s">
        <v>1175</v>
      </c>
      <c r="G472" s="75">
        <v>22692</v>
      </c>
      <c r="H472" s="75"/>
      <c r="I472" s="75">
        <f t="shared" si="11"/>
        <v>22692</v>
      </c>
      <c r="J472" s="219"/>
      <c r="K472" s="103"/>
      <c r="N472" s="143"/>
    </row>
    <row r="473" spans="1:14" s="94" customFormat="1" ht="63" customHeight="1">
      <c r="A473" s="286" t="s">
        <v>960</v>
      </c>
      <c r="B473" s="286" t="s">
        <v>1026</v>
      </c>
      <c r="C473" s="244" t="s">
        <v>76</v>
      </c>
      <c r="D473" s="244" t="s">
        <v>434</v>
      </c>
      <c r="E473" s="304" t="s">
        <v>91</v>
      </c>
      <c r="F473" s="346" t="s">
        <v>1159</v>
      </c>
      <c r="G473" s="75">
        <v>49978</v>
      </c>
      <c r="H473" s="75"/>
      <c r="I473" s="75">
        <f t="shared" si="11"/>
        <v>49978</v>
      </c>
      <c r="J473" s="219"/>
      <c r="K473" s="103"/>
      <c r="N473" s="143"/>
    </row>
    <row r="474" spans="1:14" s="94" customFormat="1" ht="48" customHeight="1">
      <c r="A474" s="286" t="s">
        <v>960</v>
      </c>
      <c r="B474" s="286" t="s">
        <v>1026</v>
      </c>
      <c r="C474" s="244" t="s">
        <v>76</v>
      </c>
      <c r="D474" s="244" t="s">
        <v>434</v>
      </c>
      <c r="E474" s="304" t="s">
        <v>91</v>
      </c>
      <c r="F474" s="349" t="s">
        <v>1176</v>
      </c>
      <c r="G474" s="75">
        <v>23760</v>
      </c>
      <c r="H474" s="75"/>
      <c r="I474" s="75">
        <f t="shared" si="11"/>
        <v>23760</v>
      </c>
      <c r="J474" s="219"/>
      <c r="K474" s="103"/>
      <c r="N474" s="143"/>
    </row>
    <row r="475" spans="1:14" s="94" customFormat="1" ht="15.75" customHeight="1" hidden="1">
      <c r="A475" s="272" t="s">
        <v>961</v>
      </c>
      <c r="B475" s="272" t="s">
        <v>1031</v>
      </c>
      <c r="C475" s="272" t="s">
        <v>556</v>
      </c>
      <c r="D475" s="272"/>
      <c r="E475" s="305" t="s">
        <v>557</v>
      </c>
      <c r="F475" s="215">
        <f>G475+J475</f>
        <v>0</v>
      </c>
      <c r="G475" s="75">
        <f>G476</f>
        <v>0</v>
      </c>
      <c r="H475" s="75">
        <f>H476</f>
        <v>0</v>
      </c>
      <c r="I475" s="75">
        <f t="shared" si="11"/>
        <v>0</v>
      </c>
      <c r="J475" s="219"/>
      <c r="K475" s="103"/>
      <c r="N475" s="143"/>
    </row>
    <row r="476" spans="1:14" s="94" customFormat="1" ht="38.25" customHeight="1" hidden="1">
      <c r="A476" s="277" t="s">
        <v>962</v>
      </c>
      <c r="B476" s="277" t="s">
        <v>1033</v>
      </c>
      <c r="C476" s="277" t="s">
        <v>70</v>
      </c>
      <c r="D476" s="277"/>
      <c r="E476" s="312" t="s">
        <v>220</v>
      </c>
      <c r="F476" s="215">
        <f>G476+J476</f>
        <v>0</v>
      </c>
      <c r="G476" s="75">
        <f>G477</f>
        <v>0</v>
      </c>
      <c r="H476" s="75">
        <f>H477</f>
        <v>0</v>
      </c>
      <c r="I476" s="75">
        <f t="shared" si="11"/>
        <v>0</v>
      </c>
      <c r="J476" s="219"/>
      <c r="K476" s="103"/>
      <c r="N476" s="143"/>
    </row>
    <row r="477" spans="1:14" s="94" customFormat="1" ht="47.25" customHeight="1" hidden="1">
      <c r="A477" s="25" t="s">
        <v>962</v>
      </c>
      <c r="B477" s="25" t="s">
        <v>1033</v>
      </c>
      <c r="C477" s="25" t="s">
        <v>70</v>
      </c>
      <c r="D477" s="25"/>
      <c r="E477" s="252" t="s">
        <v>560</v>
      </c>
      <c r="F477" s="347" t="s">
        <v>1162</v>
      </c>
      <c r="G477" s="75"/>
      <c r="H477" s="75"/>
      <c r="I477" s="75">
        <f t="shared" si="11"/>
        <v>0</v>
      </c>
      <c r="J477" s="219"/>
      <c r="K477" s="103"/>
      <c r="N477" s="143"/>
    </row>
    <row r="478" spans="1:14" s="96" customFormat="1" ht="31.5" customHeight="1">
      <c r="A478" s="88"/>
      <c r="B478" s="88" t="s">
        <v>137</v>
      </c>
      <c r="C478" s="88" t="s">
        <v>137</v>
      </c>
      <c r="D478" s="88"/>
      <c r="E478" s="89" t="s">
        <v>45</v>
      </c>
      <c r="F478" s="89"/>
      <c r="G478" s="80">
        <f>G479</f>
        <v>8037559</v>
      </c>
      <c r="H478" s="80">
        <f>H479</f>
        <v>15314834</v>
      </c>
      <c r="I478" s="80">
        <f t="shared" si="11"/>
        <v>23352393</v>
      </c>
      <c r="J478" s="129"/>
      <c r="K478" s="103"/>
      <c r="N478" s="113"/>
    </row>
    <row r="479" spans="1:14" s="96" customFormat="1" ht="37.5" customHeight="1">
      <c r="A479" s="25" t="s">
        <v>963</v>
      </c>
      <c r="B479" s="25"/>
      <c r="C479" s="25"/>
      <c r="D479" s="25"/>
      <c r="E479" s="195" t="s">
        <v>964</v>
      </c>
      <c r="F479" s="211"/>
      <c r="G479" s="80">
        <f>G480+G483+G487+G490+G497</f>
        <v>8037559</v>
      </c>
      <c r="H479" s="80">
        <f>H480+H483+H487+H490+H497</f>
        <v>15314834</v>
      </c>
      <c r="I479" s="80">
        <f t="shared" si="11"/>
        <v>23352393</v>
      </c>
      <c r="J479" s="129"/>
      <c r="K479" s="103"/>
      <c r="N479" s="113"/>
    </row>
    <row r="480" spans="1:14" s="96" customFormat="1" ht="15.75" customHeight="1">
      <c r="A480" s="272" t="s">
        <v>965</v>
      </c>
      <c r="B480" s="272" t="s">
        <v>1015</v>
      </c>
      <c r="C480" s="273" t="s">
        <v>537</v>
      </c>
      <c r="D480" s="273"/>
      <c r="E480" s="256" t="s">
        <v>538</v>
      </c>
      <c r="F480" s="211"/>
      <c r="G480" s="80">
        <f>G481+G482</f>
        <v>478794</v>
      </c>
      <c r="H480" s="80">
        <f>H481+H482</f>
        <v>1007979</v>
      </c>
      <c r="I480" s="80">
        <f t="shared" si="11"/>
        <v>1486773</v>
      </c>
      <c r="J480" s="129"/>
      <c r="K480" s="103"/>
      <c r="N480" s="113"/>
    </row>
    <row r="481" spans="1:14" s="123" customFormat="1" ht="61.5" customHeight="1">
      <c r="A481" s="244" t="s">
        <v>966</v>
      </c>
      <c r="B481" s="244" t="s">
        <v>466</v>
      </c>
      <c r="C481" s="244" t="s">
        <v>164</v>
      </c>
      <c r="D481" s="244" t="s">
        <v>431</v>
      </c>
      <c r="E481" s="301" t="s">
        <v>915</v>
      </c>
      <c r="F481" s="345" t="s">
        <v>1158</v>
      </c>
      <c r="G481" s="75"/>
      <c r="H481" s="75">
        <v>1007979</v>
      </c>
      <c r="I481" s="75">
        <f t="shared" si="11"/>
        <v>1007979</v>
      </c>
      <c r="J481" s="219"/>
      <c r="K481" s="124"/>
      <c r="L481" s="125"/>
      <c r="N481" s="127"/>
    </row>
    <row r="482" spans="1:14" s="123" customFormat="1" ht="61.5" customHeight="1">
      <c r="A482" s="244" t="s">
        <v>966</v>
      </c>
      <c r="B482" s="291" t="s">
        <v>466</v>
      </c>
      <c r="C482" s="261" t="s">
        <v>164</v>
      </c>
      <c r="D482" s="291" t="s">
        <v>431</v>
      </c>
      <c r="E482" s="301" t="s">
        <v>915</v>
      </c>
      <c r="F482" s="347" t="s">
        <v>1161</v>
      </c>
      <c r="G482" s="75">
        <v>478794</v>
      </c>
      <c r="H482" s="75"/>
      <c r="I482" s="75">
        <f t="shared" si="11"/>
        <v>478794</v>
      </c>
      <c r="J482" s="219"/>
      <c r="K482" s="124"/>
      <c r="L482" s="125"/>
      <c r="N482" s="127"/>
    </row>
    <row r="483" spans="1:14" s="123" customFormat="1" ht="15.75" customHeight="1">
      <c r="A483" s="273" t="s">
        <v>967</v>
      </c>
      <c r="B483" s="273" t="s">
        <v>1101</v>
      </c>
      <c r="C483" s="272" t="s">
        <v>769</v>
      </c>
      <c r="D483" s="272"/>
      <c r="E483" s="256" t="s">
        <v>770</v>
      </c>
      <c r="F483" s="213"/>
      <c r="G483" s="80">
        <f>G484+G485+G486</f>
        <v>6995329</v>
      </c>
      <c r="H483" s="80">
        <f>H484+H485+H486</f>
        <v>280000</v>
      </c>
      <c r="I483" s="80">
        <f t="shared" si="11"/>
        <v>7275329</v>
      </c>
      <c r="J483" s="219"/>
      <c r="K483" s="124"/>
      <c r="L483" s="125"/>
      <c r="N483" s="127"/>
    </row>
    <row r="484" spans="1:14" s="96" customFormat="1" ht="54.75" customHeight="1">
      <c r="A484" s="275" t="s">
        <v>968</v>
      </c>
      <c r="B484" s="275" t="s">
        <v>1102</v>
      </c>
      <c r="C484" s="275" t="s">
        <v>215</v>
      </c>
      <c r="D484" s="275" t="s">
        <v>459</v>
      </c>
      <c r="E484" s="287" t="s">
        <v>772</v>
      </c>
      <c r="F484" s="354" t="s">
        <v>1191</v>
      </c>
      <c r="G484" s="75">
        <v>2370519</v>
      </c>
      <c r="H484" s="75"/>
      <c r="I484" s="75">
        <f t="shared" si="11"/>
        <v>2370519</v>
      </c>
      <c r="J484" s="219"/>
      <c r="K484" s="103"/>
      <c r="L484" s="94"/>
      <c r="N484" s="113"/>
    </row>
    <row r="485" spans="1:15" s="94" customFormat="1" ht="54" customHeight="1">
      <c r="A485" s="254" t="s">
        <v>969</v>
      </c>
      <c r="B485" s="254" t="s">
        <v>1110</v>
      </c>
      <c r="C485" s="254" t="s">
        <v>93</v>
      </c>
      <c r="D485" s="417" t="s">
        <v>460</v>
      </c>
      <c r="E485" s="255" t="s">
        <v>94</v>
      </c>
      <c r="F485" s="354" t="s">
        <v>1204</v>
      </c>
      <c r="G485" s="75">
        <v>4624810</v>
      </c>
      <c r="H485" s="75">
        <v>280000</v>
      </c>
      <c r="I485" s="75">
        <f t="shared" si="11"/>
        <v>4904810</v>
      </c>
      <c r="J485" s="219"/>
      <c r="K485" s="96"/>
      <c r="N485" s="104"/>
      <c r="O485" s="105"/>
    </row>
    <row r="486" spans="1:15" s="94" customFormat="1" ht="54" customHeight="1" hidden="1">
      <c r="A486" s="254" t="s">
        <v>969</v>
      </c>
      <c r="B486" s="254" t="s">
        <v>1110</v>
      </c>
      <c r="C486" s="254" t="s">
        <v>93</v>
      </c>
      <c r="D486" s="418"/>
      <c r="E486" s="255" t="s">
        <v>94</v>
      </c>
      <c r="F486" s="90" t="s">
        <v>1166</v>
      </c>
      <c r="G486" s="75"/>
      <c r="H486" s="75"/>
      <c r="I486" s="75">
        <f t="shared" si="11"/>
        <v>0</v>
      </c>
      <c r="J486" s="219"/>
      <c r="K486" s="96"/>
      <c r="N486" s="104"/>
      <c r="O486" s="105"/>
    </row>
    <row r="487" spans="1:15" s="94" customFormat="1" ht="15.75" customHeight="1">
      <c r="A487" s="272" t="s">
        <v>970</v>
      </c>
      <c r="B487" s="272" t="s">
        <v>1020</v>
      </c>
      <c r="C487" s="272" t="s">
        <v>550</v>
      </c>
      <c r="D487" s="272"/>
      <c r="E487" s="303" t="s">
        <v>672</v>
      </c>
      <c r="F487" s="198"/>
      <c r="G487" s="75">
        <f>G488+G489</f>
        <v>0</v>
      </c>
      <c r="H487" s="75">
        <f>H488+H489</f>
        <v>14004778</v>
      </c>
      <c r="I487" s="75">
        <f t="shared" si="11"/>
        <v>14004778</v>
      </c>
      <c r="J487" s="219"/>
      <c r="K487" s="96"/>
      <c r="N487" s="104"/>
      <c r="O487" s="105"/>
    </row>
    <row r="488" spans="1:15" s="94" customFormat="1" ht="52.5" customHeight="1">
      <c r="A488" s="242" t="s">
        <v>971</v>
      </c>
      <c r="B488" s="242" t="s">
        <v>1021</v>
      </c>
      <c r="C488" s="242" t="s">
        <v>83</v>
      </c>
      <c r="D488" s="419" t="s">
        <v>433</v>
      </c>
      <c r="E488" s="253" t="s">
        <v>553</v>
      </c>
      <c r="F488" s="354" t="s">
        <v>1204</v>
      </c>
      <c r="G488" s="75"/>
      <c r="H488" s="75">
        <v>14004778</v>
      </c>
      <c r="I488" s="75">
        <f t="shared" si="11"/>
        <v>14004778</v>
      </c>
      <c r="J488" s="219"/>
      <c r="K488" s="96"/>
      <c r="N488" s="104"/>
      <c r="O488" s="105"/>
    </row>
    <row r="489" spans="1:15" s="94" customFormat="1" ht="52.5" customHeight="1" hidden="1">
      <c r="A489" s="242" t="s">
        <v>971</v>
      </c>
      <c r="B489" s="242" t="s">
        <v>1021</v>
      </c>
      <c r="C489" s="242" t="s">
        <v>83</v>
      </c>
      <c r="D489" s="420"/>
      <c r="E489" s="253" t="s">
        <v>553</v>
      </c>
      <c r="F489" s="90" t="s">
        <v>1166</v>
      </c>
      <c r="G489" s="75"/>
      <c r="H489" s="75"/>
      <c r="I489" s="75">
        <f t="shared" si="11"/>
        <v>0</v>
      </c>
      <c r="J489" s="219"/>
      <c r="K489" s="96"/>
      <c r="N489" s="104"/>
      <c r="O489" s="105"/>
    </row>
    <row r="490" spans="1:15" s="94" customFormat="1" ht="15.75" customHeight="1">
      <c r="A490" s="273" t="s">
        <v>972</v>
      </c>
      <c r="B490" s="273" t="s">
        <v>1025</v>
      </c>
      <c r="C490" s="273" t="s">
        <v>562</v>
      </c>
      <c r="D490" s="273"/>
      <c r="E490" s="257" t="s">
        <v>563</v>
      </c>
      <c r="F490" s="90"/>
      <c r="G490" s="80">
        <f>G491</f>
        <v>563436</v>
      </c>
      <c r="H490" s="80">
        <f>H491</f>
        <v>0</v>
      </c>
      <c r="I490" s="80">
        <f aca="true" t="shared" si="12" ref="I490:I541">G490+H490</f>
        <v>563436</v>
      </c>
      <c r="J490" s="219"/>
      <c r="K490" s="96"/>
      <c r="N490" s="104"/>
      <c r="O490" s="105"/>
    </row>
    <row r="491" spans="1:15" s="94" customFormat="1" ht="15.75" customHeight="1" hidden="1">
      <c r="A491" s="286" t="s">
        <v>973</v>
      </c>
      <c r="B491" s="286" t="s">
        <v>1026</v>
      </c>
      <c r="C491" s="286" t="s">
        <v>76</v>
      </c>
      <c r="D491" s="286"/>
      <c r="E491" s="304" t="s">
        <v>91</v>
      </c>
      <c r="F491" s="90"/>
      <c r="G491" s="75">
        <f>G492+G493+G494+G495+G496</f>
        <v>563436</v>
      </c>
      <c r="H491" s="75">
        <f>H492+H493+H494+H495+H496</f>
        <v>0</v>
      </c>
      <c r="I491" s="75">
        <f t="shared" si="12"/>
        <v>563436</v>
      </c>
      <c r="J491" s="219"/>
      <c r="K491" s="96"/>
      <c r="N491" s="104"/>
      <c r="O491" s="105"/>
    </row>
    <row r="492" spans="1:15" s="94" customFormat="1" ht="51" customHeight="1">
      <c r="A492" s="286" t="s">
        <v>973</v>
      </c>
      <c r="B492" s="286" t="s">
        <v>1026</v>
      </c>
      <c r="C492" s="25" t="s">
        <v>76</v>
      </c>
      <c r="D492" s="244" t="s">
        <v>434</v>
      </c>
      <c r="E492" s="304" t="s">
        <v>91</v>
      </c>
      <c r="F492" s="349" t="s">
        <v>1178</v>
      </c>
      <c r="G492" s="75">
        <v>442133</v>
      </c>
      <c r="H492" s="75"/>
      <c r="I492" s="75">
        <f t="shared" si="12"/>
        <v>442133</v>
      </c>
      <c r="J492" s="219"/>
      <c r="K492" s="96"/>
      <c r="N492" s="104"/>
      <c r="O492" s="105"/>
    </row>
    <row r="493" spans="1:15" s="94" customFormat="1" ht="14.25" customHeight="1" hidden="1">
      <c r="A493" s="286" t="s">
        <v>973</v>
      </c>
      <c r="B493" s="286" t="s">
        <v>1026</v>
      </c>
      <c r="C493" s="242" t="s">
        <v>76</v>
      </c>
      <c r="D493" s="419" t="s">
        <v>434</v>
      </c>
      <c r="E493" s="304" t="s">
        <v>91</v>
      </c>
      <c r="F493" s="263" t="s">
        <v>1130</v>
      </c>
      <c r="G493" s="75"/>
      <c r="H493" s="75"/>
      <c r="I493" s="75">
        <f t="shared" si="12"/>
        <v>0</v>
      </c>
      <c r="J493" s="219"/>
      <c r="K493" s="96"/>
      <c r="N493" s="104"/>
      <c r="O493" s="105"/>
    </row>
    <row r="494" spans="1:15" s="94" customFormat="1" ht="47.25" customHeight="1">
      <c r="A494" s="286" t="s">
        <v>973</v>
      </c>
      <c r="B494" s="286" t="s">
        <v>1026</v>
      </c>
      <c r="C494" s="242" t="s">
        <v>76</v>
      </c>
      <c r="D494" s="420"/>
      <c r="E494" s="304" t="s">
        <v>91</v>
      </c>
      <c r="F494" s="349" t="s">
        <v>1175</v>
      </c>
      <c r="G494" s="75">
        <v>43067</v>
      </c>
      <c r="H494" s="75"/>
      <c r="I494" s="75">
        <f t="shared" si="12"/>
        <v>43067</v>
      </c>
      <c r="J494" s="219"/>
      <c r="K494" s="96"/>
      <c r="N494" s="104"/>
      <c r="O494" s="105"/>
    </row>
    <row r="495" spans="1:15" s="94" customFormat="1" ht="63" customHeight="1">
      <c r="A495" s="286" t="s">
        <v>973</v>
      </c>
      <c r="B495" s="286" t="s">
        <v>1026</v>
      </c>
      <c r="C495" s="244" t="s">
        <v>76</v>
      </c>
      <c r="D495" s="244" t="s">
        <v>434</v>
      </c>
      <c r="E495" s="304" t="s">
        <v>91</v>
      </c>
      <c r="F495" s="346" t="s">
        <v>1159</v>
      </c>
      <c r="G495" s="75">
        <v>50000</v>
      </c>
      <c r="H495" s="75"/>
      <c r="I495" s="75">
        <f t="shared" si="12"/>
        <v>50000</v>
      </c>
      <c r="J495" s="219"/>
      <c r="K495" s="96"/>
      <c r="N495" s="104"/>
      <c r="O495" s="105"/>
    </row>
    <row r="496" spans="1:15" s="94" customFormat="1" ht="57" customHeight="1">
      <c r="A496" s="286" t="s">
        <v>973</v>
      </c>
      <c r="B496" s="286" t="s">
        <v>1026</v>
      </c>
      <c r="C496" s="244" t="s">
        <v>76</v>
      </c>
      <c r="D496" s="244" t="s">
        <v>434</v>
      </c>
      <c r="E496" s="304" t="s">
        <v>91</v>
      </c>
      <c r="F496" s="349" t="s">
        <v>1176</v>
      </c>
      <c r="G496" s="75">
        <v>28236</v>
      </c>
      <c r="H496" s="75"/>
      <c r="I496" s="75">
        <f t="shared" si="12"/>
        <v>28236</v>
      </c>
      <c r="J496" s="219"/>
      <c r="K496" s="96"/>
      <c r="N496" s="104"/>
      <c r="O496" s="105"/>
    </row>
    <row r="497" spans="1:15" s="94" customFormat="1" ht="15.75" customHeight="1">
      <c r="A497" s="272" t="s">
        <v>974</v>
      </c>
      <c r="B497" s="272" t="s">
        <v>1031</v>
      </c>
      <c r="C497" s="272" t="s">
        <v>556</v>
      </c>
      <c r="D497" s="272"/>
      <c r="E497" s="256" t="s">
        <v>557</v>
      </c>
      <c r="F497" s="90"/>
      <c r="G497" s="80">
        <f>G498</f>
        <v>0</v>
      </c>
      <c r="H497" s="80">
        <f>H498</f>
        <v>22077</v>
      </c>
      <c r="I497" s="80">
        <f t="shared" si="12"/>
        <v>22077</v>
      </c>
      <c r="J497" s="219"/>
      <c r="K497" s="96"/>
      <c r="N497" s="104"/>
      <c r="O497" s="105"/>
    </row>
    <row r="498" spans="1:15" s="94" customFormat="1" ht="63.75" customHeight="1">
      <c r="A498" s="286" t="s">
        <v>1156</v>
      </c>
      <c r="B498" s="286" t="s">
        <v>1032</v>
      </c>
      <c r="C498" s="288" t="s">
        <v>70</v>
      </c>
      <c r="D498" s="286" t="s">
        <v>434</v>
      </c>
      <c r="E498" s="289" t="s">
        <v>220</v>
      </c>
      <c r="F498" s="361" t="s">
        <v>1190</v>
      </c>
      <c r="G498" s="75">
        <f>G499</f>
        <v>0</v>
      </c>
      <c r="H498" s="75">
        <f>16850+5227</f>
        <v>22077</v>
      </c>
      <c r="I498" s="75">
        <f t="shared" si="12"/>
        <v>22077</v>
      </c>
      <c r="J498" s="219"/>
      <c r="K498" s="96"/>
      <c r="N498" s="104"/>
      <c r="O498" s="105"/>
    </row>
    <row r="499" spans="1:15" s="94" customFormat="1" ht="31.5" hidden="1">
      <c r="A499" s="25" t="s">
        <v>1009</v>
      </c>
      <c r="B499" s="25" t="s">
        <v>1033</v>
      </c>
      <c r="C499" s="25" t="s">
        <v>70</v>
      </c>
      <c r="D499" s="25"/>
      <c r="E499" s="252" t="s">
        <v>560</v>
      </c>
      <c r="F499" s="347" t="s">
        <v>1162</v>
      </c>
      <c r="G499" s="75"/>
      <c r="H499" s="75"/>
      <c r="I499" s="75">
        <f t="shared" si="12"/>
        <v>0</v>
      </c>
      <c r="J499" s="219"/>
      <c r="K499" s="96"/>
      <c r="N499" s="104"/>
      <c r="O499" s="105"/>
    </row>
    <row r="500" spans="1:14" s="96" customFormat="1" ht="31.5" customHeight="1">
      <c r="A500" s="88"/>
      <c r="B500" s="88" t="s">
        <v>138</v>
      </c>
      <c r="C500" s="88" t="s">
        <v>138</v>
      </c>
      <c r="D500" s="88"/>
      <c r="E500" s="89" t="s">
        <v>46</v>
      </c>
      <c r="F500" s="89"/>
      <c r="G500" s="80">
        <f>G501</f>
        <v>5328606</v>
      </c>
      <c r="H500" s="80">
        <f>H501</f>
        <v>5809715</v>
      </c>
      <c r="I500" s="80">
        <f t="shared" si="12"/>
        <v>11138321</v>
      </c>
      <c r="J500" s="129"/>
      <c r="K500" s="103"/>
      <c r="N500" s="113"/>
    </row>
    <row r="501" spans="1:14" s="96" customFormat="1" ht="33" customHeight="1">
      <c r="A501" s="25" t="s">
        <v>975</v>
      </c>
      <c r="B501" s="25"/>
      <c r="C501" s="25"/>
      <c r="D501" s="25"/>
      <c r="E501" s="195" t="s">
        <v>976</v>
      </c>
      <c r="F501" s="211"/>
      <c r="G501" s="80">
        <f>G502+G505+G509+G511+G518</f>
        <v>5328606</v>
      </c>
      <c r="H501" s="80">
        <f>H502+H505+H509+H511+H518</f>
        <v>5809715</v>
      </c>
      <c r="I501" s="80">
        <f t="shared" si="12"/>
        <v>11138321</v>
      </c>
      <c r="J501" s="129"/>
      <c r="K501" s="103"/>
      <c r="N501" s="113"/>
    </row>
    <row r="502" spans="1:14" s="96" customFormat="1" ht="15.75" customHeight="1">
      <c r="A502" s="272" t="s">
        <v>977</v>
      </c>
      <c r="B502" s="272" t="s">
        <v>1015</v>
      </c>
      <c r="C502" s="273" t="s">
        <v>537</v>
      </c>
      <c r="D502" s="273"/>
      <c r="E502" s="256" t="s">
        <v>538</v>
      </c>
      <c r="F502" s="211"/>
      <c r="G502" s="80">
        <f>G503+G504</f>
        <v>1186861</v>
      </c>
      <c r="H502" s="80">
        <f>H503</f>
        <v>650000</v>
      </c>
      <c r="I502" s="80">
        <f t="shared" si="12"/>
        <v>1836861</v>
      </c>
      <c r="J502" s="129"/>
      <c r="K502" s="103"/>
      <c r="N502" s="113"/>
    </row>
    <row r="503" spans="1:14" s="123" customFormat="1" ht="66" customHeight="1">
      <c r="A503" s="244" t="s">
        <v>978</v>
      </c>
      <c r="B503" s="244" t="s">
        <v>466</v>
      </c>
      <c r="C503" s="244" t="s">
        <v>164</v>
      </c>
      <c r="D503" s="244" t="s">
        <v>431</v>
      </c>
      <c r="E503" s="301" t="s">
        <v>915</v>
      </c>
      <c r="F503" s="345" t="s">
        <v>1158</v>
      </c>
      <c r="G503" s="75"/>
      <c r="H503" s="75">
        <v>650000</v>
      </c>
      <c r="I503" s="75">
        <f t="shared" si="12"/>
        <v>650000</v>
      </c>
      <c r="J503" s="219"/>
      <c r="K503" s="124"/>
      <c r="M503" s="124"/>
      <c r="N503" s="127"/>
    </row>
    <row r="504" spans="1:14" s="123" customFormat="1" ht="66" customHeight="1">
      <c r="A504" s="244" t="s">
        <v>978</v>
      </c>
      <c r="B504" s="291" t="s">
        <v>466</v>
      </c>
      <c r="C504" s="261" t="s">
        <v>164</v>
      </c>
      <c r="D504" s="291" t="s">
        <v>431</v>
      </c>
      <c r="E504" s="301" t="s">
        <v>915</v>
      </c>
      <c r="F504" s="347" t="s">
        <v>1161</v>
      </c>
      <c r="G504" s="75">
        <v>1186861</v>
      </c>
      <c r="H504" s="75"/>
      <c r="I504" s="75">
        <f t="shared" si="12"/>
        <v>1186861</v>
      </c>
      <c r="J504" s="219"/>
      <c r="K504" s="124"/>
      <c r="M504" s="124"/>
      <c r="N504" s="127"/>
    </row>
    <row r="505" spans="1:14" s="96" customFormat="1" ht="15.75" customHeight="1">
      <c r="A505" s="273" t="s">
        <v>981</v>
      </c>
      <c r="B505" s="273" t="s">
        <v>1101</v>
      </c>
      <c r="C505" s="272" t="s">
        <v>769</v>
      </c>
      <c r="D505" s="272"/>
      <c r="E505" s="257" t="s">
        <v>770</v>
      </c>
      <c r="F505" s="213"/>
      <c r="G505" s="80">
        <f>G506+G507+G508</f>
        <v>3882935</v>
      </c>
      <c r="H505" s="80">
        <f>H506+H507+H508</f>
        <v>59000</v>
      </c>
      <c r="I505" s="80">
        <f t="shared" si="12"/>
        <v>3941935</v>
      </c>
      <c r="J505" s="219"/>
      <c r="K505" s="103"/>
      <c r="N505" s="113"/>
    </row>
    <row r="506" spans="1:14" s="96" customFormat="1" ht="49.5" customHeight="1">
      <c r="A506" s="275" t="s">
        <v>982</v>
      </c>
      <c r="B506" s="275" t="s">
        <v>1102</v>
      </c>
      <c r="C506" s="275" t="s">
        <v>215</v>
      </c>
      <c r="D506" s="275" t="s">
        <v>459</v>
      </c>
      <c r="E506" s="287" t="s">
        <v>772</v>
      </c>
      <c r="F506" s="354" t="s">
        <v>1191</v>
      </c>
      <c r="G506" s="75">
        <v>1666639</v>
      </c>
      <c r="H506" s="75"/>
      <c r="I506" s="75">
        <f t="shared" si="12"/>
        <v>1666639</v>
      </c>
      <c r="J506" s="219"/>
      <c r="K506" s="103"/>
      <c r="N506" s="113"/>
    </row>
    <row r="507" spans="1:15" s="94" customFormat="1" ht="48.75" customHeight="1">
      <c r="A507" s="254" t="s">
        <v>983</v>
      </c>
      <c r="B507" s="254" t="s">
        <v>1110</v>
      </c>
      <c r="C507" s="254" t="s">
        <v>93</v>
      </c>
      <c r="D507" s="417" t="s">
        <v>460</v>
      </c>
      <c r="E507" s="302" t="s">
        <v>94</v>
      </c>
      <c r="F507" s="354" t="s">
        <v>1204</v>
      </c>
      <c r="G507" s="75">
        <f>1839336+376960</f>
        <v>2216296</v>
      </c>
      <c r="H507" s="75"/>
      <c r="I507" s="75">
        <f t="shared" si="12"/>
        <v>2216296</v>
      </c>
      <c r="J507" s="219"/>
      <c r="K507" s="96"/>
      <c r="N507" s="104"/>
      <c r="O507" s="105"/>
    </row>
    <row r="508" spans="1:15" s="94" customFormat="1" ht="48.75" customHeight="1">
      <c r="A508" s="254" t="s">
        <v>983</v>
      </c>
      <c r="B508" s="254" t="s">
        <v>1110</v>
      </c>
      <c r="C508" s="254" t="s">
        <v>93</v>
      </c>
      <c r="D508" s="418"/>
      <c r="E508" s="302" t="s">
        <v>94</v>
      </c>
      <c r="F508" s="90" t="s">
        <v>1166</v>
      </c>
      <c r="G508" s="75"/>
      <c r="H508" s="75">
        <v>59000</v>
      </c>
      <c r="I508" s="75">
        <f t="shared" si="12"/>
        <v>59000</v>
      </c>
      <c r="J508" s="219"/>
      <c r="K508" s="96"/>
      <c r="N508" s="104"/>
      <c r="O508" s="105"/>
    </row>
    <row r="509" spans="1:15" s="94" customFormat="1" ht="15.75" customHeight="1">
      <c r="A509" s="273" t="s">
        <v>979</v>
      </c>
      <c r="B509" s="273" t="s">
        <v>1020</v>
      </c>
      <c r="C509" s="273" t="s">
        <v>550</v>
      </c>
      <c r="D509" s="273"/>
      <c r="E509" s="307" t="s">
        <v>672</v>
      </c>
      <c r="F509" s="198"/>
      <c r="G509" s="75">
        <f>G510</f>
        <v>0</v>
      </c>
      <c r="H509" s="75">
        <f>H510</f>
        <v>5043880</v>
      </c>
      <c r="I509" s="75">
        <f t="shared" si="12"/>
        <v>5043880</v>
      </c>
      <c r="J509" s="219"/>
      <c r="K509" s="96"/>
      <c r="N509" s="104"/>
      <c r="O509" s="105"/>
    </row>
    <row r="510" spans="1:15" s="94" customFormat="1" ht="47.25" customHeight="1">
      <c r="A510" s="25" t="s">
        <v>980</v>
      </c>
      <c r="B510" s="25" t="s">
        <v>1021</v>
      </c>
      <c r="C510" s="25" t="s">
        <v>83</v>
      </c>
      <c r="D510" s="25" t="s">
        <v>433</v>
      </c>
      <c r="E510" s="252" t="s">
        <v>553</v>
      </c>
      <c r="F510" s="354" t="s">
        <v>1204</v>
      </c>
      <c r="G510" s="75"/>
      <c r="H510" s="75">
        <f>3855082+936695+17337+147000+87766</f>
        <v>5043880</v>
      </c>
      <c r="I510" s="75">
        <f t="shared" si="12"/>
        <v>5043880</v>
      </c>
      <c r="J510" s="219"/>
      <c r="K510" s="96"/>
      <c r="N510" s="104"/>
      <c r="O510" s="105"/>
    </row>
    <row r="511" spans="1:15" s="94" customFormat="1" ht="15.75" customHeight="1">
      <c r="A511" s="273" t="s">
        <v>992</v>
      </c>
      <c r="B511" s="273" t="s">
        <v>1025</v>
      </c>
      <c r="C511" s="273" t="s">
        <v>562</v>
      </c>
      <c r="D511" s="273"/>
      <c r="E511" s="257" t="s">
        <v>563</v>
      </c>
      <c r="F511" s="213"/>
      <c r="G511" s="80">
        <f>G512</f>
        <v>258810</v>
      </c>
      <c r="H511" s="80">
        <f>H512</f>
        <v>0</v>
      </c>
      <c r="I511" s="80">
        <f t="shared" si="12"/>
        <v>258810</v>
      </c>
      <c r="J511" s="219"/>
      <c r="K511" s="96"/>
      <c r="N511" s="104"/>
      <c r="O511" s="105"/>
    </row>
    <row r="512" spans="1:15" s="94" customFormat="1" ht="15.75" customHeight="1" hidden="1">
      <c r="A512" s="286" t="s">
        <v>993</v>
      </c>
      <c r="B512" s="286" t="s">
        <v>1026</v>
      </c>
      <c r="C512" s="286" t="s">
        <v>76</v>
      </c>
      <c r="D512" s="286"/>
      <c r="E512" s="304" t="s">
        <v>91</v>
      </c>
      <c r="F512" s="213"/>
      <c r="G512" s="75">
        <f>G513+G514+G515+G516+G517</f>
        <v>258810</v>
      </c>
      <c r="H512" s="75">
        <f>H513+H514+H515+H516+H517</f>
        <v>0</v>
      </c>
      <c r="I512" s="75">
        <f t="shared" si="12"/>
        <v>258810</v>
      </c>
      <c r="J512" s="219"/>
      <c r="K512" s="96"/>
      <c r="N512" s="104"/>
      <c r="O512" s="105"/>
    </row>
    <row r="513" spans="1:15" s="94" customFormat="1" ht="49.5" customHeight="1">
      <c r="A513" s="286" t="s">
        <v>993</v>
      </c>
      <c r="B513" s="286" t="s">
        <v>1026</v>
      </c>
      <c r="C513" s="25" t="s">
        <v>76</v>
      </c>
      <c r="D513" s="244" t="s">
        <v>434</v>
      </c>
      <c r="E513" s="304" t="s">
        <v>91</v>
      </c>
      <c r="F513" s="349" t="s">
        <v>1178</v>
      </c>
      <c r="G513" s="75">
        <v>128000</v>
      </c>
      <c r="H513" s="75"/>
      <c r="I513" s="75">
        <f t="shared" si="12"/>
        <v>128000</v>
      </c>
      <c r="J513" s="219"/>
      <c r="K513" s="96"/>
      <c r="N513" s="104"/>
      <c r="O513" s="105"/>
    </row>
    <row r="514" spans="1:15" s="94" customFormat="1" ht="47.25" customHeight="1" hidden="1">
      <c r="A514" s="286" t="s">
        <v>993</v>
      </c>
      <c r="B514" s="286" t="s">
        <v>1026</v>
      </c>
      <c r="C514" s="242" t="s">
        <v>76</v>
      </c>
      <c r="D514" s="419" t="s">
        <v>434</v>
      </c>
      <c r="E514" s="304" t="s">
        <v>91</v>
      </c>
      <c r="F514" s="241" t="s">
        <v>501</v>
      </c>
      <c r="G514" s="75"/>
      <c r="H514" s="75"/>
      <c r="I514" s="75">
        <f t="shared" si="12"/>
        <v>0</v>
      </c>
      <c r="J514" s="219"/>
      <c r="K514" s="96"/>
      <c r="N514" s="104"/>
      <c r="O514" s="105"/>
    </row>
    <row r="515" spans="1:15" s="94" customFormat="1" ht="47.25" customHeight="1">
      <c r="A515" s="286" t="s">
        <v>993</v>
      </c>
      <c r="B515" s="286" t="s">
        <v>1026</v>
      </c>
      <c r="C515" s="242" t="s">
        <v>76</v>
      </c>
      <c r="D515" s="420"/>
      <c r="E515" s="304" t="s">
        <v>91</v>
      </c>
      <c r="F515" s="349" t="s">
        <v>1175</v>
      </c>
      <c r="G515" s="75">
        <v>34052</v>
      </c>
      <c r="H515" s="75"/>
      <c r="I515" s="75">
        <f t="shared" si="12"/>
        <v>34052</v>
      </c>
      <c r="J515" s="219"/>
      <c r="K515" s="96"/>
      <c r="N515" s="104"/>
      <c r="O515" s="105"/>
    </row>
    <row r="516" spans="1:15" s="94" customFormat="1" ht="63" customHeight="1">
      <c r="A516" s="286" t="s">
        <v>993</v>
      </c>
      <c r="B516" s="286" t="s">
        <v>1026</v>
      </c>
      <c r="C516" s="244" t="s">
        <v>76</v>
      </c>
      <c r="D516" s="244" t="s">
        <v>434</v>
      </c>
      <c r="E516" s="304" t="s">
        <v>91</v>
      </c>
      <c r="F516" s="346" t="s">
        <v>1159</v>
      </c>
      <c r="G516" s="75">
        <v>54168</v>
      </c>
      <c r="H516" s="75"/>
      <c r="I516" s="75">
        <f t="shared" si="12"/>
        <v>54168</v>
      </c>
      <c r="J516" s="219"/>
      <c r="K516" s="96"/>
      <c r="N516" s="104"/>
      <c r="O516" s="105"/>
    </row>
    <row r="517" spans="1:15" s="94" customFormat="1" ht="51.75" customHeight="1">
      <c r="A517" s="286" t="s">
        <v>993</v>
      </c>
      <c r="B517" s="286" t="s">
        <v>1026</v>
      </c>
      <c r="C517" s="244" t="s">
        <v>76</v>
      </c>
      <c r="D517" s="244" t="s">
        <v>434</v>
      </c>
      <c r="E517" s="304" t="s">
        <v>91</v>
      </c>
      <c r="F517" s="349" t="s">
        <v>1176</v>
      </c>
      <c r="G517" s="75">
        <v>42590</v>
      </c>
      <c r="H517" s="75"/>
      <c r="I517" s="75">
        <f t="shared" si="12"/>
        <v>42590</v>
      </c>
      <c r="J517" s="219"/>
      <c r="K517" s="96"/>
      <c r="N517" s="104"/>
      <c r="O517" s="105"/>
    </row>
    <row r="518" spans="1:15" s="94" customFormat="1" ht="15.75" customHeight="1">
      <c r="A518" s="272" t="s">
        <v>994</v>
      </c>
      <c r="B518" s="272" t="s">
        <v>1031</v>
      </c>
      <c r="C518" s="272" t="s">
        <v>556</v>
      </c>
      <c r="D518" s="272"/>
      <c r="E518" s="256" t="s">
        <v>557</v>
      </c>
      <c r="F518" s="215">
        <f>G518+J518</f>
        <v>0</v>
      </c>
      <c r="G518" s="80">
        <f>G519</f>
        <v>0</v>
      </c>
      <c r="H518" s="80">
        <f>H519</f>
        <v>56835</v>
      </c>
      <c r="I518" s="80">
        <f t="shared" si="12"/>
        <v>56835</v>
      </c>
      <c r="J518" s="219"/>
      <c r="K518" s="96"/>
      <c r="N518" s="104"/>
      <c r="O518" s="105"/>
    </row>
    <row r="519" spans="1:15" s="94" customFormat="1" ht="69" customHeight="1">
      <c r="A519" s="286" t="s">
        <v>1157</v>
      </c>
      <c r="B519" s="286" t="s">
        <v>1032</v>
      </c>
      <c r="C519" s="286" t="s">
        <v>70</v>
      </c>
      <c r="D519" s="286" t="s">
        <v>434</v>
      </c>
      <c r="E519" s="290" t="s">
        <v>220</v>
      </c>
      <c r="F519" s="361" t="s">
        <v>1190</v>
      </c>
      <c r="G519" s="75">
        <f>G520</f>
        <v>0</v>
      </c>
      <c r="H519" s="75">
        <f>50000+6835</f>
        <v>56835</v>
      </c>
      <c r="I519" s="75">
        <f t="shared" si="12"/>
        <v>56835</v>
      </c>
      <c r="J519" s="219"/>
      <c r="K519" s="96"/>
      <c r="N519" s="104"/>
      <c r="O519" s="105"/>
    </row>
    <row r="520" spans="1:15" s="94" customFormat="1" ht="39" customHeight="1" hidden="1">
      <c r="A520" s="25" t="s">
        <v>995</v>
      </c>
      <c r="B520" s="25" t="s">
        <v>1033</v>
      </c>
      <c r="C520" s="25" t="s">
        <v>70</v>
      </c>
      <c r="D520" s="25"/>
      <c r="E520" s="252" t="s">
        <v>560</v>
      </c>
      <c r="F520" s="347" t="s">
        <v>1162</v>
      </c>
      <c r="G520" s="75"/>
      <c r="H520" s="75"/>
      <c r="I520" s="75">
        <f t="shared" si="12"/>
        <v>0</v>
      </c>
      <c r="J520" s="219"/>
      <c r="K520" s="96"/>
      <c r="N520" s="104"/>
      <c r="O520" s="105"/>
    </row>
    <row r="521" spans="1:14" s="94" customFormat="1" ht="46.5" customHeight="1">
      <c r="A521" s="88"/>
      <c r="B521" s="88" t="s">
        <v>139</v>
      </c>
      <c r="C521" s="88" t="s">
        <v>139</v>
      </c>
      <c r="D521" s="88"/>
      <c r="E521" s="89" t="s">
        <v>47</v>
      </c>
      <c r="F521" s="151"/>
      <c r="G521" s="80">
        <f>G522</f>
        <v>12289219</v>
      </c>
      <c r="H521" s="80">
        <f>H522</f>
        <v>7172013</v>
      </c>
      <c r="I521" s="80">
        <f t="shared" si="12"/>
        <v>19461232</v>
      </c>
      <c r="J521" s="129"/>
      <c r="K521" s="103"/>
      <c r="N521" s="143"/>
    </row>
    <row r="522" spans="1:14" s="94" customFormat="1" ht="33" customHeight="1">
      <c r="A522" s="25" t="s">
        <v>984</v>
      </c>
      <c r="B522" s="25"/>
      <c r="C522" s="25"/>
      <c r="D522" s="25"/>
      <c r="E522" s="195" t="s">
        <v>985</v>
      </c>
      <c r="F522" s="213"/>
      <c r="G522" s="80">
        <f>G523+G526+G530+G532+G539</f>
        <v>12289219</v>
      </c>
      <c r="H522" s="80">
        <f>H523+H526+H530+H532+H539</f>
        <v>7172013</v>
      </c>
      <c r="I522" s="80">
        <f t="shared" si="12"/>
        <v>19461232</v>
      </c>
      <c r="J522" s="129"/>
      <c r="K522" s="103"/>
      <c r="N522" s="143"/>
    </row>
    <row r="523" spans="1:14" s="94" customFormat="1" ht="15.75" customHeight="1">
      <c r="A523" s="272" t="s">
        <v>986</v>
      </c>
      <c r="B523" s="272" t="s">
        <v>1015</v>
      </c>
      <c r="C523" s="273" t="s">
        <v>537</v>
      </c>
      <c r="D523" s="273"/>
      <c r="E523" s="256" t="s">
        <v>538</v>
      </c>
      <c r="F523" s="213"/>
      <c r="G523" s="80">
        <f>G524+G525</f>
        <v>3084484</v>
      </c>
      <c r="H523" s="80">
        <f>H524+H525</f>
        <v>946048</v>
      </c>
      <c r="I523" s="80">
        <f t="shared" si="12"/>
        <v>4030532</v>
      </c>
      <c r="J523" s="129"/>
      <c r="K523" s="103"/>
      <c r="N523" s="143"/>
    </row>
    <row r="524" spans="1:14" s="125" customFormat="1" ht="63" customHeight="1">
      <c r="A524" s="244" t="s">
        <v>987</v>
      </c>
      <c r="B524" s="244" t="s">
        <v>466</v>
      </c>
      <c r="C524" s="244" t="s">
        <v>164</v>
      </c>
      <c r="D524" s="244" t="s">
        <v>431</v>
      </c>
      <c r="E524" s="301" t="s">
        <v>915</v>
      </c>
      <c r="F524" s="345" t="s">
        <v>1158</v>
      </c>
      <c r="G524" s="75"/>
      <c r="H524" s="75">
        <v>946048</v>
      </c>
      <c r="I524" s="75">
        <f t="shared" si="12"/>
        <v>946048</v>
      </c>
      <c r="J524" s="219"/>
      <c r="K524" s="124"/>
      <c r="N524" s="126"/>
    </row>
    <row r="525" spans="1:14" s="125" customFormat="1" ht="63" customHeight="1">
      <c r="A525" s="244" t="s">
        <v>987</v>
      </c>
      <c r="B525" s="291" t="s">
        <v>466</v>
      </c>
      <c r="C525" s="261" t="s">
        <v>164</v>
      </c>
      <c r="D525" s="291" t="s">
        <v>431</v>
      </c>
      <c r="E525" s="301" t="s">
        <v>915</v>
      </c>
      <c r="F525" s="347" t="s">
        <v>1161</v>
      </c>
      <c r="G525" s="75">
        <v>3084484</v>
      </c>
      <c r="H525" s="75"/>
      <c r="I525" s="75">
        <f t="shared" si="12"/>
        <v>3084484</v>
      </c>
      <c r="J525" s="219"/>
      <c r="K525" s="124"/>
      <c r="N525" s="126"/>
    </row>
    <row r="526" spans="1:14" s="125" customFormat="1" ht="15.75" customHeight="1">
      <c r="A526" s="273" t="s">
        <v>988</v>
      </c>
      <c r="B526" s="273" t="s">
        <v>1101</v>
      </c>
      <c r="C526" s="272" t="s">
        <v>769</v>
      </c>
      <c r="D526" s="272"/>
      <c r="E526" s="257" t="s">
        <v>770</v>
      </c>
      <c r="F526" s="213"/>
      <c r="G526" s="80">
        <f>G527+G528+G529</f>
        <v>8895246</v>
      </c>
      <c r="H526" s="80">
        <f>H527+H528+H529</f>
        <v>0</v>
      </c>
      <c r="I526" s="80">
        <f t="shared" si="12"/>
        <v>8895246</v>
      </c>
      <c r="J526" s="219"/>
      <c r="K526" s="124"/>
      <c r="N526" s="126"/>
    </row>
    <row r="527" spans="1:14" s="125" customFormat="1" ht="47.25" customHeight="1">
      <c r="A527" s="275" t="s">
        <v>989</v>
      </c>
      <c r="B527" s="275" t="s">
        <v>1102</v>
      </c>
      <c r="C527" s="275" t="s">
        <v>215</v>
      </c>
      <c r="D527" s="275" t="s">
        <v>459</v>
      </c>
      <c r="E527" s="287" t="s">
        <v>772</v>
      </c>
      <c r="F527" s="354" t="s">
        <v>1191</v>
      </c>
      <c r="G527" s="75">
        <v>3949783</v>
      </c>
      <c r="H527" s="75"/>
      <c r="I527" s="75">
        <f t="shared" si="12"/>
        <v>3949783</v>
      </c>
      <c r="J527" s="219"/>
      <c r="K527" s="124"/>
      <c r="N527" s="126"/>
    </row>
    <row r="528" spans="1:15" s="94" customFormat="1" ht="50.25" customHeight="1">
      <c r="A528" s="25" t="s">
        <v>1010</v>
      </c>
      <c r="B528" s="25" t="s">
        <v>1110</v>
      </c>
      <c r="C528" s="25" t="s">
        <v>93</v>
      </c>
      <c r="D528" s="25" t="s">
        <v>460</v>
      </c>
      <c r="E528" s="144" t="s">
        <v>94</v>
      </c>
      <c r="F528" s="354" t="s">
        <v>1204</v>
      </c>
      <c r="G528" s="75">
        <f>4935463+10000</f>
        <v>4945463</v>
      </c>
      <c r="H528" s="75"/>
      <c r="I528" s="75">
        <f t="shared" si="12"/>
        <v>4945463</v>
      </c>
      <c r="J528" s="219"/>
      <c r="K528" s="103"/>
      <c r="N528" s="104"/>
      <c r="O528" s="105"/>
    </row>
    <row r="529" spans="1:15" s="94" customFormat="1" ht="50.25" customHeight="1" hidden="1">
      <c r="A529" s="25" t="s">
        <v>1010</v>
      </c>
      <c r="B529" s="25" t="s">
        <v>1110</v>
      </c>
      <c r="C529" s="25" t="s">
        <v>93</v>
      </c>
      <c r="D529" s="25" t="s">
        <v>460</v>
      </c>
      <c r="E529" s="144" t="s">
        <v>94</v>
      </c>
      <c r="F529" s="90" t="s">
        <v>1166</v>
      </c>
      <c r="G529" s="75"/>
      <c r="H529" s="75"/>
      <c r="I529" s="75">
        <f t="shared" si="12"/>
        <v>0</v>
      </c>
      <c r="J529" s="219"/>
      <c r="K529" s="103"/>
      <c r="N529" s="104"/>
      <c r="O529" s="105"/>
    </row>
    <row r="530" spans="1:15" s="94" customFormat="1" ht="15.75" customHeight="1">
      <c r="A530" s="272" t="s">
        <v>990</v>
      </c>
      <c r="B530" s="272" t="s">
        <v>1020</v>
      </c>
      <c r="C530" s="273" t="s">
        <v>550</v>
      </c>
      <c r="D530" s="273"/>
      <c r="E530" s="256" t="s">
        <v>672</v>
      </c>
      <c r="F530" s="198"/>
      <c r="G530" s="80">
        <f>G531</f>
        <v>0</v>
      </c>
      <c r="H530" s="80">
        <f>H531</f>
        <v>6225965</v>
      </c>
      <c r="I530" s="80">
        <f t="shared" si="12"/>
        <v>6225965</v>
      </c>
      <c r="J530" s="219"/>
      <c r="K530" s="103"/>
      <c r="N530" s="104"/>
      <c r="O530" s="105"/>
    </row>
    <row r="531" spans="1:15" s="94" customFormat="1" ht="47.25" customHeight="1">
      <c r="A531" s="244" t="s">
        <v>991</v>
      </c>
      <c r="B531" s="244" t="s">
        <v>1021</v>
      </c>
      <c r="C531" s="244" t="s">
        <v>83</v>
      </c>
      <c r="D531" s="244" t="s">
        <v>433</v>
      </c>
      <c r="E531" s="301" t="s">
        <v>553</v>
      </c>
      <c r="F531" s="354" t="s">
        <v>1204</v>
      </c>
      <c r="G531" s="75"/>
      <c r="H531" s="75">
        <f>6275965+300000-350000</f>
        <v>6225965</v>
      </c>
      <c r="I531" s="75">
        <f t="shared" si="12"/>
        <v>6225965</v>
      </c>
      <c r="J531" s="219"/>
      <c r="K531" s="103"/>
      <c r="N531" s="104"/>
      <c r="O531" s="105"/>
    </row>
    <row r="532" spans="1:15" s="94" customFormat="1" ht="15.75" customHeight="1">
      <c r="A532" s="273" t="s">
        <v>996</v>
      </c>
      <c r="B532" s="273" t="s">
        <v>1025</v>
      </c>
      <c r="C532" s="273" t="s">
        <v>562</v>
      </c>
      <c r="D532" s="273"/>
      <c r="E532" s="257" t="s">
        <v>563</v>
      </c>
      <c r="F532" s="213"/>
      <c r="G532" s="80">
        <f>G533</f>
        <v>309489</v>
      </c>
      <c r="H532" s="80">
        <f>H533</f>
        <v>0</v>
      </c>
      <c r="I532" s="80">
        <f t="shared" si="12"/>
        <v>309489</v>
      </c>
      <c r="J532" s="219"/>
      <c r="K532" s="103"/>
      <c r="N532" s="104"/>
      <c r="O532" s="105"/>
    </row>
    <row r="533" spans="1:15" s="94" customFormat="1" ht="15.75" customHeight="1" hidden="1">
      <c r="A533" s="286" t="s">
        <v>997</v>
      </c>
      <c r="B533" s="286" t="s">
        <v>1026</v>
      </c>
      <c r="C533" s="286" t="s">
        <v>76</v>
      </c>
      <c r="D533" s="286"/>
      <c r="E533" s="304" t="s">
        <v>91</v>
      </c>
      <c r="F533" s="213"/>
      <c r="G533" s="75">
        <f>G534+G535+G536+G537+G538</f>
        <v>309489</v>
      </c>
      <c r="H533" s="75">
        <f>H534+H535+H536+H537+H538</f>
        <v>0</v>
      </c>
      <c r="I533" s="75">
        <f t="shared" si="12"/>
        <v>309489</v>
      </c>
      <c r="J533" s="219"/>
      <c r="K533" s="103"/>
      <c r="N533" s="104"/>
      <c r="O533" s="105"/>
    </row>
    <row r="534" spans="1:15" s="94" customFormat="1" ht="45" customHeight="1">
      <c r="A534" s="286" t="s">
        <v>997</v>
      </c>
      <c r="B534" s="286" t="s">
        <v>1026</v>
      </c>
      <c r="C534" s="25" t="s">
        <v>76</v>
      </c>
      <c r="D534" s="244" t="s">
        <v>434</v>
      </c>
      <c r="E534" s="304" t="s">
        <v>91</v>
      </c>
      <c r="F534" s="349" t="s">
        <v>1178</v>
      </c>
      <c r="G534" s="75">
        <v>173009</v>
      </c>
      <c r="H534" s="75"/>
      <c r="I534" s="75">
        <f t="shared" si="12"/>
        <v>173009</v>
      </c>
      <c r="J534" s="219"/>
      <c r="K534" s="103"/>
      <c r="N534" s="104"/>
      <c r="O534" s="105"/>
    </row>
    <row r="535" spans="1:15" s="94" customFormat="1" ht="1.5" customHeight="1" hidden="1">
      <c r="A535" s="286" t="s">
        <v>997</v>
      </c>
      <c r="B535" s="286" t="s">
        <v>1026</v>
      </c>
      <c r="C535" s="242" t="s">
        <v>76</v>
      </c>
      <c r="D535" s="419" t="s">
        <v>434</v>
      </c>
      <c r="E535" s="304" t="s">
        <v>91</v>
      </c>
      <c r="F535" s="241" t="s">
        <v>501</v>
      </c>
      <c r="G535" s="75"/>
      <c r="H535" s="75"/>
      <c r="I535" s="75">
        <f t="shared" si="12"/>
        <v>0</v>
      </c>
      <c r="J535" s="219"/>
      <c r="K535" s="103"/>
      <c r="N535" s="104"/>
      <c r="O535" s="105"/>
    </row>
    <row r="536" spans="1:15" s="94" customFormat="1" ht="50.25" customHeight="1">
      <c r="A536" s="286" t="s">
        <v>997</v>
      </c>
      <c r="B536" s="286" t="s">
        <v>1026</v>
      </c>
      <c r="C536" s="242" t="s">
        <v>76</v>
      </c>
      <c r="D536" s="420"/>
      <c r="E536" s="304" t="s">
        <v>91</v>
      </c>
      <c r="F536" s="361" t="s">
        <v>1208</v>
      </c>
      <c r="G536" s="75">
        <v>86480</v>
      </c>
      <c r="H536" s="75"/>
      <c r="I536" s="75">
        <f t="shared" si="12"/>
        <v>86480</v>
      </c>
      <c r="J536" s="219"/>
      <c r="K536" s="103"/>
      <c r="N536" s="104"/>
      <c r="O536" s="105"/>
    </row>
    <row r="537" spans="1:15" s="94" customFormat="1" ht="61.5" customHeight="1">
      <c r="A537" s="286" t="s">
        <v>997</v>
      </c>
      <c r="B537" s="286" t="s">
        <v>1026</v>
      </c>
      <c r="C537" s="244" t="s">
        <v>76</v>
      </c>
      <c r="D537" s="244" t="s">
        <v>434</v>
      </c>
      <c r="E537" s="304" t="s">
        <v>91</v>
      </c>
      <c r="F537" s="361" t="s">
        <v>1159</v>
      </c>
      <c r="G537" s="75">
        <v>50000</v>
      </c>
      <c r="H537" s="75"/>
      <c r="I537" s="75">
        <f t="shared" si="12"/>
        <v>50000</v>
      </c>
      <c r="J537" s="219"/>
      <c r="K537" s="103"/>
      <c r="N537" s="104"/>
      <c r="O537" s="105"/>
    </row>
    <row r="538" spans="1:15" s="94" customFormat="1" ht="50.25" customHeight="1" hidden="1">
      <c r="A538" s="25" t="s">
        <v>998</v>
      </c>
      <c r="B538" s="25" t="s">
        <v>1124</v>
      </c>
      <c r="C538" s="244" t="s">
        <v>76</v>
      </c>
      <c r="D538" s="244" t="s">
        <v>434</v>
      </c>
      <c r="E538" s="252" t="s">
        <v>923</v>
      </c>
      <c r="F538" s="214" t="s">
        <v>492</v>
      </c>
      <c r="G538" s="77"/>
      <c r="H538" s="77"/>
      <c r="I538" s="77">
        <f t="shared" si="12"/>
        <v>0</v>
      </c>
      <c r="J538" s="219"/>
      <c r="K538" s="103"/>
      <c r="N538" s="104"/>
      <c r="O538" s="105"/>
    </row>
    <row r="539" spans="1:15" s="94" customFormat="1" ht="15.75" customHeight="1" hidden="1">
      <c r="A539" s="272" t="s">
        <v>999</v>
      </c>
      <c r="B539" s="272" t="s">
        <v>1031</v>
      </c>
      <c r="C539" s="272" t="s">
        <v>556</v>
      </c>
      <c r="D539" s="272"/>
      <c r="E539" s="305" t="s">
        <v>557</v>
      </c>
      <c r="F539" s="215">
        <f>G539+J539</f>
        <v>0</v>
      </c>
      <c r="G539" s="77">
        <f>G540</f>
        <v>0</v>
      </c>
      <c r="H539" s="77">
        <f>H540</f>
        <v>0</v>
      </c>
      <c r="I539" s="77">
        <f t="shared" si="12"/>
        <v>0</v>
      </c>
      <c r="J539" s="219"/>
      <c r="K539" s="103"/>
      <c r="N539" s="104"/>
      <c r="O539" s="105"/>
    </row>
    <row r="540" spans="1:15" s="94" customFormat="1" ht="38.25" customHeight="1" hidden="1">
      <c r="A540" s="277" t="s">
        <v>1000</v>
      </c>
      <c r="B540" s="277" t="s">
        <v>1033</v>
      </c>
      <c r="C540" s="277" t="s">
        <v>70</v>
      </c>
      <c r="D540" s="277"/>
      <c r="E540" s="312" t="s">
        <v>220</v>
      </c>
      <c r="F540" s="215">
        <f>G540+J540</f>
        <v>0</v>
      </c>
      <c r="G540" s="77">
        <f>G541</f>
        <v>0</v>
      </c>
      <c r="H540" s="77">
        <f>H541</f>
        <v>0</v>
      </c>
      <c r="I540" s="77">
        <f t="shared" si="12"/>
        <v>0</v>
      </c>
      <c r="J540" s="219"/>
      <c r="K540" s="103"/>
      <c r="N540" s="104"/>
      <c r="O540" s="105"/>
    </row>
    <row r="541" spans="1:15" s="94" customFormat="1" ht="50.25" customHeight="1" hidden="1">
      <c r="A541" s="25" t="s">
        <v>1001</v>
      </c>
      <c r="B541" s="25" t="s">
        <v>1033</v>
      </c>
      <c r="C541" s="25" t="s">
        <v>70</v>
      </c>
      <c r="D541" s="25"/>
      <c r="E541" s="252" t="s">
        <v>560</v>
      </c>
      <c r="F541" s="347" t="s">
        <v>1162</v>
      </c>
      <c r="G541" s="77"/>
      <c r="H541" s="77"/>
      <c r="I541" s="77">
        <f t="shared" si="12"/>
        <v>0</v>
      </c>
      <c r="J541" s="219"/>
      <c r="K541" s="103"/>
      <c r="N541" s="104"/>
      <c r="O541" s="105"/>
    </row>
    <row r="542" spans="1:14" s="116" customFormat="1" ht="21" customHeight="1">
      <c r="A542" s="89"/>
      <c r="B542" s="89"/>
      <c r="C542" s="89"/>
      <c r="D542" s="89"/>
      <c r="E542" s="89" t="s">
        <v>65</v>
      </c>
      <c r="F542" s="89"/>
      <c r="G542" s="245">
        <f>G11+G39+G82+G110+G139+G168+G177+G181+G205+G219+G223+G257+G284+G291+G300+G304+G308+G314+G325+G351+G358+G377+G385+G390+G412+G435+G457+G478+G500+G521</f>
        <v>1458265530</v>
      </c>
      <c r="H542" s="245">
        <f>H11+H39+H82+H110+H139+H168+H177+H181+H205+H219+H223+H257+H284+H291+H300+H304+H308+H314+H325+H351+H358+H377+H385+H390+H412+H435+H457+H478+H500+H521</f>
        <v>1690114975</v>
      </c>
      <c r="I542" s="245">
        <f>I11+I39+I82+I110+I139+I168+I177+I181+I205+I219+I223+I257+I284+I291+I300+I304+I308+I314+I325+I351+I358+I377+I385+I390+I412+I435+I457+I478+I500+I521</f>
        <v>3148380505</v>
      </c>
      <c r="J542" s="129"/>
      <c r="K542" s="114"/>
      <c r="L542" s="115"/>
      <c r="N542" s="117"/>
    </row>
    <row r="543" spans="1:14" s="116" customFormat="1" ht="21" customHeight="1">
      <c r="A543" s="113"/>
      <c r="B543" s="113"/>
      <c r="C543" s="113"/>
      <c r="D543" s="113"/>
      <c r="E543" s="113"/>
      <c r="F543" s="113"/>
      <c r="G543" s="128"/>
      <c r="H543" s="128"/>
      <c r="I543" s="128"/>
      <c r="J543" s="129"/>
      <c r="K543" s="114"/>
      <c r="L543" s="115"/>
      <c r="N543" s="117"/>
    </row>
    <row r="544" spans="1:14" s="118" customFormat="1" ht="44.25" customHeight="1">
      <c r="A544" s="378"/>
      <c r="B544" s="378"/>
      <c r="C544" s="378"/>
      <c r="D544" s="378" t="s">
        <v>199</v>
      </c>
      <c r="E544" s="379"/>
      <c r="F544" s="380"/>
      <c r="G544" s="380" t="s">
        <v>473</v>
      </c>
      <c r="H544" s="381"/>
      <c r="I544" s="120"/>
      <c r="J544" s="136"/>
      <c r="K544" s="119"/>
      <c r="N544" s="120"/>
    </row>
    <row r="545" spans="1:11" s="98" customFormat="1" ht="18" customHeight="1">
      <c r="A545" s="143"/>
      <c r="B545" s="143"/>
      <c r="C545" s="143"/>
      <c r="D545" s="143"/>
      <c r="E545" s="117"/>
      <c r="H545" s="117"/>
      <c r="I545" s="223"/>
      <c r="J545" s="135"/>
      <c r="K545" s="383"/>
    </row>
    <row r="546" spans="1:11" s="98" customFormat="1" ht="18" customHeight="1">
      <c r="A546" s="143"/>
      <c r="B546" s="143"/>
      <c r="C546" s="143"/>
      <c r="D546" s="143"/>
      <c r="E546" s="117"/>
      <c r="G546" s="384"/>
      <c r="H546" s="384"/>
      <c r="I546" s="385"/>
      <c r="J546" s="135"/>
      <c r="K546" s="383"/>
    </row>
    <row r="547" spans="1:10" s="98" customFormat="1" ht="18" customHeight="1">
      <c r="A547" s="143"/>
      <c r="B547" s="143"/>
      <c r="C547" s="143"/>
      <c r="D547" s="143"/>
      <c r="E547" s="117"/>
      <c r="G547" s="386"/>
      <c r="H547" s="386"/>
      <c r="I547" s="386"/>
      <c r="J547" s="135"/>
    </row>
    <row r="548" spans="1:10" s="98" customFormat="1" ht="15.75">
      <c r="A548" s="143"/>
      <c r="B548" s="143"/>
      <c r="C548" s="143"/>
      <c r="D548" s="143"/>
      <c r="E548" s="223"/>
      <c r="F548" s="143"/>
      <c r="G548" s="387"/>
      <c r="H548" s="387"/>
      <c r="I548" s="387"/>
      <c r="J548" s="135"/>
    </row>
    <row r="549" spans="1:10" s="390" customFormat="1" ht="15.75">
      <c r="A549" s="388"/>
      <c r="B549" s="388"/>
      <c r="C549" s="388"/>
      <c r="D549" s="388"/>
      <c r="E549" s="389"/>
      <c r="F549" s="143"/>
      <c r="G549" s="387"/>
      <c r="H549" s="387"/>
      <c r="I549" s="387"/>
      <c r="J549" s="164"/>
    </row>
    <row r="550" spans="1:10" s="98" customFormat="1" ht="15.75">
      <c r="A550" s="143"/>
      <c r="B550" s="143"/>
      <c r="C550" s="143"/>
      <c r="D550" s="143"/>
      <c r="E550" s="223"/>
      <c r="F550" s="104"/>
      <c r="G550" s="387"/>
      <c r="H550" s="387"/>
      <c r="I550" s="387"/>
      <c r="J550" s="135"/>
    </row>
    <row r="551" spans="1:10" s="98" customFormat="1" ht="15.75">
      <c r="A551" s="143"/>
      <c r="B551" s="143"/>
      <c r="C551" s="143"/>
      <c r="D551" s="143"/>
      <c r="E551" s="223"/>
      <c r="F551" s="143"/>
      <c r="G551" s="387"/>
      <c r="H551" s="387"/>
      <c r="I551" s="387"/>
      <c r="J551" s="135"/>
    </row>
    <row r="552" spans="1:10" s="98" customFormat="1" ht="15.75">
      <c r="A552" s="143"/>
      <c r="B552" s="143"/>
      <c r="C552" s="143"/>
      <c r="D552" s="143"/>
      <c r="E552" s="223"/>
      <c r="F552" s="143"/>
      <c r="G552" s="387"/>
      <c r="H552" s="387"/>
      <c r="I552" s="387"/>
      <c r="J552" s="135"/>
    </row>
    <row r="553" spans="1:10" s="98" customFormat="1" ht="15.75">
      <c r="A553" s="143"/>
      <c r="B553" s="143"/>
      <c r="C553" s="143"/>
      <c r="D553" s="143"/>
      <c r="E553" s="223"/>
      <c r="F553" s="104"/>
      <c r="G553" s="387"/>
      <c r="H553" s="387"/>
      <c r="I553" s="387"/>
      <c r="J553" s="135"/>
    </row>
    <row r="554" spans="1:10" s="98" customFormat="1" ht="15.75">
      <c r="A554" s="143"/>
      <c r="B554" s="143"/>
      <c r="C554" s="143"/>
      <c r="D554" s="143"/>
      <c r="E554" s="223"/>
      <c r="F554" s="143"/>
      <c r="G554" s="387"/>
      <c r="H554" s="387"/>
      <c r="I554" s="387"/>
      <c r="J554" s="135"/>
    </row>
    <row r="555" spans="1:10" s="98" customFormat="1" ht="15.75">
      <c r="A555" s="143"/>
      <c r="B555" s="143"/>
      <c r="C555" s="104"/>
      <c r="D555" s="143"/>
      <c r="E555" s="223"/>
      <c r="F555" s="143"/>
      <c r="G555" s="387"/>
      <c r="H555" s="387"/>
      <c r="I555" s="387"/>
      <c r="J555" s="137"/>
    </row>
    <row r="556" spans="1:10" s="98" customFormat="1" ht="27" customHeight="1">
      <c r="A556" s="143"/>
      <c r="B556" s="143"/>
      <c r="C556" s="143"/>
      <c r="D556" s="143"/>
      <c r="E556" s="223"/>
      <c r="G556" s="387"/>
      <c r="H556" s="387"/>
      <c r="I556" s="387"/>
      <c r="J556" s="137"/>
    </row>
    <row r="557" spans="1:10" s="98" customFormat="1" ht="15.75">
      <c r="A557" s="143"/>
      <c r="B557" s="143"/>
      <c r="C557" s="143"/>
      <c r="D557" s="143"/>
      <c r="E557" s="223"/>
      <c r="F557" s="143"/>
      <c r="G557" s="387"/>
      <c r="H557" s="387"/>
      <c r="I557" s="387"/>
      <c r="J557" s="135"/>
    </row>
    <row r="558" spans="1:10" s="98" customFormat="1" ht="15.75">
      <c r="A558" s="143"/>
      <c r="B558" s="143"/>
      <c r="C558" s="143"/>
      <c r="D558" s="143"/>
      <c r="E558" s="223"/>
      <c r="F558" s="104"/>
      <c r="G558" s="387"/>
      <c r="H558" s="387"/>
      <c r="I558" s="387"/>
      <c r="J558" s="135"/>
    </row>
    <row r="559" spans="1:10" s="98" customFormat="1" ht="15.75">
      <c r="A559" s="143"/>
      <c r="B559" s="143"/>
      <c r="C559" s="143"/>
      <c r="D559" s="143"/>
      <c r="E559" s="223"/>
      <c r="F559" s="143"/>
      <c r="G559" s="387"/>
      <c r="H559" s="387"/>
      <c r="I559" s="387"/>
      <c r="J559" s="135"/>
    </row>
    <row r="560" spans="1:10" s="98" customFormat="1" ht="15.75">
      <c r="A560" s="143"/>
      <c r="B560" s="143"/>
      <c r="C560" s="143"/>
      <c r="D560" s="143"/>
      <c r="E560" s="223"/>
      <c r="F560" s="143"/>
      <c r="G560" s="387"/>
      <c r="H560" s="387"/>
      <c r="I560" s="387"/>
      <c r="J560" s="138"/>
    </row>
    <row r="561" spans="1:10" s="98" customFormat="1" ht="15.75">
      <c r="A561" s="143"/>
      <c r="B561" s="143"/>
      <c r="C561" s="143"/>
      <c r="D561" s="143"/>
      <c r="E561" s="223"/>
      <c r="F561" s="143"/>
      <c r="G561" s="387"/>
      <c r="H561" s="387"/>
      <c r="I561" s="387"/>
      <c r="J561" s="138"/>
    </row>
    <row r="562" spans="1:10" s="98" customFormat="1" ht="15.75">
      <c r="A562" s="143"/>
      <c r="B562" s="143"/>
      <c r="C562" s="143"/>
      <c r="D562" s="143"/>
      <c r="E562" s="223"/>
      <c r="F562" s="143"/>
      <c r="J562" s="138"/>
    </row>
    <row r="563" spans="1:10" s="98" customFormat="1" ht="15.75">
      <c r="A563" s="143"/>
      <c r="B563" s="143"/>
      <c r="C563" s="143"/>
      <c r="D563" s="143"/>
      <c r="E563" s="223"/>
      <c r="F563" s="143"/>
      <c r="G563" s="387"/>
      <c r="H563" s="387"/>
      <c r="I563" s="387"/>
      <c r="J563" s="138"/>
    </row>
    <row r="564" spans="1:10" s="98" customFormat="1" ht="15.75">
      <c r="A564" s="143"/>
      <c r="B564" s="143"/>
      <c r="C564" s="143"/>
      <c r="D564" s="143"/>
      <c r="E564" s="223"/>
      <c r="G564" s="387"/>
      <c r="H564" s="387"/>
      <c r="I564" s="387"/>
      <c r="J564" s="138"/>
    </row>
    <row r="565" spans="1:10" s="98" customFormat="1" ht="15.75">
      <c r="A565" s="143"/>
      <c r="B565" s="143"/>
      <c r="C565" s="143"/>
      <c r="D565" s="143"/>
      <c r="E565" s="223"/>
      <c r="F565" s="143"/>
      <c r="G565" s="387"/>
      <c r="H565" s="387"/>
      <c r="I565" s="387"/>
      <c r="J565" s="138"/>
    </row>
    <row r="566" spans="1:10" s="98" customFormat="1" ht="15.75">
      <c r="A566" s="143"/>
      <c r="B566" s="143"/>
      <c r="C566" s="143"/>
      <c r="D566" s="143"/>
      <c r="E566" s="223"/>
      <c r="F566" s="143"/>
      <c r="G566" s="387"/>
      <c r="H566" s="387"/>
      <c r="I566" s="387"/>
      <c r="J566" s="138"/>
    </row>
    <row r="567" spans="1:10" s="98" customFormat="1" ht="15.75">
      <c r="A567" s="143"/>
      <c r="B567" s="143"/>
      <c r="C567" s="143"/>
      <c r="D567" s="143"/>
      <c r="E567" s="223"/>
      <c r="F567" s="143"/>
      <c r="G567" s="387"/>
      <c r="H567" s="387"/>
      <c r="I567" s="387"/>
      <c r="J567" s="138"/>
    </row>
    <row r="568" spans="1:10" s="98" customFormat="1" ht="15.75">
      <c r="A568" s="143"/>
      <c r="B568" s="143"/>
      <c r="C568" s="143"/>
      <c r="D568" s="143"/>
      <c r="E568" s="223"/>
      <c r="F568" s="143"/>
      <c r="G568" s="387"/>
      <c r="H568" s="387"/>
      <c r="I568" s="387"/>
      <c r="J568" s="138"/>
    </row>
    <row r="569" spans="1:10" s="98" customFormat="1" ht="15.75">
      <c r="A569" s="143"/>
      <c r="B569" s="143"/>
      <c r="C569" s="143"/>
      <c r="D569" s="143"/>
      <c r="E569" s="223"/>
      <c r="F569" s="143"/>
      <c r="G569" s="387"/>
      <c r="H569" s="387"/>
      <c r="I569" s="387"/>
      <c r="J569" s="138"/>
    </row>
    <row r="570" spans="1:10" s="98" customFormat="1" ht="15.75">
      <c r="A570" s="143"/>
      <c r="B570" s="143"/>
      <c r="C570" s="143"/>
      <c r="D570" s="143"/>
      <c r="E570" s="223"/>
      <c r="F570" s="143"/>
      <c r="G570" s="387"/>
      <c r="H570" s="387"/>
      <c r="I570" s="387"/>
      <c r="J570" s="138"/>
    </row>
    <row r="571" spans="1:11" s="98" customFormat="1" ht="15.75">
      <c r="A571" s="143"/>
      <c r="B571" s="143"/>
      <c r="C571" s="143"/>
      <c r="D571" s="143"/>
      <c r="E571" s="223"/>
      <c r="F571" s="143"/>
      <c r="G571" s="387"/>
      <c r="H571" s="387"/>
      <c r="I571" s="387"/>
      <c r="J571" s="135"/>
      <c r="K571" s="383"/>
    </row>
    <row r="572" spans="1:11" s="98" customFormat="1" ht="15.75">
      <c r="A572" s="143"/>
      <c r="B572" s="143"/>
      <c r="C572" s="143"/>
      <c r="D572" s="143"/>
      <c r="E572" s="223"/>
      <c r="F572" s="143"/>
      <c r="G572" s="387"/>
      <c r="H572" s="387"/>
      <c r="I572" s="387"/>
      <c r="J572" s="135"/>
      <c r="K572" s="383"/>
    </row>
    <row r="573" spans="1:11" s="98" customFormat="1" ht="15.75">
      <c r="A573" s="143"/>
      <c r="B573" s="143"/>
      <c r="C573" s="143"/>
      <c r="D573" s="143"/>
      <c r="E573" s="223"/>
      <c r="F573" s="143"/>
      <c r="G573" s="387"/>
      <c r="H573" s="387"/>
      <c r="I573" s="387"/>
      <c r="J573" s="135"/>
      <c r="K573" s="383"/>
    </row>
    <row r="574" spans="1:11" s="98" customFormat="1" ht="15.75">
      <c r="A574" s="143"/>
      <c r="B574" s="143"/>
      <c r="C574" s="143"/>
      <c r="D574" s="143"/>
      <c r="E574" s="223"/>
      <c r="F574" s="143"/>
      <c r="G574" s="387"/>
      <c r="H574" s="387"/>
      <c r="I574" s="387"/>
      <c r="J574" s="135"/>
      <c r="K574" s="383"/>
    </row>
    <row r="575" spans="1:11" s="98" customFormat="1" ht="15.75">
      <c r="A575" s="143"/>
      <c r="B575" s="143"/>
      <c r="C575" s="143"/>
      <c r="D575" s="143"/>
      <c r="E575" s="223"/>
      <c r="F575" s="391"/>
      <c r="G575" s="387"/>
      <c r="H575" s="387"/>
      <c r="I575" s="387"/>
      <c r="J575" s="135"/>
      <c r="K575" s="383"/>
    </row>
    <row r="576" spans="1:11" s="98" customFormat="1" ht="15.75">
      <c r="A576" s="143"/>
      <c r="B576" s="143"/>
      <c r="C576" s="143"/>
      <c r="D576" s="143"/>
      <c r="E576" s="223"/>
      <c r="F576" s="143"/>
      <c r="G576" s="387"/>
      <c r="H576" s="387"/>
      <c r="I576" s="387"/>
      <c r="J576" s="135"/>
      <c r="K576" s="383"/>
    </row>
    <row r="577" spans="1:11" s="98" customFormat="1" ht="15.75">
      <c r="A577" s="143"/>
      <c r="B577" s="143"/>
      <c r="C577" s="143"/>
      <c r="D577" s="143"/>
      <c r="E577" s="223"/>
      <c r="F577" s="143"/>
      <c r="G577" s="387"/>
      <c r="H577" s="387"/>
      <c r="I577" s="387"/>
      <c r="J577" s="135"/>
      <c r="K577" s="383"/>
    </row>
    <row r="578" spans="1:11" s="98" customFormat="1" ht="15.75">
      <c r="A578" s="143"/>
      <c r="B578" s="143"/>
      <c r="C578" s="143"/>
      <c r="D578" s="143"/>
      <c r="E578" s="223"/>
      <c r="F578" s="143"/>
      <c r="G578" s="387"/>
      <c r="H578" s="387"/>
      <c r="I578" s="387"/>
      <c r="J578" s="135"/>
      <c r="K578" s="383"/>
    </row>
    <row r="579" spans="1:11" s="98" customFormat="1" ht="15.75">
      <c r="A579" s="143"/>
      <c r="B579" s="143"/>
      <c r="C579" s="143"/>
      <c r="D579" s="143"/>
      <c r="E579" s="223"/>
      <c r="F579" s="143"/>
      <c r="G579" s="387"/>
      <c r="H579" s="387"/>
      <c r="I579" s="387"/>
      <c r="J579" s="135"/>
      <c r="K579" s="383"/>
    </row>
    <row r="580" spans="1:11" s="98" customFormat="1" ht="15.75">
      <c r="A580" s="143"/>
      <c r="B580" s="143"/>
      <c r="C580" s="143"/>
      <c r="D580" s="143"/>
      <c r="E580" s="223"/>
      <c r="F580" s="143"/>
      <c r="G580" s="387"/>
      <c r="H580" s="387"/>
      <c r="I580" s="387"/>
      <c r="J580" s="135"/>
      <c r="K580" s="383"/>
    </row>
    <row r="581" spans="1:11" s="98" customFormat="1" ht="15.75">
      <c r="A581" s="143"/>
      <c r="B581" s="143"/>
      <c r="C581" s="143"/>
      <c r="D581" s="143"/>
      <c r="E581" s="223"/>
      <c r="F581" s="143"/>
      <c r="G581" s="387"/>
      <c r="H581" s="387"/>
      <c r="I581" s="387"/>
      <c r="J581" s="135"/>
      <c r="K581" s="383"/>
    </row>
    <row r="582" spans="1:11" s="98" customFormat="1" ht="15.75">
      <c r="A582" s="143"/>
      <c r="B582" s="143"/>
      <c r="C582" s="143"/>
      <c r="D582" s="143"/>
      <c r="E582" s="223"/>
      <c r="F582" s="143"/>
      <c r="G582" s="387"/>
      <c r="H582" s="387"/>
      <c r="I582" s="387"/>
      <c r="J582" s="135"/>
      <c r="K582" s="383"/>
    </row>
    <row r="583" spans="1:11" s="98" customFormat="1" ht="30" customHeight="1">
      <c r="A583" s="143"/>
      <c r="B583" s="143"/>
      <c r="C583" s="143"/>
      <c r="D583" s="143"/>
      <c r="E583" s="223"/>
      <c r="F583" s="104"/>
      <c r="G583" s="387"/>
      <c r="H583" s="387"/>
      <c r="I583" s="387"/>
      <c r="J583" s="135"/>
      <c r="K583" s="383"/>
    </row>
    <row r="584" spans="1:11" s="98" customFormat="1" ht="33.75" customHeight="1">
      <c r="A584" s="143"/>
      <c r="B584" s="143"/>
      <c r="C584" s="143"/>
      <c r="D584" s="143"/>
      <c r="E584" s="223"/>
      <c r="F584" s="143"/>
      <c r="G584" s="387"/>
      <c r="H584" s="387"/>
      <c r="I584" s="387"/>
      <c r="J584" s="135"/>
      <c r="K584" s="383"/>
    </row>
    <row r="585" spans="1:11" s="98" customFormat="1" ht="28.5" customHeight="1">
      <c r="A585" s="143"/>
      <c r="B585" s="143"/>
      <c r="C585" s="143"/>
      <c r="D585" s="143"/>
      <c r="E585" s="223"/>
      <c r="F585" s="143"/>
      <c r="G585" s="387"/>
      <c r="H585" s="387"/>
      <c r="I585" s="387"/>
      <c r="J585" s="135"/>
      <c r="K585" s="383"/>
    </row>
    <row r="586" spans="1:11" s="98" customFormat="1" ht="28.5" customHeight="1">
      <c r="A586" s="143"/>
      <c r="B586" s="143"/>
      <c r="C586" s="143"/>
      <c r="D586" s="143"/>
      <c r="E586" s="223"/>
      <c r="F586" s="392"/>
      <c r="G586" s="387"/>
      <c r="H586" s="387"/>
      <c r="I586" s="387"/>
      <c r="J586" s="135"/>
      <c r="K586" s="383"/>
    </row>
    <row r="587" spans="1:11" s="98" customFormat="1" ht="28.5" customHeight="1">
      <c r="A587" s="143"/>
      <c r="B587" s="143"/>
      <c r="C587" s="143"/>
      <c r="D587" s="143"/>
      <c r="E587" s="223"/>
      <c r="F587" s="143"/>
      <c r="G587" s="387"/>
      <c r="H587" s="387"/>
      <c r="I587" s="387"/>
      <c r="J587" s="135"/>
      <c r="K587" s="383"/>
    </row>
    <row r="588" spans="1:11" s="98" customFormat="1" ht="28.5" customHeight="1">
      <c r="A588" s="143"/>
      <c r="B588" s="143"/>
      <c r="C588" s="143"/>
      <c r="D588" s="143"/>
      <c r="E588" s="223"/>
      <c r="F588" s="143"/>
      <c r="G588" s="387"/>
      <c r="H588" s="387"/>
      <c r="I588" s="387"/>
      <c r="J588" s="135"/>
      <c r="K588" s="383"/>
    </row>
    <row r="589" spans="1:11" s="98" customFormat="1" ht="38.25" customHeight="1">
      <c r="A589" s="143"/>
      <c r="B589" s="143"/>
      <c r="C589" s="143"/>
      <c r="D589" s="143"/>
      <c r="E589" s="223"/>
      <c r="F589" s="143"/>
      <c r="G589" s="387"/>
      <c r="H589" s="387"/>
      <c r="I589" s="387"/>
      <c r="J589" s="135"/>
      <c r="K589" s="383"/>
    </row>
    <row r="590" spans="1:11" s="98" customFormat="1" ht="15.75">
      <c r="A590" s="143"/>
      <c r="B590" s="143"/>
      <c r="C590" s="143"/>
      <c r="D590" s="143"/>
      <c r="E590" s="223"/>
      <c r="F590" s="143"/>
      <c r="G590" s="387"/>
      <c r="H590" s="387"/>
      <c r="I590" s="387"/>
      <c r="J590" s="135"/>
      <c r="K590" s="383"/>
    </row>
    <row r="591" spans="1:11" s="98" customFormat="1" ht="15.75">
      <c r="A591" s="143"/>
      <c r="B591" s="143"/>
      <c r="C591" s="143"/>
      <c r="D591" s="143"/>
      <c r="E591" s="223"/>
      <c r="F591" s="143"/>
      <c r="G591" s="387"/>
      <c r="H591" s="387"/>
      <c r="I591" s="387"/>
      <c r="J591" s="135"/>
      <c r="K591" s="383"/>
    </row>
    <row r="592" spans="1:11" s="98" customFormat="1" ht="15.75">
      <c r="A592" s="143"/>
      <c r="B592" s="143"/>
      <c r="C592" s="143"/>
      <c r="D592" s="143"/>
      <c r="E592" s="223"/>
      <c r="F592" s="104"/>
      <c r="G592" s="387"/>
      <c r="H592" s="387"/>
      <c r="I592" s="387"/>
      <c r="J592" s="135"/>
      <c r="K592" s="383"/>
    </row>
    <row r="593" spans="1:11" s="98" customFormat="1" ht="15.75">
      <c r="A593" s="143"/>
      <c r="B593" s="143"/>
      <c r="C593" s="143"/>
      <c r="D593" s="143"/>
      <c r="E593" s="223"/>
      <c r="F593" s="143"/>
      <c r="G593" s="387"/>
      <c r="H593" s="387"/>
      <c r="I593" s="387"/>
      <c r="J593" s="135"/>
      <c r="K593" s="383"/>
    </row>
    <row r="594" spans="1:11" s="98" customFormat="1" ht="15.75">
      <c r="A594" s="143"/>
      <c r="B594" s="143"/>
      <c r="C594" s="143"/>
      <c r="D594" s="143"/>
      <c r="E594" s="223"/>
      <c r="F594" s="143"/>
      <c r="G594" s="387"/>
      <c r="H594" s="387"/>
      <c r="I594" s="387"/>
      <c r="J594" s="135"/>
      <c r="K594" s="383"/>
    </row>
    <row r="595" spans="1:11" s="98" customFormat="1" ht="15.75">
      <c r="A595" s="143"/>
      <c r="B595" s="143"/>
      <c r="C595" s="143"/>
      <c r="D595" s="143"/>
      <c r="E595" s="223"/>
      <c r="F595" s="143"/>
      <c r="G595" s="387"/>
      <c r="H595" s="387"/>
      <c r="I595" s="387"/>
      <c r="J595" s="135"/>
      <c r="K595" s="383"/>
    </row>
    <row r="596" spans="1:11" s="98" customFormat="1" ht="15.75">
      <c r="A596" s="143"/>
      <c r="B596" s="143"/>
      <c r="C596" s="143"/>
      <c r="D596" s="143"/>
      <c r="E596" s="223"/>
      <c r="F596" s="143"/>
      <c r="G596" s="387"/>
      <c r="H596" s="387"/>
      <c r="I596" s="387"/>
      <c r="J596" s="135"/>
      <c r="K596" s="383"/>
    </row>
    <row r="597" spans="1:11" s="98" customFormat="1" ht="15.75">
      <c r="A597" s="143"/>
      <c r="B597" s="143"/>
      <c r="C597" s="143"/>
      <c r="D597" s="143"/>
      <c r="E597" s="223"/>
      <c r="F597" s="143"/>
      <c r="G597" s="387"/>
      <c r="H597" s="387"/>
      <c r="I597" s="387"/>
      <c r="J597" s="135"/>
      <c r="K597" s="383"/>
    </row>
    <row r="598" spans="1:11" s="98" customFormat="1" ht="15.75">
      <c r="A598" s="143"/>
      <c r="B598" s="143"/>
      <c r="C598" s="143"/>
      <c r="D598" s="143"/>
      <c r="E598" s="223"/>
      <c r="F598" s="143"/>
      <c r="G598" s="387"/>
      <c r="H598" s="387"/>
      <c r="I598" s="387"/>
      <c r="J598" s="135"/>
      <c r="K598" s="383"/>
    </row>
    <row r="599" spans="1:11" s="98" customFormat="1" ht="15.75">
      <c r="A599" s="143"/>
      <c r="B599" s="143"/>
      <c r="C599" s="143"/>
      <c r="D599" s="143"/>
      <c r="E599" s="223"/>
      <c r="F599" s="143"/>
      <c r="G599" s="387"/>
      <c r="H599" s="387"/>
      <c r="I599" s="387"/>
      <c r="J599" s="135"/>
      <c r="K599" s="383"/>
    </row>
    <row r="600" spans="1:11" s="98" customFormat="1" ht="15.75">
      <c r="A600" s="143"/>
      <c r="B600" s="143"/>
      <c r="C600" s="143"/>
      <c r="D600" s="143"/>
      <c r="E600" s="223"/>
      <c r="F600" s="143"/>
      <c r="G600" s="387"/>
      <c r="H600" s="387"/>
      <c r="I600" s="387"/>
      <c r="J600" s="135"/>
      <c r="K600" s="383"/>
    </row>
    <row r="601" spans="1:11" s="98" customFormat="1" ht="15.75">
      <c r="A601" s="143"/>
      <c r="B601" s="143"/>
      <c r="C601" s="143"/>
      <c r="D601" s="143"/>
      <c r="E601" s="223"/>
      <c r="F601" s="143"/>
      <c r="G601" s="387"/>
      <c r="H601" s="387"/>
      <c r="I601" s="387"/>
      <c r="J601" s="135"/>
      <c r="K601" s="383"/>
    </row>
    <row r="602" spans="1:11" s="98" customFormat="1" ht="15.75">
      <c r="A602" s="143"/>
      <c r="B602" s="143"/>
      <c r="C602" s="143"/>
      <c r="D602" s="143"/>
      <c r="E602" s="223"/>
      <c r="F602" s="143"/>
      <c r="G602" s="387"/>
      <c r="H602" s="387"/>
      <c r="I602" s="387"/>
      <c r="J602" s="135"/>
      <c r="K602" s="383"/>
    </row>
    <row r="603" spans="1:11" s="98" customFormat="1" ht="15.75">
      <c r="A603" s="143"/>
      <c r="B603" s="143"/>
      <c r="C603" s="143"/>
      <c r="D603" s="143"/>
      <c r="E603" s="223"/>
      <c r="F603" s="143"/>
      <c r="G603" s="387"/>
      <c r="H603" s="387"/>
      <c r="I603" s="387"/>
      <c r="J603" s="135"/>
      <c r="K603" s="383"/>
    </row>
    <row r="604" spans="1:11" s="98" customFormat="1" ht="15.75">
      <c r="A604" s="143"/>
      <c r="B604" s="143"/>
      <c r="C604" s="143"/>
      <c r="D604" s="143"/>
      <c r="E604" s="223"/>
      <c r="F604" s="143"/>
      <c r="G604" s="387"/>
      <c r="H604" s="387"/>
      <c r="I604" s="387"/>
      <c r="J604" s="135"/>
      <c r="K604" s="383"/>
    </row>
    <row r="605" spans="1:11" s="121" customFormat="1" ht="36.75" customHeight="1">
      <c r="A605" s="393"/>
      <c r="B605" s="393"/>
      <c r="C605" s="393"/>
      <c r="D605" s="393"/>
      <c r="E605" s="394"/>
      <c r="F605" s="143"/>
      <c r="G605" s="395"/>
      <c r="H605" s="395"/>
      <c r="I605" s="395"/>
      <c r="J605" s="139"/>
      <c r="K605" s="396"/>
    </row>
    <row r="606" spans="1:11" s="121" customFormat="1" ht="36.75" customHeight="1">
      <c r="A606" s="393"/>
      <c r="B606" s="393"/>
      <c r="C606" s="393"/>
      <c r="D606" s="393"/>
      <c r="E606" s="394"/>
      <c r="F606" s="143"/>
      <c r="G606" s="395"/>
      <c r="H606" s="395"/>
      <c r="I606" s="395"/>
      <c r="J606" s="139"/>
      <c r="K606" s="396"/>
    </row>
    <row r="607" spans="1:11" s="121" customFormat="1" ht="51" customHeight="1">
      <c r="A607" s="393"/>
      <c r="B607" s="393"/>
      <c r="C607" s="393"/>
      <c r="D607" s="393"/>
      <c r="E607" s="394"/>
      <c r="F607" s="143"/>
      <c r="G607" s="395"/>
      <c r="H607" s="395"/>
      <c r="I607" s="395"/>
      <c r="J607" s="139"/>
      <c r="K607" s="396"/>
    </row>
    <row r="608" spans="1:11" s="121" customFormat="1" ht="36.75" customHeight="1">
      <c r="A608" s="393"/>
      <c r="B608" s="393"/>
      <c r="C608" s="393"/>
      <c r="D608" s="393"/>
      <c r="E608" s="394"/>
      <c r="F608" s="397"/>
      <c r="G608" s="395"/>
      <c r="H608" s="395"/>
      <c r="I608" s="395"/>
      <c r="J608" s="139"/>
      <c r="K608" s="396"/>
    </row>
    <row r="609" spans="1:11" s="121" customFormat="1" ht="36.75" customHeight="1">
      <c r="A609" s="393"/>
      <c r="B609" s="393"/>
      <c r="C609" s="393"/>
      <c r="D609" s="393"/>
      <c r="E609" s="394"/>
      <c r="F609" s="143"/>
      <c r="G609" s="395"/>
      <c r="H609" s="395"/>
      <c r="I609" s="395"/>
      <c r="J609" s="139"/>
      <c r="K609" s="396"/>
    </row>
    <row r="610" spans="1:11" s="121" customFormat="1" ht="36.75" customHeight="1">
      <c r="A610" s="393"/>
      <c r="B610" s="393"/>
      <c r="C610" s="393"/>
      <c r="D610" s="393"/>
      <c r="E610" s="394"/>
      <c r="F610" s="143"/>
      <c r="G610" s="395"/>
      <c r="H610" s="395"/>
      <c r="I610" s="395"/>
      <c r="J610" s="139"/>
      <c r="K610" s="396"/>
    </row>
    <row r="611" spans="1:11" s="121" customFormat="1" ht="36.75" customHeight="1">
      <c r="A611" s="393"/>
      <c r="B611" s="393"/>
      <c r="C611" s="393"/>
      <c r="D611" s="393"/>
      <c r="E611" s="394"/>
      <c r="F611" s="143"/>
      <c r="G611" s="395"/>
      <c r="H611" s="395"/>
      <c r="I611" s="395"/>
      <c r="J611" s="139"/>
      <c r="K611" s="396"/>
    </row>
    <row r="612" spans="1:10" s="122" customFormat="1" ht="15.75">
      <c r="A612" s="398"/>
      <c r="B612" s="398"/>
      <c r="C612" s="398"/>
      <c r="D612" s="398"/>
      <c r="E612" s="399"/>
      <c r="G612" s="400"/>
      <c r="H612" s="400"/>
      <c r="I612" s="400"/>
      <c r="J612" s="140"/>
    </row>
    <row r="613" spans="1:11" s="98" customFormat="1" ht="27.75" customHeight="1">
      <c r="A613" s="143"/>
      <c r="B613" s="143"/>
      <c r="C613" s="143"/>
      <c r="D613" s="143"/>
      <c r="E613" s="117"/>
      <c r="F613" s="122"/>
      <c r="G613" s="401"/>
      <c r="H613" s="401"/>
      <c r="I613" s="401"/>
      <c r="J613" s="137"/>
      <c r="K613" s="383"/>
    </row>
    <row r="614" spans="1:11" s="98" customFormat="1" ht="27.75" customHeight="1">
      <c r="A614" s="143"/>
      <c r="B614" s="143"/>
      <c r="C614" s="143"/>
      <c r="D614" s="402"/>
      <c r="E614" s="223"/>
      <c r="F614" s="403"/>
      <c r="G614" s="404"/>
      <c r="H614" s="404"/>
      <c r="I614" s="404"/>
      <c r="J614" s="137"/>
      <c r="K614" s="383"/>
    </row>
    <row r="615" spans="1:11" s="98" customFormat="1" ht="35.25" customHeight="1">
      <c r="A615" s="143"/>
      <c r="B615" s="143"/>
      <c r="C615" s="143"/>
      <c r="D615" s="402"/>
      <c r="E615" s="223"/>
      <c r="F615" s="403"/>
      <c r="G615" s="405"/>
      <c r="H615" s="405"/>
      <c r="I615" s="405"/>
      <c r="J615" s="137"/>
      <c r="K615" s="383"/>
    </row>
    <row r="616" spans="1:11" s="98" customFormat="1" ht="18.75">
      <c r="A616" s="143"/>
      <c r="B616" s="143"/>
      <c r="C616" s="143"/>
      <c r="D616" s="402"/>
      <c r="E616" s="223"/>
      <c r="F616" s="403"/>
      <c r="G616" s="405"/>
      <c r="H616" s="405"/>
      <c r="I616" s="405"/>
      <c r="J616" s="137"/>
      <c r="K616" s="383"/>
    </row>
    <row r="617" spans="1:11" s="98" customFormat="1" ht="18.75">
      <c r="A617" s="143"/>
      <c r="B617" s="143"/>
      <c r="C617" s="143"/>
      <c r="D617" s="402"/>
      <c r="E617" s="223"/>
      <c r="F617" s="403"/>
      <c r="G617" s="405"/>
      <c r="H617" s="405"/>
      <c r="I617" s="405"/>
      <c r="J617" s="137"/>
      <c r="K617" s="383"/>
    </row>
    <row r="618" spans="1:11" s="98" customFormat="1" ht="18.75">
      <c r="A618" s="143"/>
      <c r="B618" s="143"/>
      <c r="C618" s="143"/>
      <c r="D618" s="402"/>
      <c r="E618" s="223"/>
      <c r="F618" s="403"/>
      <c r="G618" s="405"/>
      <c r="H618" s="405"/>
      <c r="I618" s="405"/>
      <c r="J618" s="137"/>
      <c r="K618" s="383"/>
    </row>
    <row r="619" spans="1:11" s="98" customFormat="1" ht="18" customHeight="1">
      <c r="A619" s="143"/>
      <c r="B619" s="143"/>
      <c r="C619" s="423"/>
      <c r="D619" s="402"/>
      <c r="E619" s="223"/>
      <c r="F619" s="403"/>
      <c r="G619" s="405"/>
      <c r="H619" s="405"/>
      <c r="I619" s="405"/>
      <c r="J619" s="137"/>
      <c r="K619" s="383"/>
    </row>
    <row r="620" spans="1:11" s="98" customFormat="1" ht="18" customHeight="1">
      <c r="A620" s="143"/>
      <c r="B620" s="143"/>
      <c r="C620" s="423"/>
      <c r="D620" s="402"/>
      <c r="E620" s="223"/>
      <c r="F620" s="403"/>
      <c r="G620" s="405"/>
      <c r="H620" s="405"/>
      <c r="I620" s="405"/>
      <c r="J620" s="137"/>
      <c r="K620" s="383"/>
    </row>
    <row r="621" spans="1:11" s="98" customFormat="1" ht="18" customHeight="1">
      <c r="A621" s="143"/>
      <c r="B621" s="143"/>
      <c r="C621" s="423"/>
      <c r="D621" s="402"/>
      <c r="E621" s="223"/>
      <c r="F621" s="403"/>
      <c r="G621" s="405"/>
      <c r="H621" s="405"/>
      <c r="I621" s="405"/>
      <c r="J621" s="137"/>
      <c r="K621" s="383"/>
    </row>
    <row r="622" spans="1:11" s="98" customFormat="1" ht="19.5" customHeight="1">
      <c r="A622" s="143"/>
      <c r="B622" s="143"/>
      <c r="C622" s="423"/>
      <c r="D622" s="402"/>
      <c r="E622" s="223"/>
      <c r="F622" s="403"/>
      <c r="G622" s="405"/>
      <c r="H622" s="405"/>
      <c r="I622" s="405"/>
      <c r="J622" s="137"/>
      <c r="K622" s="383"/>
    </row>
    <row r="623" spans="1:11" s="98" customFormat="1" ht="18.75">
      <c r="A623" s="143"/>
      <c r="B623" s="143"/>
      <c r="C623" s="143"/>
      <c r="D623" s="402"/>
      <c r="E623" s="406"/>
      <c r="F623" s="403"/>
      <c r="G623" s="405"/>
      <c r="H623" s="405"/>
      <c r="I623" s="405"/>
      <c r="J623" s="137"/>
      <c r="K623" s="383"/>
    </row>
    <row r="624" spans="1:11" s="98" customFormat="1" ht="18.75">
      <c r="A624" s="143"/>
      <c r="B624" s="143"/>
      <c r="C624" s="143"/>
      <c r="D624" s="402"/>
      <c r="E624" s="407"/>
      <c r="F624" s="403"/>
      <c r="G624" s="405"/>
      <c r="H624" s="405"/>
      <c r="I624" s="405"/>
      <c r="J624" s="137"/>
      <c r="K624" s="408"/>
    </row>
    <row r="625" spans="1:11" s="98" customFormat="1" ht="18.75">
      <c r="A625" s="143"/>
      <c r="B625" s="143"/>
      <c r="C625" s="143"/>
      <c r="D625" s="402"/>
      <c r="E625" s="223"/>
      <c r="F625" s="403"/>
      <c r="G625" s="405"/>
      <c r="H625" s="405"/>
      <c r="I625" s="405"/>
      <c r="J625" s="137"/>
      <c r="K625" s="383"/>
    </row>
    <row r="626" spans="1:11" s="98" customFormat="1" ht="18.75">
      <c r="A626" s="104"/>
      <c r="B626" s="104"/>
      <c r="C626" s="143"/>
      <c r="D626" s="402"/>
      <c r="E626" s="223"/>
      <c r="F626" s="403"/>
      <c r="G626" s="405"/>
      <c r="H626" s="405"/>
      <c r="I626" s="405"/>
      <c r="J626" s="142"/>
      <c r="K626" s="408"/>
    </row>
    <row r="627" spans="1:11" s="98" customFormat="1" ht="18.75">
      <c r="A627" s="104"/>
      <c r="B627" s="104"/>
      <c r="C627" s="143"/>
      <c r="D627" s="402"/>
      <c r="E627" s="223"/>
      <c r="F627" s="403"/>
      <c r="G627" s="405"/>
      <c r="H627" s="405"/>
      <c r="I627" s="405"/>
      <c r="J627" s="142"/>
      <c r="K627" s="408"/>
    </row>
    <row r="628" spans="1:13" s="98" customFormat="1" ht="18.75">
      <c r="A628" s="143"/>
      <c r="B628" s="143"/>
      <c r="C628" s="143"/>
      <c r="D628" s="402"/>
      <c r="E628" s="223"/>
      <c r="F628" s="403"/>
      <c r="G628" s="405"/>
      <c r="H628" s="405"/>
      <c r="I628" s="405"/>
      <c r="J628" s="137"/>
      <c r="K628" s="408"/>
      <c r="M628" s="387"/>
    </row>
    <row r="629" spans="1:11" s="98" customFormat="1" ht="18.75">
      <c r="A629" s="143"/>
      <c r="B629" s="143"/>
      <c r="C629" s="143"/>
      <c r="D629" s="402"/>
      <c r="E629" s="223"/>
      <c r="F629" s="403"/>
      <c r="G629" s="405"/>
      <c r="H629" s="405"/>
      <c r="I629" s="405"/>
      <c r="J629" s="405"/>
      <c r="K629" s="383"/>
    </row>
    <row r="630" spans="1:11" s="98" customFormat="1" ht="18.75">
      <c r="A630" s="143"/>
      <c r="B630" s="143"/>
      <c r="C630" s="143"/>
      <c r="D630" s="402"/>
      <c r="E630" s="223"/>
      <c r="F630" s="403"/>
      <c r="G630" s="405"/>
      <c r="H630" s="405"/>
      <c r="I630" s="405"/>
      <c r="J630" s="137"/>
      <c r="K630" s="383"/>
    </row>
    <row r="631" spans="1:11" s="98" customFormat="1" ht="18.75">
      <c r="A631" s="143"/>
      <c r="B631" s="143"/>
      <c r="C631" s="143"/>
      <c r="D631" s="402"/>
      <c r="E631" s="223"/>
      <c r="F631" s="403"/>
      <c r="G631" s="405"/>
      <c r="H631" s="405"/>
      <c r="I631" s="405"/>
      <c r="J631" s="137"/>
      <c r="K631" s="383"/>
    </row>
    <row r="632" spans="1:11" s="98" customFormat="1" ht="18.75">
      <c r="A632" s="143"/>
      <c r="B632" s="143"/>
      <c r="C632" s="143"/>
      <c r="D632" s="402"/>
      <c r="E632" s="409"/>
      <c r="F632" s="403"/>
      <c r="G632" s="405"/>
      <c r="H632" s="405"/>
      <c r="I632" s="405"/>
      <c r="J632" s="137"/>
      <c r="K632" s="383"/>
    </row>
    <row r="633" spans="1:11" s="98" customFormat="1" ht="18.75">
      <c r="A633" s="143"/>
      <c r="B633" s="143"/>
      <c r="C633" s="143"/>
      <c r="D633" s="402"/>
      <c r="E633" s="410"/>
      <c r="F633" s="403"/>
      <c r="G633" s="405"/>
      <c r="H633" s="405"/>
      <c r="I633" s="405"/>
      <c r="J633" s="137"/>
      <c r="K633" s="383"/>
    </row>
    <row r="634" spans="1:11" s="98" customFormat="1" ht="18.75">
      <c r="A634" s="143"/>
      <c r="B634" s="143"/>
      <c r="C634" s="143"/>
      <c r="D634" s="402"/>
      <c r="E634" s="410"/>
      <c r="F634" s="403"/>
      <c r="G634" s="405"/>
      <c r="H634" s="405"/>
      <c r="I634" s="405"/>
      <c r="J634" s="137"/>
      <c r="K634" s="383"/>
    </row>
    <row r="635" spans="1:11" s="98" customFormat="1" ht="18.75">
      <c r="A635" s="143"/>
      <c r="B635" s="143"/>
      <c r="C635" s="143"/>
      <c r="D635" s="402"/>
      <c r="E635" s="223"/>
      <c r="F635" s="403"/>
      <c r="G635" s="405"/>
      <c r="H635" s="405"/>
      <c r="I635" s="405"/>
      <c r="J635" s="142"/>
      <c r="K635" s="408"/>
    </row>
    <row r="636" spans="1:11" s="98" customFormat="1" ht="18.75">
      <c r="A636" s="143"/>
      <c r="B636" s="143"/>
      <c r="C636" s="143"/>
      <c r="D636" s="402"/>
      <c r="E636" s="223"/>
      <c r="F636" s="403"/>
      <c r="G636" s="405"/>
      <c r="H636" s="405"/>
      <c r="I636" s="405"/>
      <c r="J636" s="142"/>
      <c r="K636" s="408"/>
    </row>
    <row r="637" spans="1:11" s="98" customFormat="1" ht="18.75">
      <c r="A637" s="143"/>
      <c r="B637" s="143"/>
      <c r="C637" s="143"/>
      <c r="D637" s="402"/>
      <c r="E637" s="223"/>
      <c r="F637" s="403"/>
      <c r="G637" s="405"/>
      <c r="H637" s="405"/>
      <c r="I637" s="405"/>
      <c r="J637" s="137"/>
      <c r="K637" s="383"/>
    </row>
    <row r="638" spans="1:11" s="98" customFormat="1" ht="18.75">
      <c r="A638" s="143"/>
      <c r="B638" s="143"/>
      <c r="C638" s="143"/>
      <c r="D638" s="402"/>
      <c r="E638" s="223"/>
      <c r="F638" s="403"/>
      <c r="G638" s="405"/>
      <c r="H638" s="405"/>
      <c r="I638" s="405"/>
      <c r="J638" s="137"/>
      <c r="K638" s="383"/>
    </row>
    <row r="639" spans="1:10" s="76" customFormat="1" ht="18.75">
      <c r="A639" s="402"/>
      <c r="B639" s="402"/>
      <c r="C639" s="402"/>
      <c r="D639" s="402"/>
      <c r="E639" s="223"/>
      <c r="F639" s="403"/>
      <c r="G639" s="405"/>
      <c r="H639" s="405"/>
      <c r="I639" s="405"/>
      <c r="J639" s="142"/>
    </row>
    <row r="640" spans="1:10" s="76" customFormat="1" ht="18.75">
      <c r="A640" s="402"/>
      <c r="B640" s="402"/>
      <c r="C640" s="402"/>
      <c r="D640" s="402"/>
      <c r="E640" s="223"/>
      <c r="F640" s="403"/>
      <c r="G640" s="405"/>
      <c r="H640" s="405"/>
      <c r="I640" s="405"/>
      <c r="J640" s="142"/>
    </row>
    <row r="641" spans="1:10" s="76" customFormat="1" ht="18.75">
      <c r="A641" s="402"/>
      <c r="B641" s="402"/>
      <c r="C641" s="402"/>
      <c r="D641" s="402"/>
      <c r="E641" s="223"/>
      <c r="F641" s="403"/>
      <c r="G641" s="405"/>
      <c r="H641" s="405"/>
      <c r="I641" s="405"/>
      <c r="J641" s="141"/>
    </row>
    <row r="642" spans="1:10" s="76" customFormat="1" ht="18.75">
      <c r="A642" s="402"/>
      <c r="B642" s="402"/>
      <c r="C642" s="402"/>
      <c r="D642" s="402"/>
      <c r="E642" s="223"/>
      <c r="F642" s="403"/>
      <c r="G642" s="405"/>
      <c r="H642" s="405"/>
      <c r="I642" s="405"/>
      <c r="J642" s="141"/>
    </row>
    <row r="643" spans="1:10" s="76" customFormat="1" ht="18.75">
      <c r="A643" s="402"/>
      <c r="B643" s="402"/>
      <c r="C643" s="402"/>
      <c r="D643" s="402"/>
      <c r="E643" s="223"/>
      <c r="F643" s="403"/>
      <c r="G643" s="405"/>
      <c r="H643" s="405"/>
      <c r="I643" s="405"/>
      <c r="J643" s="141"/>
    </row>
    <row r="644" spans="1:10" s="76" customFormat="1" ht="18.75">
      <c r="A644" s="402"/>
      <c r="B644" s="402"/>
      <c r="C644" s="402"/>
      <c r="D644" s="402"/>
      <c r="E644" s="223"/>
      <c r="F644" s="403"/>
      <c r="G644" s="405"/>
      <c r="H644" s="405"/>
      <c r="I644" s="405"/>
      <c r="J644" s="141"/>
    </row>
    <row r="645" spans="1:10" s="76" customFormat="1" ht="18.75">
      <c r="A645" s="402"/>
      <c r="B645" s="402"/>
      <c r="C645" s="402"/>
      <c r="D645" s="402"/>
      <c r="E645" s="223"/>
      <c r="F645" s="403"/>
      <c r="G645" s="405"/>
      <c r="H645" s="405"/>
      <c r="I645" s="405"/>
      <c r="J645" s="141"/>
    </row>
    <row r="646" spans="1:10" s="76" customFormat="1" ht="18.75">
      <c r="A646" s="402"/>
      <c r="B646" s="402"/>
      <c r="C646" s="402"/>
      <c r="D646" s="402"/>
      <c r="E646" s="223"/>
      <c r="F646" s="403"/>
      <c r="G646" s="405"/>
      <c r="H646" s="405"/>
      <c r="I646" s="405"/>
      <c r="J646" s="141"/>
    </row>
    <row r="647" spans="1:10" s="76" customFormat="1" ht="18.75">
      <c r="A647" s="402"/>
      <c r="B647" s="402"/>
      <c r="C647" s="402"/>
      <c r="D647" s="402"/>
      <c r="E647" s="223"/>
      <c r="F647" s="403"/>
      <c r="G647" s="411"/>
      <c r="H647" s="411"/>
      <c r="I647" s="411"/>
      <c r="J647" s="141"/>
    </row>
    <row r="648" spans="1:10" s="76" customFormat="1" ht="18.75">
      <c r="A648" s="402"/>
      <c r="B648" s="402"/>
      <c r="C648" s="402"/>
      <c r="D648" s="402"/>
      <c r="E648" s="223"/>
      <c r="F648" s="403"/>
      <c r="G648" s="405"/>
      <c r="H648" s="405"/>
      <c r="I648" s="405"/>
      <c r="J648" s="141"/>
    </row>
    <row r="649" spans="1:10" s="76" customFormat="1" ht="16.5" customHeight="1">
      <c r="A649" s="402"/>
      <c r="B649" s="402"/>
      <c r="C649" s="402"/>
      <c r="D649" s="402"/>
      <c r="E649" s="223"/>
      <c r="F649" s="403"/>
      <c r="G649" s="405"/>
      <c r="H649" s="405"/>
      <c r="I649" s="405"/>
      <c r="J649" s="142"/>
    </row>
    <row r="650" spans="1:10" s="76" customFormat="1" ht="16.5" customHeight="1">
      <c r="A650" s="402"/>
      <c r="B650" s="402"/>
      <c r="C650" s="402"/>
      <c r="D650" s="402"/>
      <c r="E650" s="223"/>
      <c r="F650" s="403"/>
      <c r="G650" s="405"/>
      <c r="H650" s="405"/>
      <c r="I650" s="405"/>
      <c r="J650" s="141"/>
    </row>
    <row r="651" spans="1:10" s="76" customFormat="1" ht="16.5" customHeight="1">
      <c r="A651" s="402"/>
      <c r="B651" s="402"/>
      <c r="C651" s="402"/>
      <c r="D651" s="402"/>
      <c r="E651" s="223"/>
      <c r="F651" s="403"/>
      <c r="G651" s="412"/>
      <c r="H651" s="412"/>
      <c r="I651" s="412"/>
      <c r="J651" s="141"/>
    </row>
    <row r="652" spans="1:14" s="76" customFormat="1" ht="16.5" customHeight="1">
      <c r="A652" s="402"/>
      <c r="B652" s="402"/>
      <c r="C652" s="402"/>
      <c r="D652" s="402"/>
      <c r="E652" s="223"/>
      <c r="F652" s="403"/>
      <c r="G652" s="405"/>
      <c r="H652" s="405"/>
      <c r="I652" s="405"/>
      <c r="J652" s="142"/>
      <c r="K652" s="168"/>
      <c r="L652" s="168"/>
      <c r="N652" s="168"/>
    </row>
    <row r="653" spans="1:14" s="76" customFormat="1" ht="16.5" customHeight="1">
      <c r="A653" s="402"/>
      <c r="B653" s="402"/>
      <c r="C653" s="402"/>
      <c r="D653" s="402"/>
      <c r="E653" s="223"/>
      <c r="F653" s="403"/>
      <c r="G653" s="405"/>
      <c r="H653" s="405"/>
      <c r="I653" s="405"/>
      <c r="J653" s="142"/>
      <c r="K653" s="168"/>
      <c r="N653" s="168"/>
    </row>
    <row r="654" spans="1:11" s="76" customFormat="1" ht="16.5" customHeight="1">
      <c r="A654" s="402"/>
      <c r="B654" s="402"/>
      <c r="C654" s="402"/>
      <c r="D654" s="402"/>
      <c r="E654" s="223"/>
      <c r="F654" s="403"/>
      <c r="G654" s="405"/>
      <c r="H654" s="405"/>
      <c r="I654" s="405"/>
      <c r="J654" s="137"/>
      <c r="K654" s="168"/>
    </row>
    <row r="655" spans="1:10" s="76" customFormat="1" ht="30" customHeight="1">
      <c r="A655" s="402"/>
      <c r="B655" s="402"/>
      <c r="C655" s="402"/>
      <c r="D655" s="402"/>
      <c r="E655" s="223"/>
      <c r="F655" s="403"/>
      <c r="G655" s="405"/>
      <c r="H655" s="405"/>
      <c r="I655" s="405"/>
      <c r="J655" s="141"/>
    </row>
    <row r="656" spans="1:13" s="76" customFormat="1" ht="16.5" customHeight="1">
      <c r="A656" s="402"/>
      <c r="B656" s="402"/>
      <c r="C656" s="402"/>
      <c r="D656" s="402"/>
      <c r="E656" s="223"/>
      <c r="F656" s="403"/>
      <c r="G656" s="405"/>
      <c r="H656" s="405"/>
      <c r="I656" s="405"/>
      <c r="J656" s="141"/>
      <c r="M656" s="168"/>
    </row>
    <row r="657" spans="1:11" s="76" customFormat="1" ht="16.5" customHeight="1">
      <c r="A657" s="402"/>
      <c r="B657" s="402"/>
      <c r="C657" s="402"/>
      <c r="D657" s="402"/>
      <c r="E657" s="223"/>
      <c r="F657" s="403"/>
      <c r="G657" s="405"/>
      <c r="H657" s="405"/>
      <c r="I657" s="405"/>
      <c r="J657" s="142"/>
      <c r="K657" s="168"/>
    </row>
    <row r="658" spans="1:10" s="76" customFormat="1" ht="18.75">
      <c r="A658" s="402"/>
      <c r="B658" s="402"/>
      <c r="C658" s="402"/>
      <c r="D658" s="402"/>
      <c r="E658" s="223"/>
      <c r="F658" s="403"/>
      <c r="G658" s="405"/>
      <c r="H658" s="405"/>
      <c r="I658" s="405"/>
      <c r="J658" s="141"/>
    </row>
    <row r="659" spans="1:10" s="76" customFormat="1" ht="18.75">
      <c r="A659" s="402"/>
      <c r="B659" s="402"/>
      <c r="C659" s="402"/>
      <c r="D659" s="402"/>
      <c r="E659" s="223"/>
      <c r="F659" s="403"/>
      <c r="G659" s="405"/>
      <c r="H659" s="405"/>
      <c r="I659" s="405"/>
      <c r="J659" s="141"/>
    </row>
    <row r="660" spans="1:10" s="76" customFormat="1" ht="16.5" customHeight="1">
      <c r="A660" s="402"/>
      <c r="B660" s="402"/>
      <c r="C660" s="402"/>
      <c r="D660" s="402"/>
      <c r="E660" s="223"/>
      <c r="F660" s="403"/>
      <c r="G660" s="405"/>
      <c r="H660" s="405"/>
      <c r="I660" s="405"/>
      <c r="J660" s="141"/>
    </row>
    <row r="661" spans="1:10" s="76" customFormat="1" ht="23.25" customHeight="1">
      <c r="A661" s="402"/>
      <c r="B661" s="402"/>
      <c r="C661" s="402"/>
      <c r="D661" s="402"/>
      <c r="E661" s="413"/>
      <c r="F661" s="414"/>
      <c r="G661" s="415"/>
      <c r="H661" s="415"/>
      <c r="I661" s="415"/>
      <c r="J661" s="142"/>
    </row>
    <row r="662" spans="1:10" s="76" customFormat="1" ht="20.25" customHeight="1">
      <c r="A662" s="402"/>
      <c r="B662" s="402"/>
      <c r="C662" s="402"/>
      <c r="D662" s="402"/>
      <c r="E662" s="413"/>
      <c r="F662" s="403"/>
      <c r="G662" s="416"/>
      <c r="H662" s="416"/>
      <c r="I662" s="416"/>
      <c r="J662" s="141"/>
    </row>
    <row r="663" spans="1:11" s="98" customFormat="1" ht="15.75">
      <c r="A663" s="143"/>
      <c r="B663" s="143"/>
      <c r="C663" s="143"/>
      <c r="D663" s="143"/>
      <c r="E663" s="117"/>
      <c r="J663" s="135"/>
      <c r="K663" s="383"/>
    </row>
    <row r="664" spans="1:11" s="98" customFormat="1" ht="15.75">
      <c r="A664" s="143"/>
      <c r="B664" s="143"/>
      <c r="C664" s="143"/>
      <c r="D664" s="143"/>
      <c r="E664" s="117"/>
      <c r="J664" s="135"/>
      <c r="K664" s="383"/>
    </row>
    <row r="665" spans="1:11" s="98" customFormat="1" ht="15.75">
      <c r="A665" s="143"/>
      <c r="B665" s="143"/>
      <c r="C665" s="143"/>
      <c r="D665" s="143"/>
      <c r="E665" s="117"/>
      <c r="G665" s="387"/>
      <c r="J665" s="135"/>
      <c r="K665" s="383"/>
    </row>
    <row r="666" spans="1:11" s="98" customFormat="1" ht="15.75">
      <c r="A666" s="143"/>
      <c r="B666" s="143"/>
      <c r="C666" s="143"/>
      <c r="D666" s="143"/>
      <c r="E666" s="117"/>
      <c r="G666" s="387"/>
      <c r="J666" s="135"/>
      <c r="K666" s="383"/>
    </row>
    <row r="667" spans="1:11" s="98" customFormat="1" ht="15.75">
      <c r="A667" s="143"/>
      <c r="B667" s="143"/>
      <c r="C667" s="143"/>
      <c r="D667" s="143"/>
      <c r="E667" s="117"/>
      <c r="G667" s="387"/>
      <c r="J667" s="135"/>
      <c r="K667" s="383"/>
    </row>
    <row r="668" ht="15.75">
      <c r="I668" s="382"/>
    </row>
  </sheetData>
  <sheetProtection/>
  <autoFilter ref="A10:P542"/>
  <mergeCells count="36">
    <mergeCell ref="A6:I6"/>
    <mergeCell ref="E55:E56"/>
    <mergeCell ref="E68:E69"/>
    <mergeCell ref="E122:E123"/>
    <mergeCell ref="C34:C35"/>
    <mergeCell ref="B68:B69"/>
    <mergeCell ref="A50:A51"/>
    <mergeCell ref="B55:B56"/>
    <mergeCell ref="C44:C47"/>
    <mergeCell ref="C48:C53"/>
    <mergeCell ref="D55:D56"/>
    <mergeCell ref="C55:C56"/>
    <mergeCell ref="C63:C64"/>
    <mergeCell ref="D57:D58"/>
    <mergeCell ref="C137:C138"/>
    <mergeCell ref="C380:C381"/>
    <mergeCell ref="D68:D69"/>
    <mergeCell ref="D122:D123"/>
    <mergeCell ref="C68:C69"/>
    <mergeCell ref="E241:E242"/>
    <mergeCell ref="E208:E209"/>
    <mergeCell ref="C619:C622"/>
    <mergeCell ref="D208:D209"/>
    <mergeCell ref="D398:D399"/>
    <mergeCell ref="D241:D242"/>
    <mergeCell ref="D464:D465"/>
    <mergeCell ref="D444:D445"/>
    <mergeCell ref="D485:D486"/>
    <mergeCell ref="D535:D536"/>
    <mergeCell ref="D507:D508"/>
    <mergeCell ref="D488:D489"/>
    <mergeCell ref="D493:D494"/>
    <mergeCell ref="D514:D515"/>
    <mergeCell ref="E247:E248"/>
    <mergeCell ref="D247:D248"/>
    <mergeCell ref="D272:D273"/>
  </mergeCells>
  <printOptions/>
  <pageMargins left="1.1811023622047245" right="0.3937007874015748" top="1.1811023622047245" bottom="0.7874015748031497" header="0.1968503937007874" footer="0.1968503937007874"/>
  <pageSetup fitToHeight="26" fitToWidth="1" horizontalDpi="600" verticalDpi="600" orientation="landscape" paperSize="9" scale="59" r:id="rId1"/>
  <headerFooter differentFirst="1" alignWithMargins="0">
    <oddHeader>&amp;C&amp;P</oddHeader>
  </headerFooter>
  <rowBreaks count="1" manualBreakCount="1">
    <brk id="62" max="8"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421875" style="1" customWidth="1"/>
    <col min="2" max="2" width="35.8515625" style="1" customWidth="1"/>
    <col min="3" max="3" width="62.8515625" style="1" hidden="1" customWidth="1"/>
    <col min="4" max="4" width="12.57421875" style="1" hidden="1" customWidth="1"/>
    <col min="5" max="5" width="62.57421875" style="1" customWidth="1"/>
    <col min="6" max="6" width="13.421875" style="1" hidden="1" customWidth="1"/>
    <col min="7" max="7" width="15.421875" style="1" hidden="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196</v>
      </c>
      <c r="G1" s="13"/>
    </row>
    <row r="2" spans="5:7" ht="28.5" customHeight="1">
      <c r="E2" s="14" t="s">
        <v>197</v>
      </c>
      <c r="G2" s="13"/>
    </row>
    <row r="3" spans="3:7" ht="39.75" customHeight="1">
      <c r="C3" s="8"/>
      <c r="E3" s="14" t="s">
        <v>304</v>
      </c>
      <c r="G3" s="13"/>
    </row>
    <row r="5" spans="1:10" s="6" customFormat="1" ht="28.5" customHeight="1">
      <c r="A5" s="438" t="s">
        <v>332</v>
      </c>
      <c r="B5" s="438"/>
      <c r="C5" s="438"/>
      <c r="D5" s="438"/>
      <c r="E5" s="438"/>
      <c r="F5" s="438"/>
      <c r="G5" s="438"/>
      <c r="H5" s="49"/>
      <c r="J5" s="50"/>
    </row>
    <row r="6" spans="1:4" ht="5.25" customHeight="1">
      <c r="A6" s="63"/>
      <c r="B6" s="63"/>
      <c r="C6" s="63"/>
      <c r="D6" s="63"/>
    </row>
    <row r="7" spans="1:8" ht="16.5" customHeight="1">
      <c r="A7" s="63"/>
      <c r="B7" s="63"/>
      <c r="C7" s="63"/>
      <c r="D7" s="63"/>
      <c r="E7" s="63"/>
      <c r="F7" s="63"/>
      <c r="G7" s="68" t="s">
        <v>64</v>
      </c>
      <c r="H7" s="63"/>
    </row>
    <row r="8" spans="1:8" s="2" customFormat="1" ht="45.75" customHeight="1">
      <c r="A8" s="64" t="s">
        <v>33</v>
      </c>
      <c r="B8" s="436" t="s">
        <v>35</v>
      </c>
      <c r="C8" s="436" t="s">
        <v>59</v>
      </c>
      <c r="D8" s="436"/>
      <c r="E8" s="436" t="s">
        <v>62</v>
      </c>
      <c r="F8" s="436"/>
      <c r="G8" s="4" t="s">
        <v>63</v>
      </c>
      <c r="H8" s="439" t="s">
        <v>12</v>
      </c>
    </row>
    <row r="9" spans="1:8" s="2" customFormat="1" ht="57.75" customHeight="1">
      <c r="A9" s="64" t="s">
        <v>34</v>
      </c>
      <c r="B9" s="436"/>
      <c r="C9" s="4" t="s">
        <v>60</v>
      </c>
      <c r="D9" s="4" t="s">
        <v>61</v>
      </c>
      <c r="E9" s="4" t="s">
        <v>60</v>
      </c>
      <c r="F9" s="4" t="s">
        <v>61</v>
      </c>
      <c r="G9" s="4" t="s">
        <v>61</v>
      </c>
      <c r="H9" s="440"/>
    </row>
    <row r="10" spans="1:8" s="2" customFormat="1" ht="16.5" customHeight="1">
      <c r="A10" s="4">
        <v>1</v>
      </c>
      <c r="B10" s="4">
        <v>2</v>
      </c>
      <c r="C10" s="4">
        <v>3</v>
      </c>
      <c r="D10" s="4">
        <v>4</v>
      </c>
      <c r="E10" s="4">
        <v>5</v>
      </c>
      <c r="F10" s="4">
        <v>6</v>
      </c>
      <c r="G10" s="4">
        <v>7</v>
      </c>
      <c r="H10" s="4"/>
    </row>
    <row r="11" spans="1:9" s="2" customFormat="1" ht="31.5" hidden="1">
      <c r="A11" s="22" t="s">
        <v>132</v>
      </c>
      <c r="B11" s="23" t="s">
        <v>37</v>
      </c>
      <c r="C11" s="4"/>
      <c r="D11" s="24">
        <f>D13+D14+D23+D24+D26+D28+D29+D30</f>
        <v>4344270</v>
      </c>
      <c r="E11" s="4"/>
      <c r="F11" s="28">
        <f>F12+F15+F16+F20+F21+F23+F24+F26+F28+F29+F30+F14</f>
        <v>910383</v>
      </c>
      <c r="G11" s="28">
        <f>D11+F11</f>
        <v>5254653</v>
      </c>
      <c r="H11" s="71"/>
      <c r="I11" s="46"/>
    </row>
    <row r="12" spans="1:9" s="20" customFormat="1" ht="31.5" hidden="1">
      <c r="A12" s="437" t="s">
        <v>164</v>
      </c>
      <c r="B12" s="436" t="s">
        <v>165</v>
      </c>
      <c r="C12" s="4"/>
      <c r="D12" s="17"/>
      <c r="E12" s="4" t="s">
        <v>393</v>
      </c>
      <c r="F12" s="19">
        <v>253199</v>
      </c>
      <c r="G12" s="19">
        <f>D12+F12</f>
        <v>253199</v>
      </c>
      <c r="H12" s="4"/>
      <c r="I12" s="46"/>
    </row>
    <row r="13" spans="1:9" s="20" customFormat="1" ht="68.25" customHeight="1" hidden="1">
      <c r="A13" s="437"/>
      <c r="B13" s="436"/>
      <c r="C13" s="4" t="s">
        <v>362</v>
      </c>
      <c r="D13" s="17">
        <v>1315</v>
      </c>
      <c r="E13" s="4"/>
      <c r="F13" s="19"/>
      <c r="G13" s="19">
        <f aca="true" t="shared" si="0" ref="G13:G31">D13+F13</f>
        <v>1315</v>
      </c>
      <c r="H13" s="4"/>
      <c r="I13" s="46"/>
    </row>
    <row r="14" spans="1:9" s="20" customFormat="1" ht="51" customHeight="1" hidden="1">
      <c r="A14" s="437" t="s">
        <v>77</v>
      </c>
      <c r="B14" s="436" t="s">
        <v>103</v>
      </c>
      <c r="C14" s="4" t="s">
        <v>10</v>
      </c>
      <c r="D14" s="17">
        <v>480000</v>
      </c>
      <c r="E14" s="4"/>
      <c r="F14" s="9"/>
      <c r="G14" s="19">
        <f t="shared" si="0"/>
        <v>480000</v>
      </c>
      <c r="H14" s="4"/>
      <c r="I14" s="46"/>
    </row>
    <row r="15" spans="1:9" s="20" customFormat="1" ht="47.25" hidden="1">
      <c r="A15" s="437"/>
      <c r="B15" s="436"/>
      <c r="C15" s="4"/>
      <c r="D15" s="17"/>
      <c r="E15" s="35" t="s">
        <v>7</v>
      </c>
      <c r="F15" s="36">
        <v>41424</v>
      </c>
      <c r="G15" s="59">
        <f t="shared" si="0"/>
        <v>41424</v>
      </c>
      <c r="H15" s="4"/>
      <c r="I15" s="46"/>
    </row>
    <row r="16" spans="1:9" s="20" customFormat="1" ht="52.5" customHeight="1" hidden="1">
      <c r="A16" s="437" t="s">
        <v>83</v>
      </c>
      <c r="B16" s="436" t="s">
        <v>84</v>
      </c>
      <c r="C16" s="436"/>
      <c r="D16" s="17"/>
      <c r="E16" s="4" t="s">
        <v>386</v>
      </c>
      <c r="F16" s="19">
        <v>415760</v>
      </c>
      <c r="G16" s="19">
        <f t="shared" si="0"/>
        <v>415760</v>
      </c>
      <c r="H16" s="4"/>
      <c r="I16" s="46"/>
    </row>
    <row r="17" spans="1:9" s="20" customFormat="1" ht="44.25" customHeight="1" hidden="1">
      <c r="A17" s="437"/>
      <c r="B17" s="436"/>
      <c r="C17" s="436"/>
      <c r="D17" s="5"/>
      <c r="E17" s="4" t="s">
        <v>127</v>
      </c>
      <c r="F17" s="9"/>
      <c r="G17" s="19">
        <f t="shared" si="0"/>
        <v>0</v>
      </c>
      <c r="H17" s="4"/>
      <c r="I17" s="46"/>
    </row>
    <row r="18" spans="1:9" s="20" customFormat="1" ht="47.25" customHeight="1" hidden="1">
      <c r="A18" s="437"/>
      <c r="B18" s="436"/>
      <c r="C18" s="436"/>
      <c r="D18" s="5"/>
      <c r="E18" s="4" t="s">
        <v>126</v>
      </c>
      <c r="F18" s="19">
        <v>0</v>
      </c>
      <c r="G18" s="19">
        <f t="shared" si="0"/>
        <v>0</v>
      </c>
      <c r="H18" s="4"/>
      <c r="I18" s="46"/>
    </row>
    <row r="19" spans="1:9" s="20" customFormat="1" ht="15.75" hidden="1">
      <c r="A19" s="437"/>
      <c r="B19" s="436"/>
      <c r="C19" s="436"/>
      <c r="D19" s="5"/>
      <c r="E19" s="4"/>
      <c r="F19" s="19">
        <v>0</v>
      </c>
      <c r="G19" s="19">
        <f t="shared" si="0"/>
        <v>0</v>
      </c>
      <c r="H19" s="4"/>
      <c r="I19" s="46"/>
    </row>
    <row r="20" spans="1:9" s="20" customFormat="1" ht="222" customHeight="1" hidden="1">
      <c r="A20" s="18" t="s">
        <v>210</v>
      </c>
      <c r="B20" s="40" t="s">
        <v>211</v>
      </c>
      <c r="C20" s="4"/>
      <c r="D20" s="5"/>
      <c r="E20" s="4" t="s">
        <v>253</v>
      </c>
      <c r="F20" s="19"/>
      <c r="G20" s="19">
        <f t="shared" si="0"/>
        <v>0</v>
      </c>
      <c r="H20" s="4"/>
      <c r="I20" s="46"/>
    </row>
    <row r="21" spans="1:9" s="20" customFormat="1" ht="46.5" customHeight="1" hidden="1">
      <c r="A21" s="26">
        <v>240900</v>
      </c>
      <c r="B21" s="4" t="s">
        <v>104</v>
      </c>
      <c r="C21" s="16"/>
      <c r="D21" s="15"/>
      <c r="E21" s="4" t="s">
        <v>352</v>
      </c>
      <c r="F21" s="19">
        <v>200000</v>
      </c>
      <c r="G21" s="19">
        <f t="shared" si="0"/>
        <v>200000</v>
      </c>
      <c r="H21" s="4"/>
      <c r="I21" s="46"/>
    </row>
    <row r="22" spans="1:9" s="20" customFormat="1" ht="75" customHeight="1" hidden="1">
      <c r="A22" s="26">
        <v>250203</v>
      </c>
      <c r="B22" s="4" t="s">
        <v>191</v>
      </c>
      <c r="C22" s="4"/>
      <c r="D22" s="21">
        <v>0</v>
      </c>
      <c r="E22" s="4"/>
      <c r="F22" s="9"/>
      <c r="G22" s="19">
        <f t="shared" si="0"/>
        <v>0</v>
      </c>
      <c r="H22" s="4"/>
      <c r="I22" s="46"/>
    </row>
    <row r="23" spans="1:9" s="20" customFormat="1" ht="78.75" hidden="1">
      <c r="A23" s="435">
        <v>250404</v>
      </c>
      <c r="B23" s="436" t="s">
        <v>91</v>
      </c>
      <c r="C23" s="4" t="s">
        <v>356</v>
      </c>
      <c r="D23" s="21">
        <v>304955</v>
      </c>
      <c r="E23" s="9"/>
      <c r="F23" s="12"/>
      <c r="G23" s="19">
        <f t="shared" si="0"/>
        <v>304955</v>
      </c>
      <c r="H23" s="4"/>
      <c r="I23" s="46"/>
    </row>
    <row r="24" spans="1:9" s="20" customFormat="1" ht="47.25" hidden="1">
      <c r="A24" s="435"/>
      <c r="B24" s="436"/>
      <c r="C24" s="4" t="s">
        <v>355</v>
      </c>
      <c r="D24" s="17">
        <v>209200</v>
      </c>
      <c r="E24" s="4"/>
      <c r="F24" s="19">
        <v>0</v>
      </c>
      <c r="G24" s="19">
        <f t="shared" si="0"/>
        <v>209200</v>
      </c>
      <c r="H24" s="4"/>
      <c r="I24" s="46"/>
    </row>
    <row r="25" spans="1:9" s="20" customFormat="1" ht="32.25" customHeight="1" hidden="1">
      <c r="A25" s="435"/>
      <c r="B25" s="436"/>
      <c r="C25" s="4" t="s">
        <v>128</v>
      </c>
      <c r="D25" s="17">
        <v>120000</v>
      </c>
      <c r="E25" s="4" t="s">
        <v>128</v>
      </c>
      <c r="F25" s="19">
        <v>0</v>
      </c>
      <c r="G25" s="19">
        <f t="shared" si="0"/>
        <v>120000</v>
      </c>
      <c r="H25" s="4"/>
      <c r="I25" s="46"/>
    </row>
    <row r="26" spans="1:9" s="20" customFormat="1" ht="65.25" customHeight="1" hidden="1">
      <c r="A26" s="435"/>
      <c r="B26" s="436"/>
      <c r="C26" s="4" t="s">
        <v>350</v>
      </c>
      <c r="D26" s="17">
        <v>3348800</v>
      </c>
      <c r="E26" s="4"/>
      <c r="F26" s="19">
        <v>0</v>
      </c>
      <c r="G26" s="19">
        <f t="shared" si="0"/>
        <v>3348800</v>
      </c>
      <c r="H26" s="4"/>
      <c r="I26" s="46"/>
    </row>
    <row r="27" spans="1:9" s="20" customFormat="1" ht="38.25" customHeight="1" hidden="1">
      <c r="A27" s="435"/>
      <c r="B27" s="436"/>
      <c r="C27" s="4" t="s">
        <v>195</v>
      </c>
      <c r="D27" s="17">
        <v>0</v>
      </c>
      <c r="E27" s="4"/>
      <c r="F27" s="19"/>
      <c r="G27" s="19">
        <f t="shared" si="0"/>
        <v>0</v>
      </c>
      <c r="H27" s="4"/>
      <c r="I27" s="46"/>
    </row>
    <row r="28" spans="1:9" s="20" customFormat="1" ht="46.5" customHeight="1" hidden="1">
      <c r="A28" s="435"/>
      <c r="B28" s="436"/>
      <c r="C28" s="35" t="s">
        <v>263</v>
      </c>
      <c r="D28" s="38">
        <v>0</v>
      </c>
      <c r="E28" s="35"/>
      <c r="F28" s="36"/>
      <c r="G28" s="59">
        <f t="shared" si="0"/>
        <v>0</v>
      </c>
      <c r="H28" s="4"/>
      <c r="I28" s="46"/>
    </row>
    <row r="29" spans="1:9" s="20" customFormat="1" ht="62.25" customHeight="1" hidden="1">
      <c r="A29" s="435"/>
      <c r="B29" s="436"/>
      <c r="C29" s="4" t="s">
        <v>309</v>
      </c>
      <c r="D29" s="17"/>
      <c r="E29" s="35"/>
      <c r="F29" s="36"/>
      <c r="G29" s="19">
        <f t="shared" si="0"/>
        <v>0</v>
      </c>
      <c r="H29" s="4"/>
      <c r="I29" s="46"/>
    </row>
    <row r="30" spans="1:9" s="20" customFormat="1" ht="63" hidden="1">
      <c r="A30" s="435"/>
      <c r="B30" s="436"/>
      <c r="C30" s="4" t="s">
        <v>253</v>
      </c>
      <c r="D30" s="17"/>
      <c r="E30" s="4"/>
      <c r="F30" s="19"/>
      <c r="G30" s="19">
        <f t="shared" si="0"/>
        <v>0</v>
      </c>
      <c r="H30" s="4"/>
      <c r="I30" s="46"/>
    </row>
    <row r="31" spans="1:9" s="20" customFormat="1" ht="47.25">
      <c r="A31" s="22" t="s">
        <v>140</v>
      </c>
      <c r="B31" s="23" t="s">
        <v>48</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164</v>
      </c>
      <c r="B32" s="4" t="s">
        <v>165</v>
      </c>
      <c r="C32" s="4" t="s">
        <v>189</v>
      </c>
      <c r="D32" s="17"/>
      <c r="E32" s="4"/>
      <c r="F32" s="19"/>
      <c r="G32" s="9">
        <v>0</v>
      </c>
      <c r="H32" s="4"/>
      <c r="I32" s="46"/>
    </row>
    <row r="33" spans="1:9" s="20" customFormat="1" ht="66" customHeight="1" hidden="1">
      <c r="A33" s="18" t="s">
        <v>164</v>
      </c>
      <c r="B33" s="4" t="s">
        <v>165</v>
      </c>
      <c r="C33" s="4" t="s">
        <v>362</v>
      </c>
      <c r="D33" s="17">
        <v>885</v>
      </c>
      <c r="E33" s="4" t="s">
        <v>393</v>
      </c>
      <c r="F33" s="19">
        <v>14000</v>
      </c>
      <c r="G33" s="19">
        <f>D33+F33</f>
        <v>14885</v>
      </c>
      <c r="H33" s="4"/>
      <c r="I33" s="46"/>
    </row>
    <row r="34" spans="1:9" s="20" customFormat="1" ht="33" customHeight="1">
      <c r="A34" s="437" t="s">
        <v>66</v>
      </c>
      <c r="B34" s="436" t="s">
        <v>106</v>
      </c>
      <c r="C34" s="4" t="s">
        <v>425</v>
      </c>
      <c r="D34" s="17">
        <v>4567066</v>
      </c>
      <c r="E34" s="4" t="s">
        <v>406</v>
      </c>
      <c r="F34" s="19">
        <f>3158108-F35</f>
        <v>2760193</v>
      </c>
      <c r="G34" s="19">
        <f>D34+F34</f>
        <v>7327259</v>
      </c>
      <c r="H34" s="71" t="s">
        <v>13</v>
      </c>
      <c r="I34" s="46"/>
    </row>
    <row r="35" spans="1:9" s="20" customFormat="1" ht="47.25" hidden="1">
      <c r="A35" s="437"/>
      <c r="B35" s="436"/>
      <c r="C35" s="35" t="s">
        <v>7</v>
      </c>
      <c r="D35" s="38">
        <v>24450</v>
      </c>
      <c r="E35" s="35" t="s">
        <v>7</v>
      </c>
      <c r="F35" s="36">
        <v>397915</v>
      </c>
      <c r="G35" s="19">
        <f>D35+F35</f>
        <v>422365</v>
      </c>
      <c r="H35" s="4"/>
      <c r="I35" s="46"/>
    </row>
    <row r="36" spans="1:9" s="20" customFormat="1" ht="71.25" customHeight="1" hidden="1">
      <c r="A36" s="437"/>
      <c r="B36" s="436"/>
      <c r="C36" s="4" t="s">
        <v>362</v>
      </c>
      <c r="D36" s="17">
        <v>209486</v>
      </c>
      <c r="E36" s="35"/>
      <c r="F36" s="36"/>
      <c r="G36" s="19">
        <f>D36+F36</f>
        <v>209486</v>
      </c>
      <c r="H36" s="4"/>
      <c r="I36" s="46"/>
    </row>
    <row r="37" spans="1:9" s="20" customFormat="1" ht="35.25" customHeight="1">
      <c r="A37" s="437" t="s">
        <v>67</v>
      </c>
      <c r="B37" s="437" t="s">
        <v>107</v>
      </c>
      <c r="C37" s="4" t="s">
        <v>425</v>
      </c>
      <c r="D37" s="17">
        <v>6523141</v>
      </c>
      <c r="E37" s="4" t="s">
        <v>406</v>
      </c>
      <c r="F37" s="19">
        <f>5369916-F41</f>
        <v>3882915</v>
      </c>
      <c r="G37" s="19">
        <f>D37+F37</f>
        <v>10406056</v>
      </c>
      <c r="H37" s="71">
        <v>127071</v>
      </c>
      <c r="I37" s="46"/>
    </row>
    <row r="38" spans="1:9" s="20" customFormat="1" ht="32.25" customHeight="1" hidden="1">
      <c r="A38" s="437"/>
      <c r="B38" s="437"/>
      <c r="C38" s="4" t="s">
        <v>226</v>
      </c>
      <c r="D38" s="17"/>
      <c r="E38" s="4" t="s">
        <v>226</v>
      </c>
      <c r="F38" s="19"/>
      <c r="G38" s="19">
        <f aca="true" t="shared" si="1" ref="G38:G48">D38+F38</f>
        <v>0</v>
      </c>
      <c r="H38" s="4"/>
      <c r="I38" s="46"/>
    </row>
    <row r="39" spans="1:9" s="20" customFormat="1" ht="66" customHeight="1" hidden="1">
      <c r="A39" s="437"/>
      <c r="B39" s="437"/>
      <c r="C39" s="4" t="s">
        <v>226</v>
      </c>
      <c r="D39" s="17"/>
      <c r="E39" s="4" t="s">
        <v>226</v>
      </c>
      <c r="F39" s="19"/>
      <c r="G39" s="19">
        <f t="shared" si="1"/>
        <v>0</v>
      </c>
      <c r="H39" s="4"/>
      <c r="I39" s="46"/>
    </row>
    <row r="40" spans="1:9" s="20" customFormat="1" ht="35.25" customHeight="1">
      <c r="A40" s="437"/>
      <c r="B40" s="437"/>
      <c r="C40" s="4" t="s">
        <v>426</v>
      </c>
      <c r="D40" s="17">
        <v>522962</v>
      </c>
      <c r="E40" s="4" t="s">
        <v>426</v>
      </c>
      <c r="F40" s="19">
        <v>127071</v>
      </c>
      <c r="G40" s="19">
        <f t="shared" si="1"/>
        <v>650033</v>
      </c>
      <c r="H40" s="4" t="s">
        <v>13</v>
      </c>
      <c r="I40" s="46"/>
    </row>
    <row r="41" spans="1:9" s="20" customFormat="1" ht="47.25" hidden="1">
      <c r="A41" s="437"/>
      <c r="B41" s="437"/>
      <c r="C41" s="35" t="s">
        <v>7</v>
      </c>
      <c r="D41" s="38">
        <v>99122</v>
      </c>
      <c r="E41" s="35" t="s">
        <v>7</v>
      </c>
      <c r="F41" s="36">
        <v>1487001</v>
      </c>
      <c r="G41" s="19">
        <f>D41+F41</f>
        <v>1586123</v>
      </c>
      <c r="H41" s="4"/>
      <c r="I41" s="46"/>
    </row>
    <row r="42" spans="1:9" s="20" customFormat="1" ht="66" customHeight="1" hidden="1">
      <c r="A42" s="437"/>
      <c r="B42" s="437"/>
      <c r="C42" s="4" t="s">
        <v>362</v>
      </c>
      <c r="D42" s="17">
        <v>322041</v>
      </c>
      <c r="E42" s="35"/>
      <c r="F42" s="36"/>
      <c r="G42" s="19">
        <f t="shared" si="1"/>
        <v>322041</v>
      </c>
      <c r="H42" s="4"/>
      <c r="I42" s="46"/>
    </row>
    <row r="43" spans="1:9" s="20" customFormat="1" ht="35.25" customHeight="1">
      <c r="A43" s="437" t="s">
        <v>68</v>
      </c>
      <c r="B43" s="436" t="s">
        <v>108</v>
      </c>
      <c r="C43" s="4" t="s">
        <v>425</v>
      </c>
      <c r="D43" s="17">
        <v>1636</v>
      </c>
      <c r="E43" s="4" t="s">
        <v>406</v>
      </c>
      <c r="F43" s="19">
        <f>14800-F45</f>
        <v>0</v>
      </c>
      <c r="G43" s="19">
        <f t="shared" si="1"/>
        <v>1636</v>
      </c>
      <c r="H43" s="4"/>
      <c r="I43" s="46"/>
    </row>
    <row r="44" spans="1:9" s="20" customFormat="1" ht="70.5" customHeight="1" hidden="1">
      <c r="A44" s="437"/>
      <c r="B44" s="436"/>
      <c r="C44" s="4" t="s">
        <v>362</v>
      </c>
      <c r="D44" s="17">
        <v>5234</v>
      </c>
      <c r="E44" s="4"/>
      <c r="F44" s="19"/>
      <c r="G44" s="19">
        <f t="shared" si="1"/>
        <v>5234</v>
      </c>
      <c r="H44" s="4"/>
      <c r="I44" s="46"/>
    </row>
    <row r="45" spans="1:9" s="20" customFormat="1" ht="47.25" hidden="1">
      <c r="A45" s="437"/>
      <c r="B45" s="436"/>
      <c r="C45" s="4"/>
      <c r="D45" s="17"/>
      <c r="E45" s="35" t="s">
        <v>7</v>
      </c>
      <c r="F45" s="36">
        <v>14800</v>
      </c>
      <c r="G45" s="19">
        <f t="shared" si="1"/>
        <v>14800</v>
      </c>
      <c r="H45" s="71"/>
      <c r="I45" s="46"/>
    </row>
    <row r="46" spans="1:9" s="20" customFormat="1" ht="39" customHeight="1">
      <c r="A46" s="437" t="s">
        <v>25</v>
      </c>
      <c r="B46" s="436" t="s">
        <v>26</v>
      </c>
      <c r="C46" s="4" t="s">
        <v>427</v>
      </c>
      <c r="D46" s="17">
        <v>29827597</v>
      </c>
      <c r="E46" s="4" t="s">
        <v>407</v>
      </c>
      <c r="F46" s="19">
        <f>151878+393294-F49</f>
        <v>511523</v>
      </c>
      <c r="G46" s="19">
        <f t="shared" si="1"/>
        <v>30339120</v>
      </c>
      <c r="H46" s="4">
        <v>393294</v>
      </c>
      <c r="I46" s="46"/>
    </row>
    <row r="47" spans="1:9" s="20" customFormat="1" ht="46.5" customHeight="1" hidden="1">
      <c r="A47" s="437"/>
      <c r="B47" s="436"/>
      <c r="C47" s="4" t="s">
        <v>302</v>
      </c>
      <c r="D47" s="17">
        <v>0</v>
      </c>
      <c r="E47" s="4" t="s">
        <v>302</v>
      </c>
      <c r="F47" s="19">
        <v>0</v>
      </c>
      <c r="G47" s="19">
        <f t="shared" si="1"/>
        <v>0</v>
      </c>
      <c r="H47" s="4"/>
      <c r="I47" s="46"/>
    </row>
    <row r="48" spans="1:9" s="20" customFormat="1" ht="51.75" customHeight="1" hidden="1">
      <c r="A48" s="437"/>
      <c r="B48" s="436"/>
      <c r="C48" s="4"/>
      <c r="D48" s="21">
        <v>0</v>
      </c>
      <c r="E48" s="26"/>
      <c r="F48" s="16"/>
      <c r="G48" s="19">
        <f t="shared" si="1"/>
        <v>0</v>
      </c>
      <c r="H48" s="4"/>
      <c r="I48" s="46"/>
    </row>
    <row r="49" spans="1:9" s="20" customFormat="1" ht="47.25" hidden="1">
      <c r="A49" s="437"/>
      <c r="B49" s="436"/>
      <c r="C49" s="35" t="s">
        <v>7</v>
      </c>
      <c r="D49" s="36">
        <v>5000</v>
      </c>
      <c r="E49" s="35" t="s">
        <v>7</v>
      </c>
      <c r="F49" s="36">
        <v>33649</v>
      </c>
      <c r="G49" s="19">
        <f>D49+F49</f>
        <v>38649</v>
      </c>
      <c r="H49" s="4"/>
      <c r="I49" s="46"/>
    </row>
    <row r="50" spans="1:9" s="20" customFormat="1" ht="66.75" customHeight="1" hidden="1">
      <c r="A50" s="437"/>
      <c r="B50" s="436"/>
      <c r="C50" s="4" t="s">
        <v>362</v>
      </c>
      <c r="D50" s="19">
        <v>38395</v>
      </c>
      <c r="E50" s="35"/>
      <c r="F50" s="36"/>
      <c r="G50" s="19">
        <f aca="true" t="shared" si="2" ref="G50:G70">D50+F50</f>
        <v>38395</v>
      </c>
      <c r="H50" s="4"/>
      <c r="I50" s="46"/>
    </row>
    <row r="51" spans="1:9" s="20" customFormat="1" ht="63.75" customHeight="1" hidden="1">
      <c r="A51" s="18" t="s">
        <v>273</v>
      </c>
      <c r="B51" s="4" t="s">
        <v>272</v>
      </c>
      <c r="C51" s="4" t="s">
        <v>362</v>
      </c>
      <c r="D51" s="19">
        <v>2108</v>
      </c>
      <c r="E51" s="35"/>
      <c r="F51" s="36"/>
      <c r="G51" s="19">
        <f t="shared" si="2"/>
        <v>2108</v>
      </c>
      <c r="H51" s="4"/>
      <c r="I51" s="46"/>
    </row>
    <row r="52" spans="1:9" s="20" customFormat="1" ht="48" customHeight="1">
      <c r="A52" s="441" t="s">
        <v>364</v>
      </c>
      <c r="B52" s="439" t="s">
        <v>396</v>
      </c>
      <c r="C52" s="4" t="s">
        <v>425</v>
      </c>
      <c r="D52" s="19">
        <v>30000</v>
      </c>
      <c r="E52" s="4" t="s">
        <v>406</v>
      </c>
      <c r="F52" s="19">
        <v>400000</v>
      </c>
      <c r="G52" s="19">
        <f>D52+F52</f>
        <v>430000</v>
      </c>
      <c r="H52" s="4" t="s">
        <v>13</v>
      </c>
      <c r="I52" s="46"/>
    </row>
    <row r="53" spans="1:9" s="20" customFormat="1" ht="63.75" customHeight="1" hidden="1">
      <c r="A53" s="442"/>
      <c r="B53" s="440"/>
      <c r="C53" s="4" t="s">
        <v>362</v>
      </c>
      <c r="D53" s="19">
        <v>1684</v>
      </c>
      <c r="E53" s="4"/>
      <c r="F53" s="19"/>
      <c r="G53" s="19">
        <f>D53+F53</f>
        <v>1684</v>
      </c>
      <c r="H53" s="4"/>
      <c r="I53" s="46"/>
    </row>
    <row r="54" spans="1:9" s="51" customFormat="1" ht="37.5" customHeight="1">
      <c r="A54" s="441" t="s">
        <v>280</v>
      </c>
      <c r="B54" s="439" t="s">
        <v>281</v>
      </c>
      <c r="C54" s="4" t="s">
        <v>425</v>
      </c>
      <c r="D54" s="19">
        <v>60000</v>
      </c>
      <c r="E54" s="4" t="s">
        <v>406</v>
      </c>
      <c r="F54" s="19">
        <v>94430</v>
      </c>
      <c r="G54" s="19">
        <f t="shared" si="2"/>
        <v>154430</v>
      </c>
      <c r="H54" s="71" t="s">
        <v>13</v>
      </c>
      <c r="I54" s="52"/>
    </row>
    <row r="55" spans="1:9" s="51" customFormat="1" ht="46.5" customHeight="1" hidden="1">
      <c r="A55" s="442"/>
      <c r="B55" s="440"/>
      <c r="C55" s="4" t="s">
        <v>362</v>
      </c>
      <c r="D55" s="19">
        <v>10998</v>
      </c>
      <c r="E55" s="4"/>
      <c r="F55" s="19"/>
      <c r="G55" s="19">
        <f>D55</f>
        <v>10998</v>
      </c>
      <c r="H55" s="71"/>
      <c r="I55" s="52"/>
    </row>
    <row r="56" spans="1:9" s="20" customFormat="1" ht="60.75" customHeight="1" hidden="1">
      <c r="A56" s="18" t="s">
        <v>274</v>
      </c>
      <c r="B56" s="4" t="s">
        <v>275</v>
      </c>
      <c r="C56" s="4" t="s">
        <v>362</v>
      </c>
      <c r="D56" s="19">
        <v>8769</v>
      </c>
      <c r="E56" s="35"/>
      <c r="F56" s="36"/>
      <c r="G56" s="19">
        <f t="shared" si="2"/>
        <v>8769</v>
      </c>
      <c r="H56" s="4"/>
      <c r="I56" s="46"/>
    </row>
    <row r="57" spans="1:9" s="20" customFormat="1" ht="47.25" hidden="1">
      <c r="A57" s="25" t="s">
        <v>80</v>
      </c>
      <c r="B57" s="4" t="s">
        <v>27</v>
      </c>
      <c r="C57" s="4" t="s">
        <v>430</v>
      </c>
      <c r="D57" s="21">
        <v>463467</v>
      </c>
      <c r="E57" s="4"/>
      <c r="F57" s="16"/>
      <c r="G57" s="19">
        <f t="shared" si="2"/>
        <v>463467</v>
      </c>
      <c r="H57" s="4"/>
      <c r="I57" s="46"/>
    </row>
    <row r="58" spans="1:9" s="20" customFormat="1" ht="95.25" customHeight="1" hidden="1">
      <c r="A58" s="18" t="s">
        <v>69</v>
      </c>
      <c r="B58" s="4" t="s">
        <v>102</v>
      </c>
      <c r="C58" s="4" t="s">
        <v>428</v>
      </c>
      <c r="D58" s="17">
        <v>4377290</v>
      </c>
      <c r="E58" s="4"/>
      <c r="F58" s="9"/>
      <c r="G58" s="19">
        <f t="shared" si="2"/>
        <v>4377290</v>
      </c>
      <c r="H58" s="4"/>
      <c r="I58" s="46"/>
    </row>
    <row r="59" spans="1:9" s="20" customFormat="1" ht="35.25" customHeight="1" hidden="1">
      <c r="A59" s="18" t="s">
        <v>156</v>
      </c>
      <c r="B59" s="4" t="s">
        <v>157</v>
      </c>
      <c r="C59" s="4" t="s">
        <v>429</v>
      </c>
      <c r="D59" s="17">
        <v>199559</v>
      </c>
      <c r="E59" s="4"/>
      <c r="F59" s="9"/>
      <c r="G59" s="19">
        <f t="shared" si="2"/>
        <v>199559</v>
      </c>
      <c r="H59" s="4"/>
      <c r="I59" s="46"/>
    </row>
    <row r="60" spans="1:9" s="20" customFormat="1" ht="47.25" hidden="1">
      <c r="A60" s="18" t="s">
        <v>237</v>
      </c>
      <c r="B60" s="4" t="s">
        <v>238</v>
      </c>
      <c r="C60" s="4" t="s">
        <v>429</v>
      </c>
      <c r="D60" s="17">
        <v>99067</v>
      </c>
      <c r="E60" s="4"/>
      <c r="F60" s="19"/>
      <c r="G60" s="19">
        <f t="shared" si="2"/>
        <v>99067</v>
      </c>
      <c r="H60" s="4"/>
      <c r="I60" s="46"/>
    </row>
    <row r="61" spans="1:9" s="20" customFormat="1" ht="31.5" customHeight="1">
      <c r="A61" s="437" t="s">
        <v>109</v>
      </c>
      <c r="B61" s="436" t="s">
        <v>190</v>
      </c>
      <c r="C61" s="4" t="s">
        <v>429</v>
      </c>
      <c r="D61" s="17">
        <v>447580</v>
      </c>
      <c r="E61" s="4" t="s">
        <v>408</v>
      </c>
      <c r="F61" s="19">
        <f>39500-F62</f>
        <v>0</v>
      </c>
      <c r="G61" s="19">
        <f t="shared" si="2"/>
        <v>447580</v>
      </c>
      <c r="H61" s="4" t="s">
        <v>13</v>
      </c>
      <c r="I61" s="46"/>
    </row>
    <row r="62" spans="1:9" s="20" customFormat="1" ht="47.25" hidden="1">
      <c r="A62" s="437"/>
      <c r="B62" s="436"/>
      <c r="C62" s="35" t="s">
        <v>7</v>
      </c>
      <c r="D62" s="36">
        <v>1000</v>
      </c>
      <c r="E62" s="35" t="s">
        <v>7</v>
      </c>
      <c r="F62" s="36">
        <v>39500</v>
      </c>
      <c r="G62" s="19">
        <f t="shared" si="2"/>
        <v>40500</v>
      </c>
      <c r="H62" s="71"/>
      <c r="I62" s="46"/>
    </row>
    <row r="63" spans="1:9" s="20" customFormat="1" ht="65.25" customHeight="1" hidden="1">
      <c r="A63" s="437"/>
      <c r="B63" s="436"/>
      <c r="C63" s="4" t="s">
        <v>362</v>
      </c>
      <c r="D63" s="19">
        <v>23788</v>
      </c>
      <c r="E63" s="35"/>
      <c r="F63" s="36"/>
      <c r="G63" s="19">
        <f t="shared" si="2"/>
        <v>23788</v>
      </c>
      <c r="H63" s="4"/>
      <c r="I63" s="46"/>
    </row>
    <row r="64" spans="1:9" s="20" customFormat="1" ht="47.25" hidden="1">
      <c r="A64" s="18" t="s">
        <v>154</v>
      </c>
      <c r="B64" s="4" t="s">
        <v>155</v>
      </c>
      <c r="C64" s="4" t="s">
        <v>0</v>
      </c>
      <c r="D64" s="17">
        <v>733099</v>
      </c>
      <c r="E64" s="4"/>
      <c r="F64" s="19"/>
      <c r="G64" s="19">
        <f t="shared" si="2"/>
        <v>733099</v>
      </c>
      <c r="H64" s="4"/>
      <c r="I64" s="46"/>
    </row>
    <row r="65" spans="1:9" s="20" customFormat="1" ht="63" hidden="1">
      <c r="A65" s="435">
        <v>130112</v>
      </c>
      <c r="B65" s="436" t="s">
        <v>91</v>
      </c>
      <c r="C65" s="4" t="s">
        <v>362</v>
      </c>
      <c r="D65" s="17">
        <v>1046</v>
      </c>
      <c r="E65" s="4"/>
      <c r="F65" s="19"/>
      <c r="G65" s="19">
        <f t="shared" si="2"/>
        <v>1046</v>
      </c>
      <c r="H65" s="4"/>
      <c r="I65" s="46"/>
    </row>
    <row r="66" spans="1:9" s="20" customFormat="1" ht="37.5" customHeight="1">
      <c r="A66" s="435"/>
      <c r="B66" s="436"/>
      <c r="C66" s="4" t="s">
        <v>1</v>
      </c>
      <c r="D66" s="21">
        <v>453294</v>
      </c>
      <c r="E66" s="4" t="s">
        <v>1</v>
      </c>
      <c r="F66" s="12">
        <v>42880</v>
      </c>
      <c r="G66" s="19">
        <f t="shared" si="2"/>
        <v>496174</v>
      </c>
      <c r="H66" s="71">
        <v>42880</v>
      </c>
      <c r="I66" s="46"/>
    </row>
    <row r="67" spans="1:9" s="20" customFormat="1" ht="31.5" hidden="1">
      <c r="A67" s="437" t="s">
        <v>83</v>
      </c>
      <c r="B67" s="436" t="s">
        <v>84</v>
      </c>
      <c r="C67" s="4"/>
      <c r="D67" s="5"/>
      <c r="E67" s="4" t="s">
        <v>409</v>
      </c>
      <c r="F67" s="12">
        <v>8667311</v>
      </c>
      <c r="G67" s="19">
        <f t="shared" si="2"/>
        <v>8667311</v>
      </c>
      <c r="H67" s="71"/>
      <c r="I67" s="46"/>
    </row>
    <row r="68" spans="1:9" s="20" customFormat="1" ht="31.5" hidden="1">
      <c r="A68" s="437"/>
      <c r="B68" s="436"/>
      <c r="C68" s="4"/>
      <c r="D68" s="5"/>
      <c r="E68" s="4" t="s">
        <v>410</v>
      </c>
      <c r="F68" s="12">
        <v>1248451</v>
      </c>
      <c r="G68" s="19">
        <f t="shared" si="2"/>
        <v>1248451</v>
      </c>
      <c r="H68" s="4"/>
      <c r="I68" s="46"/>
    </row>
    <row r="69" spans="1:9" s="20" customFormat="1" ht="31.5" hidden="1">
      <c r="A69" s="437"/>
      <c r="B69" s="436"/>
      <c r="C69" s="4"/>
      <c r="D69" s="5"/>
      <c r="E69" s="4" t="s">
        <v>411</v>
      </c>
      <c r="F69" s="12">
        <v>1065845</v>
      </c>
      <c r="G69" s="19">
        <f t="shared" si="2"/>
        <v>1065845</v>
      </c>
      <c r="H69" s="4"/>
      <c r="I69" s="46"/>
    </row>
    <row r="70" spans="1:9" s="20" customFormat="1" ht="31.5" hidden="1">
      <c r="A70" s="4">
        <v>240601</v>
      </c>
      <c r="B70" s="4" t="s">
        <v>105</v>
      </c>
      <c r="C70" s="4"/>
      <c r="D70" s="5"/>
      <c r="E70" s="4" t="s">
        <v>345</v>
      </c>
      <c r="F70" s="17">
        <v>119053</v>
      </c>
      <c r="G70" s="19">
        <f t="shared" si="2"/>
        <v>119053</v>
      </c>
      <c r="H70" s="71"/>
      <c r="I70" s="46"/>
    </row>
    <row r="71" spans="1:9" s="20" customFormat="1" ht="77.25" customHeight="1" hidden="1">
      <c r="A71" s="25" t="s">
        <v>23</v>
      </c>
      <c r="B71" s="4" t="s">
        <v>24</v>
      </c>
      <c r="C71" s="439" t="s">
        <v>405</v>
      </c>
      <c r="D71" s="15">
        <v>2065077</v>
      </c>
      <c r="E71" s="4" t="s">
        <v>405</v>
      </c>
      <c r="F71" s="16">
        <v>31358</v>
      </c>
      <c r="G71" s="19">
        <f>D71+F71</f>
        <v>2096435</v>
      </c>
      <c r="H71" s="4"/>
      <c r="I71" s="46"/>
    </row>
    <row r="72" spans="1:9" s="20" customFormat="1" ht="94.5" hidden="1">
      <c r="A72" s="25" t="s">
        <v>299</v>
      </c>
      <c r="B72" s="4" t="s">
        <v>300</v>
      </c>
      <c r="C72" s="440"/>
      <c r="D72" s="15">
        <v>50000</v>
      </c>
      <c r="E72" s="4"/>
      <c r="F72" s="16"/>
      <c r="G72" s="19">
        <f>D72+F72</f>
        <v>50000</v>
      </c>
      <c r="H72" s="4"/>
      <c r="I72" s="46"/>
    </row>
    <row r="73" spans="1:9" s="20" customFormat="1" ht="46.5" customHeight="1">
      <c r="A73" s="22" t="s">
        <v>141</v>
      </c>
      <c r="B73" s="23" t="s">
        <v>49</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164</v>
      </c>
      <c r="B74" s="4" t="s">
        <v>165</v>
      </c>
      <c r="C74" s="4" t="s">
        <v>363</v>
      </c>
      <c r="D74" s="17">
        <v>2829</v>
      </c>
      <c r="E74" s="4" t="s">
        <v>393</v>
      </c>
      <c r="F74" s="19">
        <v>7000</v>
      </c>
      <c r="G74" s="19">
        <f>D74+F74</f>
        <v>9829</v>
      </c>
      <c r="H74" s="4"/>
      <c r="I74" s="46"/>
    </row>
    <row r="75" spans="1:9" s="20" customFormat="1" ht="52.5" customHeight="1">
      <c r="A75" s="437" t="s">
        <v>71</v>
      </c>
      <c r="B75" s="436" t="s">
        <v>18</v>
      </c>
      <c r="C75" s="4" t="s">
        <v>289</v>
      </c>
      <c r="D75" s="17">
        <v>0</v>
      </c>
      <c r="E75" s="4" t="s">
        <v>289</v>
      </c>
      <c r="F75" s="19">
        <v>4059683</v>
      </c>
      <c r="G75" s="19">
        <f>D75+F75</f>
        <v>4059683</v>
      </c>
      <c r="H75" s="71">
        <v>299733</v>
      </c>
      <c r="I75" s="46"/>
    </row>
    <row r="76" spans="1:9" s="20" customFormat="1" ht="51.75" customHeight="1" hidden="1">
      <c r="A76" s="437"/>
      <c r="B76" s="436"/>
      <c r="C76" s="4"/>
      <c r="D76" s="17">
        <v>0</v>
      </c>
      <c r="E76" s="4"/>
      <c r="F76" s="19">
        <v>0</v>
      </c>
      <c r="G76" s="19">
        <f aca="true" t="shared" si="3" ref="G76:G94">D76+F76</f>
        <v>0</v>
      </c>
      <c r="H76" s="4"/>
      <c r="I76" s="46"/>
    </row>
    <row r="77" spans="1:9" s="20" customFormat="1" ht="54.75" customHeight="1" hidden="1">
      <c r="A77" s="437"/>
      <c r="B77" s="436"/>
      <c r="C77" s="4" t="s">
        <v>290</v>
      </c>
      <c r="D77" s="17">
        <v>406050</v>
      </c>
      <c r="E77" s="4"/>
      <c r="F77" s="19"/>
      <c r="G77" s="19">
        <f t="shared" si="3"/>
        <v>406050</v>
      </c>
      <c r="H77" s="4"/>
      <c r="I77" s="46"/>
    </row>
    <row r="78" spans="1:9" s="20" customFormat="1" ht="47.25" hidden="1">
      <c r="A78" s="437"/>
      <c r="B78" s="436"/>
      <c r="C78" s="35" t="s">
        <v>7</v>
      </c>
      <c r="D78" s="38">
        <v>38750</v>
      </c>
      <c r="E78" s="35" t="s">
        <v>7</v>
      </c>
      <c r="F78" s="36">
        <v>473495</v>
      </c>
      <c r="G78" s="19">
        <f t="shared" si="3"/>
        <v>512245</v>
      </c>
      <c r="H78" s="4"/>
      <c r="I78" s="46"/>
    </row>
    <row r="79" spans="1:9" s="20" customFormat="1" ht="63" hidden="1">
      <c r="A79" s="437"/>
      <c r="B79" s="436"/>
      <c r="C79" s="4" t="s">
        <v>363</v>
      </c>
      <c r="D79" s="17">
        <v>9003</v>
      </c>
      <c r="E79" s="35"/>
      <c r="F79" s="36"/>
      <c r="G79" s="19">
        <f t="shared" si="3"/>
        <v>9003</v>
      </c>
      <c r="H79" s="4"/>
      <c r="I79" s="46"/>
    </row>
    <row r="80" spans="1:9" s="20" customFormat="1" ht="50.25" customHeight="1">
      <c r="A80" s="437" t="s">
        <v>110</v>
      </c>
      <c r="B80" s="436" t="s">
        <v>228</v>
      </c>
      <c r="C80" s="4" t="s">
        <v>289</v>
      </c>
      <c r="D80" s="17">
        <v>0</v>
      </c>
      <c r="E80" s="4" t="s">
        <v>289</v>
      </c>
      <c r="F80" s="19">
        <v>699466</v>
      </c>
      <c r="G80" s="19">
        <f t="shared" si="3"/>
        <v>699466</v>
      </c>
      <c r="H80" s="71" t="s">
        <v>13</v>
      </c>
      <c r="I80" s="46"/>
    </row>
    <row r="81" spans="1:9" s="20" customFormat="1" ht="47.25" hidden="1">
      <c r="A81" s="437"/>
      <c r="B81" s="436"/>
      <c r="C81" s="35" t="s">
        <v>7</v>
      </c>
      <c r="D81" s="36">
        <v>0</v>
      </c>
      <c r="E81" s="35" t="s">
        <v>7</v>
      </c>
      <c r="F81" s="36">
        <v>96920</v>
      </c>
      <c r="G81" s="19">
        <f t="shared" si="3"/>
        <v>96920</v>
      </c>
      <c r="H81" s="4"/>
      <c r="I81" s="46"/>
    </row>
    <row r="82" spans="1:9" s="20" customFormat="1" ht="15.75" hidden="1">
      <c r="A82" s="437"/>
      <c r="B82" s="436"/>
      <c r="C82" s="4"/>
      <c r="D82" s="19">
        <v>0</v>
      </c>
      <c r="E82" s="35"/>
      <c r="F82" s="36"/>
      <c r="G82" s="19">
        <f t="shared" si="3"/>
        <v>0</v>
      </c>
      <c r="H82" s="4"/>
      <c r="I82" s="46"/>
    </row>
    <row r="83" spans="1:9" s="20" customFormat="1" ht="47.25">
      <c r="A83" s="437" t="s">
        <v>72</v>
      </c>
      <c r="B83" s="436" t="s">
        <v>19</v>
      </c>
      <c r="C83" s="4" t="s">
        <v>289</v>
      </c>
      <c r="D83" s="17">
        <v>0</v>
      </c>
      <c r="E83" s="4" t="s">
        <v>289</v>
      </c>
      <c r="F83" s="19">
        <v>668216</v>
      </c>
      <c r="G83" s="19">
        <f t="shared" si="3"/>
        <v>668216</v>
      </c>
      <c r="H83" s="71" t="s">
        <v>13</v>
      </c>
      <c r="I83" s="46"/>
    </row>
    <row r="84" spans="1:9" s="20" customFormat="1" ht="47.25" hidden="1">
      <c r="A84" s="437"/>
      <c r="B84" s="436"/>
      <c r="C84" s="35" t="s">
        <v>7</v>
      </c>
      <c r="D84" s="36">
        <v>28156</v>
      </c>
      <c r="E84" s="35" t="s">
        <v>7</v>
      </c>
      <c r="F84" s="36">
        <v>10000</v>
      </c>
      <c r="G84" s="19">
        <f t="shared" si="3"/>
        <v>38156</v>
      </c>
      <c r="H84" s="4"/>
      <c r="I84" s="46"/>
    </row>
    <row r="85" spans="1:9" s="20" customFormat="1" ht="15.75" hidden="1">
      <c r="A85" s="437"/>
      <c r="B85" s="436"/>
      <c r="C85" s="4"/>
      <c r="D85" s="19">
        <v>0</v>
      </c>
      <c r="E85" s="35"/>
      <c r="F85" s="36"/>
      <c r="G85" s="19">
        <f t="shared" si="3"/>
        <v>0</v>
      </c>
      <c r="H85" s="4"/>
      <c r="I85" s="46"/>
    </row>
    <row r="86" spans="1:9" s="20" customFormat="1" ht="47.25" customHeight="1">
      <c r="A86" s="437" t="s">
        <v>73</v>
      </c>
      <c r="B86" s="436" t="s">
        <v>20</v>
      </c>
      <c r="C86" s="4" t="s">
        <v>289</v>
      </c>
      <c r="D86" s="17">
        <v>0</v>
      </c>
      <c r="E86" s="4" t="s">
        <v>289</v>
      </c>
      <c r="F86" s="19">
        <v>6000</v>
      </c>
      <c r="G86" s="19">
        <f t="shared" si="3"/>
        <v>6000</v>
      </c>
      <c r="H86" s="71">
        <v>265928</v>
      </c>
      <c r="I86" s="46"/>
    </row>
    <row r="87" spans="1:9" s="20" customFormat="1" ht="47.25" hidden="1">
      <c r="A87" s="437"/>
      <c r="B87" s="436"/>
      <c r="C87" s="4"/>
      <c r="D87" s="17"/>
      <c r="E87" s="35" t="s">
        <v>7</v>
      </c>
      <c r="F87" s="36">
        <v>6000</v>
      </c>
      <c r="G87" s="19">
        <f t="shared" si="3"/>
        <v>6000</v>
      </c>
      <c r="H87" s="4"/>
      <c r="I87" s="46"/>
    </row>
    <row r="88" spans="1:9" s="20" customFormat="1" ht="66" customHeight="1" hidden="1">
      <c r="A88" s="437"/>
      <c r="B88" s="436"/>
      <c r="C88" s="4"/>
      <c r="D88" s="17">
        <v>0</v>
      </c>
      <c r="E88" s="35"/>
      <c r="F88" s="36"/>
      <c r="G88" s="19">
        <f t="shared" si="3"/>
        <v>0</v>
      </c>
      <c r="H88" s="4"/>
      <c r="I88" s="46"/>
    </row>
    <row r="89" spans="1:9" s="53" customFormat="1" ht="50.25" customHeight="1">
      <c r="A89" s="441" t="s">
        <v>282</v>
      </c>
      <c r="B89" s="439" t="s">
        <v>283</v>
      </c>
      <c r="C89" s="4" t="s">
        <v>289</v>
      </c>
      <c r="D89" s="17">
        <v>0</v>
      </c>
      <c r="E89" s="4" t="s">
        <v>289</v>
      </c>
      <c r="F89" s="19">
        <v>5905334</v>
      </c>
      <c r="G89" s="19">
        <f t="shared" si="3"/>
        <v>5905334</v>
      </c>
      <c r="H89" s="71">
        <v>19555</v>
      </c>
      <c r="I89" s="46"/>
    </row>
    <row r="90" spans="1:9" s="53" customFormat="1" ht="60" customHeight="1" hidden="1">
      <c r="A90" s="442"/>
      <c r="B90" s="440"/>
      <c r="C90" s="4" t="s">
        <v>363</v>
      </c>
      <c r="D90" s="17">
        <v>4380</v>
      </c>
      <c r="E90" s="4"/>
      <c r="F90" s="19"/>
      <c r="G90" s="19">
        <f>D90+F90</f>
        <v>4380</v>
      </c>
      <c r="H90" s="71"/>
      <c r="I90" s="46"/>
    </row>
    <row r="91" spans="1:9" s="20" customFormat="1" ht="47.25" hidden="1">
      <c r="A91" s="18" t="s">
        <v>111</v>
      </c>
      <c r="B91" s="4" t="s">
        <v>112</v>
      </c>
      <c r="C91" s="4" t="s">
        <v>241</v>
      </c>
      <c r="D91" s="17">
        <v>9209185</v>
      </c>
      <c r="E91" s="4"/>
      <c r="F91" s="9"/>
      <c r="G91" s="19">
        <f t="shared" si="3"/>
        <v>9209185</v>
      </c>
      <c r="H91" s="4"/>
      <c r="I91" s="46"/>
    </row>
    <row r="92" spans="1:9" s="20" customFormat="1" ht="63.75" customHeight="1" hidden="1">
      <c r="A92" s="18" t="s">
        <v>395</v>
      </c>
      <c r="B92" s="4" t="s">
        <v>396</v>
      </c>
      <c r="C92" s="4"/>
      <c r="D92" s="17"/>
      <c r="E92" s="4" t="s">
        <v>394</v>
      </c>
      <c r="F92" s="19">
        <v>35000</v>
      </c>
      <c r="G92" s="19">
        <f t="shared" si="3"/>
        <v>35000</v>
      </c>
      <c r="H92" s="4"/>
      <c r="I92" s="46"/>
    </row>
    <row r="93" spans="1:9" s="20" customFormat="1" ht="46.5" customHeight="1" hidden="1">
      <c r="A93" s="18" t="s">
        <v>75</v>
      </c>
      <c r="B93" s="4" t="s">
        <v>229</v>
      </c>
      <c r="C93" s="4" t="s">
        <v>9</v>
      </c>
      <c r="D93" s="17">
        <v>3146037</v>
      </c>
      <c r="E93" s="4"/>
      <c r="F93" s="9"/>
      <c r="G93" s="19">
        <f t="shared" si="3"/>
        <v>3146037</v>
      </c>
      <c r="H93" s="4"/>
      <c r="I93" s="46"/>
    </row>
    <row r="94" spans="1:9" s="20" customFormat="1" ht="52.5" customHeight="1" hidden="1">
      <c r="A94" s="18" t="s">
        <v>83</v>
      </c>
      <c r="B94" s="4" t="s">
        <v>84</v>
      </c>
      <c r="C94" s="4"/>
      <c r="D94" s="5"/>
      <c r="E94" s="4" t="s">
        <v>394</v>
      </c>
      <c r="F94" s="19">
        <v>11179599</v>
      </c>
      <c r="G94" s="19">
        <f t="shared" si="3"/>
        <v>11179599</v>
      </c>
      <c r="H94" s="71"/>
      <c r="I94" s="46"/>
    </row>
    <row r="95" spans="1:9" s="20" customFormat="1" ht="36" customHeight="1" hidden="1">
      <c r="A95" s="437" t="s">
        <v>70</v>
      </c>
      <c r="B95" s="436" t="s">
        <v>104</v>
      </c>
      <c r="C95" s="4"/>
      <c r="D95" s="5"/>
      <c r="E95" s="4" t="s">
        <v>129</v>
      </c>
      <c r="F95" s="12"/>
      <c r="G95" s="9">
        <v>0</v>
      </c>
      <c r="H95" s="4"/>
      <c r="I95" s="46"/>
    </row>
    <row r="96" spans="1:9" s="20" customFormat="1" ht="33" customHeight="1" hidden="1">
      <c r="A96" s="437"/>
      <c r="B96" s="436"/>
      <c r="C96" s="4"/>
      <c r="D96" s="5"/>
      <c r="E96" s="4" t="s">
        <v>130</v>
      </c>
      <c r="F96" s="12"/>
      <c r="G96" s="9">
        <v>0</v>
      </c>
      <c r="H96" s="4"/>
      <c r="I96" s="46"/>
    </row>
    <row r="97" spans="1:9" s="20" customFormat="1" ht="49.5" customHeight="1" hidden="1">
      <c r="A97" s="22" t="s">
        <v>142</v>
      </c>
      <c r="B97" s="23" t="s">
        <v>50</v>
      </c>
      <c r="C97" s="4"/>
      <c r="D97" s="28">
        <f>D100+D103+D105+D106+D108+D109+D110+D111+D112+D113+D117+D119+D120+D101</f>
        <v>13820054</v>
      </c>
      <c r="E97" s="9"/>
      <c r="F97" s="28">
        <f>F98+F101+F105+F106+F108+F111+F114+F115</f>
        <v>4962683</v>
      </c>
      <c r="G97" s="28">
        <f>D97+F97</f>
        <v>18782737</v>
      </c>
      <c r="H97" s="71"/>
      <c r="I97" s="46"/>
    </row>
    <row r="98" spans="1:9" s="20" customFormat="1" ht="31.5" hidden="1">
      <c r="A98" s="437" t="s">
        <v>164</v>
      </c>
      <c r="B98" s="436" t="s">
        <v>165</v>
      </c>
      <c r="C98" s="4"/>
      <c r="D98" s="19"/>
      <c r="E98" s="4" t="s">
        <v>393</v>
      </c>
      <c r="F98" s="19">
        <v>523900</v>
      </c>
      <c r="G98" s="19">
        <f>D98+F98</f>
        <v>523900</v>
      </c>
      <c r="H98" s="4"/>
      <c r="I98" s="46"/>
    </row>
    <row r="99" spans="1:9" s="20" customFormat="1" ht="96.75" customHeight="1" hidden="1">
      <c r="A99" s="437"/>
      <c r="B99" s="436"/>
      <c r="C99" s="4" t="s">
        <v>227</v>
      </c>
      <c r="D99" s="17">
        <v>0</v>
      </c>
      <c r="E99" s="4"/>
      <c r="F99" s="9"/>
      <c r="G99" s="19">
        <f aca="true" t="shared" si="4" ref="G99:G120">D99+F99</f>
        <v>0</v>
      </c>
      <c r="H99" s="4"/>
      <c r="I99" s="46"/>
    </row>
    <row r="100" spans="1:9" s="20" customFormat="1" ht="64.5" customHeight="1" hidden="1">
      <c r="A100" s="437"/>
      <c r="B100" s="436"/>
      <c r="C100" s="4" t="s">
        <v>363</v>
      </c>
      <c r="D100" s="19">
        <v>5519</v>
      </c>
      <c r="E100" s="4"/>
      <c r="F100" s="9"/>
      <c r="G100" s="19">
        <f t="shared" si="4"/>
        <v>5519</v>
      </c>
      <c r="H100" s="4"/>
      <c r="I100" s="46"/>
    </row>
    <row r="101" spans="1:9" s="20" customFormat="1" ht="51.75" customHeight="1" hidden="1">
      <c r="A101" s="437" t="s">
        <v>78</v>
      </c>
      <c r="B101" s="436" t="s">
        <v>233</v>
      </c>
      <c r="C101" s="4" t="s">
        <v>363</v>
      </c>
      <c r="D101" s="19">
        <v>239</v>
      </c>
      <c r="E101" s="4" t="s">
        <v>412</v>
      </c>
      <c r="F101" s="19">
        <v>119850</v>
      </c>
      <c r="G101" s="19">
        <f t="shared" si="4"/>
        <v>120089</v>
      </c>
      <c r="H101" s="4"/>
      <c r="I101" s="46"/>
    </row>
    <row r="102" spans="1:9" s="20" customFormat="1" ht="63" hidden="1">
      <c r="A102" s="437"/>
      <c r="B102" s="436"/>
      <c r="C102" s="4" t="s">
        <v>279</v>
      </c>
      <c r="D102" s="17">
        <v>0</v>
      </c>
      <c r="E102" s="4"/>
      <c r="F102" s="19"/>
      <c r="G102" s="19">
        <f t="shared" si="4"/>
        <v>0</v>
      </c>
      <c r="H102" s="4"/>
      <c r="I102" s="46"/>
    </row>
    <row r="103" spans="1:9" s="20" customFormat="1" ht="47.25" hidden="1">
      <c r="A103" s="18" t="s">
        <v>79</v>
      </c>
      <c r="B103" s="4" t="s">
        <v>234</v>
      </c>
      <c r="C103" s="4" t="s">
        <v>412</v>
      </c>
      <c r="D103" s="17">
        <v>201763</v>
      </c>
      <c r="E103" s="4"/>
      <c r="F103" s="9"/>
      <c r="G103" s="19">
        <f t="shared" si="4"/>
        <v>201763</v>
      </c>
      <c r="H103" s="4"/>
      <c r="I103" s="46"/>
    </row>
    <row r="104" spans="1:9" s="20" customFormat="1" ht="47.25" hidden="1">
      <c r="A104" s="18" t="s">
        <v>80</v>
      </c>
      <c r="B104" s="4" t="s">
        <v>235</v>
      </c>
      <c r="C104" s="4"/>
      <c r="D104" s="17"/>
      <c r="E104" s="4"/>
      <c r="F104" s="9"/>
      <c r="G104" s="19">
        <f t="shared" si="4"/>
        <v>0</v>
      </c>
      <c r="H104" s="4"/>
      <c r="I104" s="46"/>
    </row>
    <row r="105" spans="1:9" s="20" customFormat="1" ht="47.25" customHeight="1" hidden="1">
      <c r="A105" s="437" t="s">
        <v>162</v>
      </c>
      <c r="B105" s="436" t="s">
        <v>163</v>
      </c>
      <c r="C105" s="4" t="s">
        <v>388</v>
      </c>
      <c r="D105" s="17">
        <v>3925134</v>
      </c>
      <c r="E105" s="4" t="s">
        <v>413</v>
      </c>
      <c r="F105" s="19">
        <v>53060</v>
      </c>
      <c r="G105" s="19">
        <f t="shared" si="4"/>
        <v>3978194</v>
      </c>
      <c r="H105" s="4"/>
      <c r="I105" s="46"/>
    </row>
    <row r="106" spans="1:9" s="20" customFormat="1" ht="50.25" customHeight="1" hidden="1">
      <c r="A106" s="437"/>
      <c r="B106" s="436"/>
      <c r="C106" s="4" t="s">
        <v>337</v>
      </c>
      <c r="D106" s="17">
        <v>24192</v>
      </c>
      <c r="E106" s="4" t="s">
        <v>337</v>
      </c>
      <c r="F106" s="19">
        <v>24192</v>
      </c>
      <c r="G106" s="19">
        <f t="shared" si="4"/>
        <v>48384</v>
      </c>
      <c r="H106" s="4"/>
      <c r="I106" s="46"/>
    </row>
    <row r="107" spans="1:9" s="20" customFormat="1" ht="110.25" customHeight="1" hidden="1">
      <c r="A107" s="437"/>
      <c r="B107" s="436"/>
      <c r="C107" s="4"/>
      <c r="D107" s="17"/>
      <c r="E107" s="4"/>
      <c r="F107" s="9"/>
      <c r="G107" s="19">
        <f t="shared" si="4"/>
        <v>0</v>
      </c>
      <c r="H107" s="4"/>
      <c r="I107" s="46"/>
    </row>
    <row r="108" spans="1:9" s="20" customFormat="1" ht="51" customHeight="1" hidden="1">
      <c r="A108" s="437"/>
      <c r="B108" s="436"/>
      <c r="C108" s="35" t="s">
        <v>7</v>
      </c>
      <c r="D108" s="37">
        <v>3500</v>
      </c>
      <c r="E108" s="35" t="s">
        <v>7</v>
      </c>
      <c r="F108" s="37">
        <v>23400</v>
      </c>
      <c r="G108" s="19">
        <f t="shared" si="4"/>
        <v>26900</v>
      </c>
      <c r="H108" s="4"/>
      <c r="I108" s="46"/>
    </row>
    <row r="109" spans="1:9" s="20" customFormat="1" ht="63" hidden="1">
      <c r="A109" s="437"/>
      <c r="B109" s="436"/>
      <c r="C109" s="4" t="s">
        <v>363</v>
      </c>
      <c r="D109" s="9">
        <v>8307</v>
      </c>
      <c r="E109" s="35"/>
      <c r="F109" s="37"/>
      <c r="G109" s="19">
        <f t="shared" si="4"/>
        <v>8307</v>
      </c>
      <c r="H109" s="4"/>
      <c r="I109" s="46"/>
    </row>
    <row r="110" spans="1:9" s="20" customFormat="1" ht="49.5" customHeight="1" hidden="1">
      <c r="A110" s="437" t="s">
        <v>22</v>
      </c>
      <c r="B110" s="436" t="s">
        <v>16</v>
      </c>
      <c r="C110" s="4" t="s">
        <v>389</v>
      </c>
      <c r="D110" s="17">
        <v>972100</v>
      </c>
      <c r="E110" s="4"/>
      <c r="F110" s="9"/>
      <c r="G110" s="19">
        <f t="shared" si="4"/>
        <v>972100</v>
      </c>
      <c r="H110" s="4"/>
      <c r="I110" s="46"/>
    </row>
    <row r="111" spans="1:9" s="20" customFormat="1" ht="47.25" hidden="1">
      <c r="A111" s="437"/>
      <c r="B111" s="436"/>
      <c r="C111" s="35" t="s">
        <v>263</v>
      </c>
      <c r="D111" s="37">
        <v>0</v>
      </c>
      <c r="E111" s="35" t="s">
        <v>263</v>
      </c>
      <c r="F111" s="37">
        <v>0</v>
      </c>
      <c r="G111" s="19">
        <f t="shared" si="4"/>
        <v>0</v>
      </c>
      <c r="H111" s="4"/>
      <c r="I111" s="46"/>
    </row>
    <row r="112" spans="1:9" s="20" customFormat="1" ht="48" customHeight="1" hidden="1">
      <c r="A112" s="437" t="s">
        <v>85</v>
      </c>
      <c r="B112" s="436" t="s">
        <v>92</v>
      </c>
      <c r="C112" s="4" t="s">
        <v>389</v>
      </c>
      <c r="D112" s="17">
        <v>7134400</v>
      </c>
      <c r="E112" s="4"/>
      <c r="F112" s="9"/>
      <c r="G112" s="19">
        <f>D112+F112</f>
        <v>7134400</v>
      </c>
      <c r="H112" s="4"/>
      <c r="I112" s="46"/>
    </row>
    <row r="113" spans="1:9" s="20" customFormat="1" ht="47.25" hidden="1">
      <c r="A113" s="437"/>
      <c r="B113" s="436"/>
      <c r="C113" s="35" t="s">
        <v>263</v>
      </c>
      <c r="D113" s="38">
        <v>0</v>
      </c>
      <c r="E113" s="35"/>
      <c r="F113" s="37"/>
      <c r="G113" s="19">
        <f t="shared" si="4"/>
        <v>0</v>
      </c>
      <c r="H113" s="4"/>
      <c r="I113" s="46"/>
    </row>
    <row r="114" spans="1:9" s="20" customFormat="1" ht="48" customHeight="1" hidden="1">
      <c r="A114" s="437" t="s">
        <v>83</v>
      </c>
      <c r="B114" s="436" t="s">
        <v>84</v>
      </c>
      <c r="C114" s="4"/>
      <c r="D114" s="17"/>
      <c r="E114" s="4" t="s">
        <v>266</v>
      </c>
      <c r="F114" s="12">
        <v>0</v>
      </c>
      <c r="G114" s="19">
        <f t="shared" si="4"/>
        <v>0</v>
      </c>
      <c r="H114" s="4"/>
      <c r="I114" s="46"/>
    </row>
    <row r="115" spans="1:9" s="20" customFormat="1" ht="45.75" customHeight="1" hidden="1">
      <c r="A115" s="437"/>
      <c r="B115" s="436"/>
      <c r="C115" s="4"/>
      <c r="D115" s="5"/>
      <c r="E115" s="4" t="s">
        <v>414</v>
      </c>
      <c r="F115" s="12">
        <v>4218281</v>
      </c>
      <c r="G115" s="19">
        <f t="shared" si="4"/>
        <v>4218281</v>
      </c>
      <c r="H115" s="4"/>
      <c r="I115" s="46"/>
    </row>
    <row r="116" spans="1:9" s="20" customFormat="1" ht="52.5" customHeight="1" hidden="1">
      <c r="A116" s="18" t="s">
        <v>32</v>
      </c>
      <c r="B116" s="436" t="s">
        <v>231</v>
      </c>
      <c r="C116" s="4" t="s">
        <v>131</v>
      </c>
      <c r="D116" s="17"/>
      <c r="E116" s="4"/>
      <c r="F116" s="16"/>
      <c r="G116" s="19">
        <f t="shared" si="4"/>
        <v>0</v>
      </c>
      <c r="H116" s="4"/>
      <c r="I116" s="46"/>
    </row>
    <row r="117" spans="1:9" s="20" customFormat="1" ht="53.25" customHeight="1" hidden="1">
      <c r="A117" s="437" t="s">
        <v>32</v>
      </c>
      <c r="B117" s="436"/>
      <c r="C117" s="4" t="s">
        <v>389</v>
      </c>
      <c r="D117" s="17">
        <v>174150</v>
      </c>
      <c r="E117" s="4"/>
      <c r="F117" s="16"/>
      <c r="G117" s="19">
        <f t="shared" si="4"/>
        <v>174150</v>
      </c>
      <c r="H117" s="4"/>
      <c r="I117" s="46"/>
    </row>
    <row r="118" spans="1:9" s="20" customFormat="1" ht="62.25" customHeight="1" hidden="1">
      <c r="A118" s="437"/>
      <c r="B118" s="436"/>
      <c r="C118" s="4" t="s">
        <v>227</v>
      </c>
      <c r="D118" s="17"/>
      <c r="E118" s="4"/>
      <c r="F118" s="16"/>
      <c r="G118" s="19">
        <f t="shared" si="4"/>
        <v>0</v>
      </c>
      <c r="H118" s="4"/>
      <c r="I118" s="46"/>
    </row>
    <row r="119" spans="1:9" s="20" customFormat="1" ht="57" customHeight="1" hidden="1">
      <c r="A119" s="18" t="s">
        <v>86</v>
      </c>
      <c r="B119" s="4" t="s">
        <v>232</v>
      </c>
      <c r="C119" s="4" t="s">
        <v>389</v>
      </c>
      <c r="D119" s="17">
        <v>500000</v>
      </c>
      <c r="E119" s="4"/>
      <c r="F119" s="16"/>
      <c r="G119" s="19">
        <f t="shared" si="4"/>
        <v>500000</v>
      </c>
      <c r="H119" s="4"/>
      <c r="I119" s="46"/>
    </row>
    <row r="120" spans="1:9" s="20" customFormat="1" ht="51" customHeight="1" hidden="1">
      <c r="A120" s="18" t="s">
        <v>116</v>
      </c>
      <c r="B120" s="4" t="s">
        <v>219</v>
      </c>
      <c r="C120" s="4" t="s">
        <v>389</v>
      </c>
      <c r="D120" s="17">
        <v>870750</v>
      </c>
      <c r="E120" s="4"/>
      <c r="F120" s="16"/>
      <c r="G120" s="19">
        <f t="shared" si="4"/>
        <v>870750</v>
      </c>
      <c r="H120" s="4"/>
      <c r="I120" s="46"/>
    </row>
    <row r="121" spans="1:9" s="20" customFormat="1" ht="68.25" customHeight="1" hidden="1">
      <c r="A121" s="22" t="s">
        <v>175</v>
      </c>
      <c r="B121" s="23" t="s">
        <v>179</v>
      </c>
      <c r="C121" s="4"/>
      <c r="D121" s="24">
        <v>0</v>
      </c>
      <c r="E121" s="4"/>
      <c r="F121" s="24">
        <v>0</v>
      </c>
      <c r="G121" s="24">
        <v>0</v>
      </c>
      <c r="H121" s="4"/>
      <c r="I121" s="46"/>
    </row>
    <row r="122" spans="1:9" s="20" customFormat="1" ht="31.5" hidden="1">
      <c r="A122" s="18" t="s">
        <v>164</v>
      </c>
      <c r="B122" s="4" t="s">
        <v>165</v>
      </c>
      <c r="C122" s="4" t="s">
        <v>176</v>
      </c>
      <c r="D122" s="17"/>
      <c r="E122" s="4" t="s">
        <v>176</v>
      </c>
      <c r="F122" s="12"/>
      <c r="G122" s="9">
        <v>0</v>
      </c>
      <c r="H122" s="4"/>
      <c r="I122" s="46"/>
    </row>
    <row r="123" spans="1:9" s="20" customFormat="1" ht="63" hidden="1">
      <c r="A123" s="22" t="s">
        <v>186</v>
      </c>
      <c r="B123" s="23" t="s">
        <v>187</v>
      </c>
      <c r="C123" s="4"/>
      <c r="D123" s="24">
        <f>D124</f>
        <v>0</v>
      </c>
      <c r="E123" s="4"/>
      <c r="F123" s="24">
        <f>F124</f>
        <v>7000</v>
      </c>
      <c r="G123" s="24">
        <f>D123+F123</f>
        <v>7000</v>
      </c>
      <c r="H123" s="4"/>
      <c r="I123" s="46"/>
    </row>
    <row r="124" spans="1:9" s="20" customFormat="1" ht="31.5" hidden="1">
      <c r="A124" s="18" t="s">
        <v>164</v>
      </c>
      <c r="B124" s="4" t="s">
        <v>165</v>
      </c>
      <c r="C124" s="4"/>
      <c r="D124" s="17"/>
      <c r="E124" s="4" t="s">
        <v>393</v>
      </c>
      <c r="F124" s="12">
        <v>7000</v>
      </c>
      <c r="G124" s="19">
        <f>D124+F124</f>
        <v>7000</v>
      </c>
      <c r="H124" s="4"/>
      <c r="I124" s="46"/>
    </row>
    <row r="125" spans="1:9" s="20" customFormat="1" ht="35.25" customHeight="1">
      <c r="A125" s="22" t="s">
        <v>147</v>
      </c>
      <c r="B125" s="23" t="s">
        <v>53</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164</v>
      </c>
      <c r="B126" s="4" t="s">
        <v>165</v>
      </c>
      <c r="C126" s="4" t="s">
        <v>178</v>
      </c>
      <c r="D126" s="17"/>
      <c r="E126" s="4"/>
      <c r="F126" s="19"/>
      <c r="G126" s="16">
        <v>0</v>
      </c>
      <c r="H126" s="4"/>
      <c r="I126" s="46"/>
    </row>
    <row r="127" spans="1:9" s="20" customFormat="1" ht="54" customHeight="1">
      <c r="A127" s="437" t="s">
        <v>158</v>
      </c>
      <c r="B127" s="436" t="s">
        <v>159</v>
      </c>
      <c r="C127" s="4" t="s">
        <v>6</v>
      </c>
      <c r="D127" s="17">
        <v>599140</v>
      </c>
      <c r="E127" s="4" t="s">
        <v>6</v>
      </c>
      <c r="F127" s="19">
        <v>1321</v>
      </c>
      <c r="G127" s="12">
        <f>D127+F127</f>
        <v>600461</v>
      </c>
      <c r="H127" s="71">
        <v>0</v>
      </c>
      <c r="I127" s="46"/>
    </row>
    <row r="128" spans="1:9" s="20" customFormat="1" ht="65.25" customHeight="1" hidden="1">
      <c r="A128" s="437"/>
      <c r="B128" s="436"/>
      <c r="C128" s="4" t="s">
        <v>363</v>
      </c>
      <c r="D128" s="17">
        <v>279</v>
      </c>
      <c r="E128" s="4"/>
      <c r="F128" s="19"/>
      <c r="G128" s="12">
        <f aca="true" t="shared" si="5" ref="G128:G144">D128+F128</f>
        <v>279</v>
      </c>
      <c r="H128" s="4"/>
      <c r="I128" s="46"/>
    </row>
    <row r="129" spans="1:9" s="20" customFormat="1" ht="54" customHeight="1">
      <c r="A129" s="437" t="s">
        <v>160</v>
      </c>
      <c r="B129" s="436" t="s">
        <v>161</v>
      </c>
      <c r="C129" s="4" t="s">
        <v>6</v>
      </c>
      <c r="D129" s="17">
        <v>2188093</v>
      </c>
      <c r="E129" s="4" t="s">
        <v>6</v>
      </c>
      <c r="F129" s="19">
        <v>207061</v>
      </c>
      <c r="G129" s="12">
        <f t="shared" si="5"/>
        <v>2395154</v>
      </c>
      <c r="H129" s="71">
        <v>0</v>
      </c>
      <c r="I129" s="46"/>
    </row>
    <row r="130" spans="1:9" s="20" customFormat="1" ht="47.25" hidden="1">
      <c r="A130" s="437"/>
      <c r="B130" s="436"/>
      <c r="C130" s="35" t="s">
        <v>7</v>
      </c>
      <c r="D130" s="36">
        <v>500</v>
      </c>
      <c r="E130" s="35" t="s">
        <v>7</v>
      </c>
      <c r="F130" s="36">
        <v>59018</v>
      </c>
      <c r="G130" s="12">
        <f t="shared" si="5"/>
        <v>59518</v>
      </c>
      <c r="H130" s="4"/>
      <c r="I130" s="46"/>
    </row>
    <row r="131" spans="1:9" s="20" customFormat="1" ht="66.75" customHeight="1" hidden="1">
      <c r="A131" s="437"/>
      <c r="B131" s="436"/>
      <c r="C131" s="4" t="s">
        <v>363</v>
      </c>
      <c r="D131" s="19">
        <v>2511</v>
      </c>
      <c r="E131" s="35"/>
      <c r="F131" s="36"/>
      <c r="G131" s="12">
        <f t="shared" si="5"/>
        <v>2511</v>
      </c>
      <c r="H131" s="4"/>
      <c r="I131" s="46"/>
    </row>
    <row r="132" spans="1:9" s="20" customFormat="1" ht="54" customHeight="1">
      <c r="A132" s="441" t="s">
        <v>168</v>
      </c>
      <c r="B132" s="439" t="s">
        <v>169</v>
      </c>
      <c r="C132" s="4" t="s">
        <v>6</v>
      </c>
      <c r="D132" s="17">
        <v>1255924</v>
      </c>
      <c r="E132" s="4" t="s">
        <v>6</v>
      </c>
      <c r="F132" s="19">
        <v>1931965</v>
      </c>
      <c r="G132" s="12">
        <f t="shared" si="5"/>
        <v>3187889</v>
      </c>
      <c r="H132" s="73">
        <f>149214+58070+7900+19790+167074+132486</f>
        <v>534534</v>
      </c>
      <c r="I132" s="72"/>
    </row>
    <row r="133" spans="1:9" s="20" customFormat="1" ht="47.25" hidden="1">
      <c r="A133" s="443"/>
      <c r="B133" s="444"/>
      <c r="C133" s="35" t="s">
        <v>7</v>
      </c>
      <c r="D133" s="36">
        <v>0</v>
      </c>
      <c r="E133" s="35" t="s">
        <v>7</v>
      </c>
      <c r="F133" s="36">
        <v>4920</v>
      </c>
      <c r="G133" s="12">
        <f t="shared" si="5"/>
        <v>4920</v>
      </c>
      <c r="H133" s="4"/>
      <c r="I133" s="46"/>
    </row>
    <row r="134" spans="1:9" s="20" customFormat="1" ht="63" hidden="1">
      <c r="A134" s="442"/>
      <c r="B134" s="440"/>
      <c r="C134" s="4" t="s">
        <v>363</v>
      </c>
      <c r="D134" s="19">
        <v>5829</v>
      </c>
      <c r="E134" s="35"/>
      <c r="F134" s="36"/>
      <c r="G134" s="12">
        <f>D134+F134</f>
        <v>5829</v>
      </c>
      <c r="H134" s="4"/>
      <c r="I134" s="46"/>
    </row>
    <row r="135" spans="1:9" s="20" customFormat="1" ht="51" customHeight="1">
      <c r="A135" s="437" t="s">
        <v>166</v>
      </c>
      <c r="B135" s="436" t="s">
        <v>167</v>
      </c>
      <c r="C135" s="4" t="s">
        <v>6</v>
      </c>
      <c r="D135" s="17">
        <v>536069</v>
      </c>
      <c r="E135" s="4" t="s">
        <v>6</v>
      </c>
      <c r="F135" s="19">
        <v>1820736</v>
      </c>
      <c r="G135" s="12">
        <f t="shared" si="5"/>
        <v>2356805</v>
      </c>
      <c r="H135" s="71">
        <v>321482</v>
      </c>
      <c r="I135" s="46"/>
    </row>
    <row r="136" spans="1:9" s="20" customFormat="1" ht="63" hidden="1">
      <c r="A136" s="437"/>
      <c r="B136" s="436"/>
      <c r="C136" s="4" t="s">
        <v>363</v>
      </c>
      <c r="D136" s="17">
        <v>2232</v>
      </c>
      <c r="E136" s="35"/>
      <c r="F136" s="36"/>
      <c r="G136" s="12">
        <f t="shared" si="5"/>
        <v>2232</v>
      </c>
      <c r="H136" s="4"/>
      <c r="I136" s="46"/>
    </row>
    <row r="137" spans="1:9" s="20" customFormat="1" ht="66" customHeight="1" hidden="1">
      <c r="A137" s="437"/>
      <c r="B137" s="436"/>
      <c r="C137" s="4"/>
      <c r="D137" s="17"/>
      <c r="E137" s="35" t="s">
        <v>7</v>
      </c>
      <c r="F137" s="36">
        <v>3000</v>
      </c>
      <c r="G137" s="12">
        <f t="shared" si="5"/>
        <v>3000</v>
      </c>
      <c r="H137" s="4"/>
      <c r="I137" s="46"/>
    </row>
    <row r="138" spans="1:9" s="20" customFormat="1" ht="47.25" hidden="1">
      <c r="A138" s="445">
        <v>110300</v>
      </c>
      <c r="B138" s="439" t="s">
        <v>29</v>
      </c>
      <c r="C138" s="4" t="s">
        <v>8</v>
      </c>
      <c r="D138" s="21">
        <v>1114809</v>
      </c>
      <c r="E138" s="4"/>
      <c r="F138" s="36"/>
      <c r="G138" s="12">
        <f t="shared" si="5"/>
        <v>1114809</v>
      </c>
      <c r="H138" s="4"/>
      <c r="I138" s="46"/>
    </row>
    <row r="139" spans="1:9" s="20" customFormat="1" ht="63" hidden="1">
      <c r="A139" s="446"/>
      <c r="B139" s="440"/>
      <c r="C139" s="4" t="s">
        <v>363</v>
      </c>
      <c r="D139" s="21">
        <v>13116</v>
      </c>
      <c r="E139" s="4"/>
      <c r="F139" s="36"/>
      <c r="G139" s="12">
        <f t="shared" si="5"/>
        <v>13116</v>
      </c>
      <c r="H139" s="4"/>
      <c r="I139" s="46"/>
    </row>
    <row r="140" spans="1:9" s="20" customFormat="1" ht="31.5">
      <c r="A140" s="435">
        <v>110502</v>
      </c>
      <c r="B140" s="436" t="s">
        <v>17</v>
      </c>
      <c r="C140" s="4" t="s">
        <v>3</v>
      </c>
      <c r="D140" s="15">
        <v>1693819</v>
      </c>
      <c r="E140" s="4" t="s">
        <v>415</v>
      </c>
      <c r="F140" s="16">
        <v>42020</v>
      </c>
      <c r="G140" s="12">
        <f t="shared" si="5"/>
        <v>1735839</v>
      </c>
      <c r="H140" s="71"/>
      <c r="I140" s="46"/>
    </row>
    <row r="141" spans="1:9" s="20" customFormat="1" ht="51" customHeight="1">
      <c r="A141" s="435"/>
      <c r="B141" s="436"/>
      <c r="C141" s="4" t="s">
        <v>6</v>
      </c>
      <c r="D141" s="15">
        <v>925412</v>
      </c>
      <c r="E141" s="4" t="s">
        <v>6</v>
      </c>
      <c r="F141" s="12">
        <v>39696</v>
      </c>
      <c r="G141" s="12">
        <f t="shared" si="5"/>
        <v>965108</v>
      </c>
      <c r="H141" s="4"/>
      <c r="I141" s="46"/>
    </row>
    <row r="142" spans="1:9" s="20" customFormat="1" ht="55.5" customHeight="1" hidden="1">
      <c r="A142" s="435"/>
      <c r="B142" s="436"/>
      <c r="C142" s="4" t="s">
        <v>2</v>
      </c>
      <c r="D142" s="15">
        <v>20000</v>
      </c>
      <c r="E142" s="35"/>
      <c r="F142" s="16"/>
      <c r="G142" s="12">
        <f t="shared" si="5"/>
        <v>20000</v>
      </c>
      <c r="H142" s="4"/>
      <c r="I142" s="46"/>
    </row>
    <row r="143" spans="1:9" s="20" customFormat="1" ht="68.25" customHeight="1" hidden="1">
      <c r="A143" s="435"/>
      <c r="B143" s="436"/>
      <c r="C143" s="4" t="s">
        <v>363</v>
      </c>
      <c r="D143" s="15">
        <v>5280</v>
      </c>
      <c r="E143" s="4"/>
      <c r="F143" s="16"/>
      <c r="G143" s="12">
        <f t="shared" si="5"/>
        <v>5280</v>
      </c>
      <c r="H143" s="4"/>
      <c r="I143" s="46"/>
    </row>
    <row r="144" spans="1:9" s="20" customFormat="1" ht="47.25" hidden="1">
      <c r="A144" s="435"/>
      <c r="B144" s="436"/>
      <c r="C144" s="4"/>
      <c r="D144" s="15"/>
      <c r="E144" s="35" t="s">
        <v>263</v>
      </c>
      <c r="F144" s="36"/>
      <c r="G144" s="12">
        <f t="shared" si="5"/>
        <v>0</v>
      </c>
      <c r="H144" s="4"/>
      <c r="I144" s="46"/>
    </row>
    <row r="145" spans="1:9" s="20" customFormat="1" ht="47.25" hidden="1">
      <c r="A145" s="18" t="s">
        <v>83</v>
      </c>
      <c r="B145" s="4" t="s">
        <v>84</v>
      </c>
      <c r="C145" s="4"/>
      <c r="D145" s="5"/>
      <c r="E145" s="4" t="s">
        <v>6</v>
      </c>
      <c r="F145" s="19">
        <v>136523</v>
      </c>
      <c r="G145" s="12">
        <f>D145+F145</f>
        <v>136523</v>
      </c>
      <c r="H145" s="71"/>
      <c r="I145" s="46"/>
    </row>
    <row r="146" spans="1:9" s="20" customFormat="1" ht="47.25" hidden="1">
      <c r="A146" s="22" t="s">
        <v>291</v>
      </c>
      <c r="B146" s="23" t="s">
        <v>292</v>
      </c>
      <c r="C146" s="4"/>
      <c r="D146" s="24">
        <v>0</v>
      </c>
      <c r="E146" s="5"/>
      <c r="F146" s="28">
        <v>0</v>
      </c>
      <c r="G146" s="27">
        <v>0</v>
      </c>
      <c r="H146" s="71"/>
      <c r="I146" s="46"/>
    </row>
    <row r="147" spans="1:9" s="20" customFormat="1" ht="47.25" hidden="1">
      <c r="A147" s="18" t="s">
        <v>164</v>
      </c>
      <c r="B147" s="4" t="s">
        <v>165</v>
      </c>
      <c r="C147" s="4"/>
      <c r="D147" s="5"/>
      <c r="E147" s="55" t="s">
        <v>264</v>
      </c>
      <c r="F147" s="56">
        <v>0</v>
      </c>
      <c r="G147" s="9">
        <v>0</v>
      </c>
      <c r="H147" s="71"/>
      <c r="I147" s="46"/>
    </row>
    <row r="148" spans="1:9" s="20" customFormat="1" ht="54" customHeight="1" hidden="1">
      <c r="A148" s="22" t="s">
        <v>146</v>
      </c>
      <c r="B148" s="23" t="s">
        <v>172</v>
      </c>
      <c r="C148" s="4"/>
      <c r="D148" s="24">
        <f>D149+D150+D151+D152</f>
        <v>228711</v>
      </c>
      <c r="E148" s="5"/>
      <c r="F148" s="28">
        <f>F149+F150</f>
        <v>1000201</v>
      </c>
      <c r="G148" s="28">
        <f aca="true" t="shared" si="6" ref="G148:G178">D148+F148</f>
        <v>1228912</v>
      </c>
      <c r="H148" s="71"/>
      <c r="I148" s="46"/>
    </row>
    <row r="149" spans="1:9" s="20" customFormat="1" ht="31.5" hidden="1">
      <c r="A149" s="18" t="s">
        <v>164</v>
      </c>
      <c r="B149" s="4" t="s">
        <v>165</v>
      </c>
      <c r="C149" s="4"/>
      <c r="D149" s="17"/>
      <c r="E149" s="4" t="s">
        <v>393</v>
      </c>
      <c r="F149" s="19">
        <v>14000</v>
      </c>
      <c r="G149" s="19">
        <f t="shared" si="6"/>
        <v>14000</v>
      </c>
      <c r="H149" s="4"/>
      <c r="I149" s="46"/>
    </row>
    <row r="150" spans="1:9" s="20" customFormat="1" ht="47.25" hidden="1">
      <c r="A150" s="18" t="s">
        <v>83</v>
      </c>
      <c r="B150" s="4" t="s">
        <v>84</v>
      </c>
      <c r="C150" s="4"/>
      <c r="D150" s="5"/>
      <c r="E150" s="4" t="s">
        <v>390</v>
      </c>
      <c r="F150" s="19">
        <v>986201</v>
      </c>
      <c r="G150" s="19">
        <f t="shared" si="6"/>
        <v>986201</v>
      </c>
      <c r="H150" s="4"/>
      <c r="I150" s="46"/>
    </row>
    <row r="151" spans="1:9" s="20" customFormat="1" ht="66" customHeight="1" hidden="1">
      <c r="A151" s="18" t="s">
        <v>76</v>
      </c>
      <c r="B151" s="4" t="s">
        <v>91</v>
      </c>
      <c r="C151" s="4" t="s">
        <v>336</v>
      </c>
      <c r="D151" s="17">
        <v>120711</v>
      </c>
      <c r="E151" s="4"/>
      <c r="F151" s="9"/>
      <c r="G151" s="19">
        <f t="shared" si="6"/>
        <v>120711</v>
      </c>
      <c r="H151" s="4"/>
      <c r="I151" s="46"/>
    </row>
    <row r="152" spans="1:9" s="20" customFormat="1" ht="47.25" hidden="1">
      <c r="A152" s="18" t="s">
        <v>101</v>
      </c>
      <c r="B152" s="4" t="s">
        <v>217</v>
      </c>
      <c r="C152" s="4" t="s">
        <v>328</v>
      </c>
      <c r="D152" s="17">
        <v>108000</v>
      </c>
      <c r="E152" s="4"/>
      <c r="F152" s="9"/>
      <c r="G152" s="19">
        <f t="shared" si="6"/>
        <v>108000</v>
      </c>
      <c r="H152" s="4"/>
      <c r="I152" s="46"/>
    </row>
    <row r="153" spans="1:9" s="20" customFormat="1" ht="47.25" hidden="1">
      <c r="A153" s="22" t="s">
        <v>181</v>
      </c>
      <c r="B153" s="23" t="s">
        <v>182</v>
      </c>
      <c r="C153" s="4"/>
      <c r="D153" s="24">
        <f>D154</f>
        <v>0</v>
      </c>
      <c r="E153" s="5"/>
      <c r="F153" s="24">
        <f>F154</f>
        <v>0</v>
      </c>
      <c r="G153" s="24">
        <f t="shared" si="6"/>
        <v>0</v>
      </c>
      <c r="H153" s="71"/>
      <c r="I153" s="46"/>
    </row>
    <row r="154" spans="1:9" s="20" customFormat="1" ht="48.75" customHeight="1" hidden="1">
      <c r="A154" s="18" t="s">
        <v>164</v>
      </c>
      <c r="B154" s="4" t="s">
        <v>165</v>
      </c>
      <c r="C154" s="4"/>
      <c r="D154" s="17"/>
      <c r="E154" s="4"/>
      <c r="F154" s="19">
        <v>0</v>
      </c>
      <c r="G154" s="24">
        <f t="shared" si="6"/>
        <v>0</v>
      </c>
      <c r="H154" s="4"/>
      <c r="I154" s="46"/>
    </row>
    <row r="155" spans="1:9" s="20" customFormat="1" ht="45.75" customHeight="1" hidden="1">
      <c r="A155" s="22" t="s">
        <v>144</v>
      </c>
      <c r="B155" s="23" t="s">
        <v>224</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437" t="s">
        <v>164</v>
      </c>
      <c r="B156" s="436" t="s">
        <v>165</v>
      </c>
      <c r="C156" s="4"/>
      <c r="D156" s="24"/>
      <c r="E156" s="4" t="s">
        <v>393</v>
      </c>
      <c r="F156" s="19">
        <v>35000</v>
      </c>
      <c r="G156" s="19">
        <f t="shared" si="6"/>
        <v>35000</v>
      </c>
      <c r="H156" s="71"/>
      <c r="I156" s="46"/>
    </row>
    <row r="157" spans="1:9" s="20" customFormat="1" ht="61.5" customHeight="1" hidden="1">
      <c r="A157" s="437"/>
      <c r="B157" s="436"/>
      <c r="C157" s="4" t="s">
        <v>363</v>
      </c>
      <c r="D157" s="17">
        <v>746</v>
      </c>
      <c r="E157" s="4"/>
      <c r="F157" s="19"/>
      <c r="G157" s="19">
        <f t="shared" si="6"/>
        <v>746</v>
      </c>
      <c r="H157" s="4"/>
      <c r="I157" s="46"/>
    </row>
    <row r="158" spans="1:9" s="20" customFormat="1" ht="47.25" hidden="1">
      <c r="A158" s="18" t="s">
        <v>85</v>
      </c>
      <c r="B158" s="4" t="s">
        <v>92</v>
      </c>
      <c r="C158" s="4" t="s">
        <v>416</v>
      </c>
      <c r="D158" s="17">
        <v>131000</v>
      </c>
      <c r="E158" s="4"/>
      <c r="F158" s="9"/>
      <c r="G158" s="19">
        <f t="shared" si="6"/>
        <v>131000</v>
      </c>
      <c r="H158" s="4"/>
      <c r="I158" s="46"/>
    </row>
    <row r="159" spans="1:9" s="20" customFormat="1" ht="47.25" hidden="1">
      <c r="A159" s="437" t="s">
        <v>215</v>
      </c>
      <c r="B159" s="436" t="s">
        <v>216</v>
      </c>
      <c r="C159" s="4" t="s">
        <v>416</v>
      </c>
      <c r="D159" s="17">
        <v>10566800</v>
      </c>
      <c r="E159" s="4"/>
      <c r="F159" s="9"/>
      <c r="G159" s="19">
        <f t="shared" si="6"/>
        <v>10566800</v>
      </c>
      <c r="H159" s="4"/>
      <c r="I159" s="46"/>
    </row>
    <row r="160" spans="1:9" s="20" customFormat="1" ht="47.25" hidden="1">
      <c r="A160" s="437"/>
      <c r="B160" s="436"/>
      <c r="C160" s="35" t="s">
        <v>7</v>
      </c>
      <c r="D160" s="37">
        <v>64035</v>
      </c>
      <c r="E160" s="4"/>
      <c r="F160" s="9"/>
      <c r="G160" s="19">
        <f t="shared" si="6"/>
        <v>64035</v>
      </c>
      <c r="H160" s="4"/>
      <c r="I160" s="46"/>
    </row>
    <row r="161" spans="1:9" s="20" customFormat="1" ht="47.25" hidden="1">
      <c r="A161" s="437" t="s">
        <v>113</v>
      </c>
      <c r="B161" s="436" t="s">
        <v>114</v>
      </c>
      <c r="C161" s="4"/>
      <c r="D161" s="17"/>
      <c r="E161" s="4" t="s">
        <v>417</v>
      </c>
      <c r="F161" s="19">
        <v>33149648</v>
      </c>
      <c r="G161" s="19">
        <f t="shared" si="6"/>
        <v>33149648</v>
      </c>
      <c r="H161" s="4"/>
      <c r="I161" s="46"/>
    </row>
    <row r="162" spans="1:9" s="20" customFormat="1" ht="47.25" customHeight="1" hidden="1">
      <c r="A162" s="437"/>
      <c r="B162" s="436"/>
      <c r="C162" s="4" t="s">
        <v>267</v>
      </c>
      <c r="D162" s="17">
        <v>0</v>
      </c>
      <c r="E162" s="4" t="s">
        <v>267</v>
      </c>
      <c r="F162" s="9"/>
      <c r="G162" s="19">
        <f t="shared" si="6"/>
        <v>0</v>
      </c>
      <c r="H162" s="4"/>
      <c r="I162" s="46"/>
    </row>
    <row r="163" spans="1:9" s="20" customFormat="1" ht="47.25" hidden="1">
      <c r="A163" s="437"/>
      <c r="B163" s="436"/>
      <c r="C163" s="4"/>
      <c r="D163" s="17"/>
      <c r="E163" s="35" t="s">
        <v>7</v>
      </c>
      <c r="F163" s="37">
        <v>66475</v>
      </c>
      <c r="G163" s="19">
        <f t="shared" si="6"/>
        <v>66475</v>
      </c>
      <c r="H163" s="4"/>
      <c r="I163" s="46"/>
    </row>
    <row r="164" spans="1:9" s="20" customFormat="1" ht="47.25" hidden="1">
      <c r="A164" s="18" t="s">
        <v>398</v>
      </c>
      <c r="B164" s="4" t="s">
        <v>399</v>
      </c>
      <c r="C164" s="4" t="s">
        <v>418</v>
      </c>
      <c r="D164" s="17">
        <v>449300</v>
      </c>
      <c r="E164" s="35"/>
      <c r="F164" s="37"/>
      <c r="G164" s="19">
        <f>D164+F164</f>
        <v>449300</v>
      </c>
      <c r="H164" s="4"/>
      <c r="I164" s="46"/>
    </row>
    <row r="165" spans="1:9" s="20" customFormat="1" ht="56.25" customHeight="1" hidden="1">
      <c r="A165" s="18" t="s">
        <v>259</v>
      </c>
      <c r="B165" s="4" t="s">
        <v>260</v>
      </c>
      <c r="C165" s="4"/>
      <c r="D165" s="17"/>
      <c r="E165" s="4" t="s">
        <v>418</v>
      </c>
      <c r="F165" s="19">
        <v>780803</v>
      </c>
      <c r="G165" s="19">
        <f t="shared" si="6"/>
        <v>780803</v>
      </c>
      <c r="H165" s="4"/>
      <c r="I165" s="46"/>
    </row>
    <row r="166" spans="1:9" s="20" customFormat="1" ht="51.75" customHeight="1" hidden="1">
      <c r="A166" s="437" t="s">
        <v>93</v>
      </c>
      <c r="B166" s="436" t="s">
        <v>115</v>
      </c>
      <c r="C166" s="4" t="s">
        <v>420</v>
      </c>
      <c r="D166" s="17">
        <v>82050000</v>
      </c>
      <c r="E166" s="4" t="s">
        <v>419</v>
      </c>
      <c r="F166" s="19">
        <v>672751</v>
      </c>
      <c r="G166" s="19">
        <f t="shared" si="6"/>
        <v>82722751</v>
      </c>
      <c r="H166" s="4"/>
      <c r="I166" s="46"/>
    </row>
    <row r="167" spans="1:9" s="20" customFormat="1" ht="47.25" hidden="1">
      <c r="A167" s="437"/>
      <c r="B167" s="436"/>
      <c r="C167" s="35" t="s">
        <v>7</v>
      </c>
      <c r="D167" s="37">
        <v>0</v>
      </c>
      <c r="E167" s="35" t="s">
        <v>7</v>
      </c>
      <c r="F167" s="37">
        <v>30000</v>
      </c>
      <c r="G167" s="19">
        <f t="shared" si="6"/>
        <v>30000</v>
      </c>
      <c r="H167" s="4"/>
      <c r="I167" s="46"/>
    </row>
    <row r="168" spans="1:9" s="20" customFormat="1" ht="47.25" hidden="1">
      <c r="A168" s="18" t="s">
        <v>284</v>
      </c>
      <c r="B168" s="4" t="s">
        <v>285</v>
      </c>
      <c r="C168" s="35"/>
      <c r="D168" s="37"/>
      <c r="E168" s="4" t="s">
        <v>267</v>
      </c>
      <c r="F168" s="36">
        <v>0</v>
      </c>
      <c r="G168" s="19">
        <f t="shared" si="6"/>
        <v>0</v>
      </c>
      <c r="H168" s="4"/>
      <c r="I168" s="46"/>
    </row>
    <row r="169" spans="1:9" s="20" customFormat="1" ht="51" customHeight="1" hidden="1">
      <c r="A169" s="437" t="s">
        <v>83</v>
      </c>
      <c r="B169" s="436" t="s">
        <v>84</v>
      </c>
      <c r="C169" s="4"/>
      <c r="D169" s="5"/>
      <c r="E169" s="4" t="s">
        <v>421</v>
      </c>
      <c r="F169" s="12">
        <v>31435500</v>
      </c>
      <c r="G169" s="19">
        <f t="shared" si="6"/>
        <v>31435500</v>
      </c>
      <c r="H169" s="4"/>
      <c r="I169" s="46"/>
    </row>
    <row r="170" spans="1:9" s="20" customFormat="1" ht="47.25" hidden="1">
      <c r="A170" s="437"/>
      <c r="B170" s="436"/>
      <c r="C170" s="4"/>
      <c r="D170" s="5"/>
      <c r="E170" s="35" t="s">
        <v>7</v>
      </c>
      <c r="F170" s="37">
        <v>17235</v>
      </c>
      <c r="G170" s="19">
        <f t="shared" si="6"/>
        <v>17235</v>
      </c>
      <c r="H170" s="4"/>
      <c r="I170" s="46"/>
    </row>
    <row r="171" spans="1:9" s="51" customFormat="1" ht="46.5" customHeight="1" hidden="1">
      <c r="A171" s="441" t="s">
        <v>38</v>
      </c>
      <c r="B171" s="439" t="s">
        <v>203</v>
      </c>
      <c r="C171" s="4"/>
      <c r="D171" s="5"/>
      <c r="E171" s="4" t="s">
        <v>267</v>
      </c>
      <c r="F171" s="19">
        <v>0</v>
      </c>
      <c r="G171" s="19">
        <f t="shared" si="6"/>
        <v>0</v>
      </c>
      <c r="H171" s="4"/>
      <c r="I171" s="52"/>
    </row>
    <row r="172" spans="1:9" s="51" customFormat="1" ht="69.75" customHeight="1" hidden="1">
      <c r="A172" s="443"/>
      <c r="B172" s="444"/>
      <c r="C172" s="4"/>
      <c r="D172" s="5"/>
      <c r="E172" s="4" t="s">
        <v>422</v>
      </c>
      <c r="F172" s="19">
        <v>1529939</v>
      </c>
      <c r="G172" s="19">
        <f t="shared" si="6"/>
        <v>1529939</v>
      </c>
      <c r="H172" s="4"/>
      <c r="I172" s="52"/>
    </row>
    <row r="173" spans="1:9" s="51" customFormat="1" ht="87" customHeight="1" hidden="1">
      <c r="A173" s="442"/>
      <c r="B173" s="440"/>
      <c r="C173" s="4"/>
      <c r="D173" s="5"/>
      <c r="E173" s="4" t="s">
        <v>400</v>
      </c>
      <c r="F173" s="19">
        <v>187691</v>
      </c>
      <c r="G173" s="19">
        <f t="shared" si="6"/>
        <v>187691</v>
      </c>
      <c r="H173" s="4"/>
      <c r="I173" s="52"/>
    </row>
    <row r="174" spans="1:9" s="20" customFormat="1" ht="69.75" customHeight="1" hidden="1">
      <c r="A174" s="18" t="s">
        <v>95</v>
      </c>
      <c r="B174" s="4" t="s">
        <v>96</v>
      </c>
      <c r="C174" s="4"/>
      <c r="D174" s="5"/>
      <c r="E174" s="4" t="s">
        <v>397</v>
      </c>
      <c r="F174" s="19">
        <v>31540500</v>
      </c>
      <c r="G174" s="19">
        <f t="shared" si="6"/>
        <v>31540500</v>
      </c>
      <c r="H174" s="4"/>
      <c r="I174" s="46"/>
    </row>
    <row r="175" spans="1:9" s="20" customFormat="1" ht="27.75" customHeight="1" hidden="1">
      <c r="A175" s="4">
        <v>180107</v>
      </c>
      <c r="B175" s="4" t="s">
        <v>212</v>
      </c>
      <c r="C175" s="4"/>
      <c r="D175" s="17"/>
      <c r="E175" s="4" t="s">
        <v>230</v>
      </c>
      <c r="F175" s="19">
        <v>0</v>
      </c>
      <c r="G175" s="19">
        <f t="shared" si="6"/>
        <v>0</v>
      </c>
      <c r="H175" s="4"/>
      <c r="I175" s="46"/>
    </row>
    <row r="176" spans="1:9" s="20" customFormat="1" ht="63" customHeight="1" hidden="1">
      <c r="A176" s="436">
        <v>180409</v>
      </c>
      <c r="B176" s="436" t="s">
        <v>223</v>
      </c>
      <c r="C176" s="4"/>
      <c r="D176" s="17"/>
      <c r="E176" s="4" t="s">
        <v>423</v>
      </c>
      <c r="F176" s="19">
        <v>6226733</v>
      </c>
      <c r="G176" s="19">
        <f t="shared" si="6"/>
        <v>6226733</v>
      </c>
      <c r="H176" s="4"/>
      <c r="I176" s="46"/>
    </row>
    <row r="177" spans="1:9" s="20" customFormat="1" ht="63" hidden="1">
      <c r="A177" s="436"/>
      <c r="B177" s="436"/>
      <c r="C177" s="4"/>
      <c r="D177" s="17"/>
      <c r="E177" s="4" t="s">
        <v>391</v>
      </c>
      <c r="F177" s="19">
        <v>2688100</v>
      </c>
      <c r="G177" s="19">
        <f t="shared" si="6"/>
        <v>2688100</v>
      </c>
      <c r="H177" s="4"/>
      <c r="I177" s="46"/>
    </row>
    <row r="178" spans="1:9" s="20" customFormat="1" ht="31.5" hidden="1">
      <c r="A178" s="18" t="s">
        <v>28</v>
      </c>
      <c r="B178" s="4" t="s">
        <v>105</v>
      </c>
      <c r="C178" s="4"/>
      <c r="D178" s="5"/>
      <c r="E178" s="4" t="s">
        <v>345</v>
      </c>
      <c r="F178" s="19">
        <v>2250578</v>
      </c>
      <c r="G178" s="19">
        <f t="shared" si="6"/>
        <v>2250578</v>
      </c>
      <c r="H178" s="4"/>
      <c r="I178" s="46"/>
    </row>
    <row r="179" spans="1:9" s="20" customFormat="1" ht="39.75" customHeight="1" hidden="1">
      <c r="A179" s="441" t="s">
        <v>76</v>
      </c>
      <c r="B179" s="439" t="s">
        <v>91</v>
      </c>
      <c r="C179" s="4" t="s">
        <v>424</v>
      </c>
      <c r="D179" s="17">
        <v>5627420</v>
      </c>
      <c r="E179" s="4" t="s">
        <v>424</v>
      </c>
      <c r="F179" s="12">
        <v>1287772</v>
      </c>
      <c r="G179" s="19">
        <f>D179+F179</f>
        <v>6915192</v>
      </c>
      <c r="H179" s="4"/>
      <c r="I179" s="46"/>
    </row>
    <row r="180" spans="1:9" s="20" customFormat="1" ht="45.75" customHeight="1" hidden="1">
      <c r="A180" s="442"/>
      <c r="B180" s="440"/>
      <c r="C180" s="4" t="s">
        <v>337</v>
      </c>
      <c r="D180" s="17">
        <v>655808</v>
      </c>
      <c r="E180" s="4"/>
      <c r="F180" s="12"/>
      <c r="G180" s="19">
        <f>D180+F180</f>
        <v>655808</v>
      </c>
      <c r="H180" s="4"/>
      <c r="I180" s="46"/>
    </row>
    <row r="181" spans="1:9" s="20" customFormat="1" ht="38.25" hidden="1">
      <c r="A181" s="18" t="s">
        <v>38</v>
      </c>
      <c r="B181" s="29" t="s">
        <v>203</v>
      </c>
      <c r="C181" s="4"/>
      <c r="D181" s="5"/>
      <c r="E181" s="4" t="s">
        <v>208</v>
      </c>
      <c r="F181" s="12">
        <v>0</v>
      </c>
      <c r="G181" s="9">
        <v>0</v>
      </c>
      <c r="H181" s="4"/>
      <c r="I181" s="46"/>
    </row>
    <row r="182" spans="1:9" s="20" customFormat="1" ht="70.5" customHeight="1" hidden="1">
      <c r="A182" s="22" t="s">
        <v>222</v>
      </c>
      <c r="B182" s="23" t="s">
        <v>221</v>
      </c>
      <c r="C182" s="23"/>
      <c r="D182" s="24">
        <v>0</v>
      </c>
      <c r="E182" s="23"/>
      <c r="F182" s="30"/>
      <c r="G182" s="27">
        <v>0</v>
      </c>
      <c r="H182" s="4"/>
      <c r="I182" s="46"/>
    </row>
    <row r="183" spans="1:9" s="20" customFormat="1" ht="36" customHeight="1" hidden="1">
      <c r="A183" s="18" t="s">
        <v>85</v>
      </c>
      <c r="B183" s="4" t="s">
        <v>92</v>
      </c>
      <c r="C183" s="4" t="s">
        <v>117</v>
      </c>
      <c r="D183" s="17">
        <v>0</v>
      </c>
      <c r="E183" s="4"/>
      <c r="F183" s="12"/>
      <c r="G183" s="9">
        <v>0</v>
      </c>
      <c r="H183" s="4"/>
      <c r="I183" s="46"/>
    </row>
    <row r="184" spans="1:9" s="20" customFormat="1" ht="47.25" customHeight="1" hidden="1">
      <c r="A184" s="18" t="s">
        <v>93</v>
      </c>
      <c r="B184" s="4" t="s">
        <v>115</v>
      </c>
      <c r="C184" s="4" t="s">
        <v>201</v>
      </c>
      <c r="D184" s="17">
        <v>0</v>
      </c>
      <c r="E184" s="4"/>
      <c r="F184" s="12"/>
      <c r="G184" s="9">
        <v>0</v>
      </c>
      <c r="H184" s="4"/>
      <c r="I184" s="46"/>
    </row>
    <row r="185" spans="1:9" s="20" customFormat="1" ht="47.25" hidden="1">
      <c r="A185" s="22" t="s">
        <v>145</v>
      </c>
      <c r="B185" s="23" t="s">
        <v>52</v>
      </c>
      <c r="C185" s="4"/>
      <c r="D185" s="24">
        <f>D187</f>
        <v>40159</v>
      </c>
      <c r="E185" s="5"/>
      <c r="F185" s="24">
        <f>F186</f>
        <v>61915</v>
      </c>
      <c r="G185" s="28">
        <f aca="true" t="shared" si="7" ref="G185:G192">D185+F185</f>
        <v>102074</v>
      </c>
      <c r="H185" s="71"/>
      <c r="I185" s="46"/>
    </row>
    <row r="186" spans="1:9" s="20" customFormat="1" ht="48" customHeight="1" hidden="1">
      <c r="A186" s="18" t="s">
        <v>164</v>
      </c>
      <c r="B186" s="4" t="s">
        <v>165</v>
      </c>
      <c r="C186" s="4"/>
      <c r="D186" s="17"/>
      <c r="E186" s="4" t="s">
        <v>393</v>
      </c>
      <c r="F186" s="19">
        <v>61915</v>
      </c>
      <c r="G186" s="19">
        <f t="shared" si="7"/>
        <v>61915</v>
      </c>
      <c r="H186" s="4"/>
      <c r="I186" s="46"/>
    </row>
    <row r="187" spans="1:9" s="20" customFormat="1" ht="63" hidden="1">
      <c r="A187" s="18" t="s">
        <v>76</v>
      </c>
      <c r="B187" s="4" t="s">
        <v>91</v>
      </c>
      <c r="C187" s="4" t="s">
        <v>363</v>
      </c>
      <c r="D187" s="17">
        <v>40159</v>
      </c>
      <c r="E187" s="4"/>
      <c r="F187" s="9"/>
      <c r="G187" s="19">
        <f t="shared" si="7"/>
        <v>40159</v>
      </c>
      <c r="H187" s="4"/>
      <c r="I187" s="46"/>
    </row>
    <row r="188" spans="1:9" s="20" customFormat="1" ht="47.25" hidden="1">
      <c r="A188" s="22" t="s">
        <v>149</v>
      </c>
      <c r="B188" s="23" t="s">
        <v>54</v>
      </c>
      <c r="C188" s="4"/>
      <c r="D188" s="24">
        <f>D189+D191+D192+D193+D190</f>
        <v>2934703</v>
      </c>
      <c r="E188" s="5"/>
      <c r="F188" s="28">
        <f>F189+F193+F191+F190</f>
        <v>1664951</v>
      </c>
      <c r="G188" s="28">
        <f>D188+F188</f>
        <v>4599654</v>
      </c>
      <c r="H188" s="4"/>
      <c r="I188" s="46"/>
    </row>
    <row r="189" spans="1:9" s="20" customFormat="1" ht="53.25" customHeight="1" hidden="1">
      <c r="A189" s="18" t="s">
        <v>164</v>
      </c>
      <c r="B189" s="4" t="s">
        <v>165</v>
      </c>
      <c r="C189" s="4"/>
      <c r="D189" s="17"/>
      <c r="E189" s="4" t="s">
        <v>393</v>
      </c>
      <c r="F189" s="19">
        <v>14000</v>
      </c>
      <c r="G189" s="19">
        <f t="shared" si="7"/>
        <v>14000</v>
      </c>
      <c r="H189" s="4"/>
      <c r="I189" s="46"/>
    </row>
    <row r="190" spans="1:9" s="20" customFormat="1" ht="63" customHeight="1" hidden="1">
      <c r="A190" s="18" t="s">
        <v>387</v>
      </c>
      <c r="B190" s="4" t="s">
        <v>392</v>
      </c>
      <c r="C190" s="4" t="s">
        <v>5</v>
      </c>
      <c r="D190" s="17">
        <v>24055</v>
      </c>
      <c r="E190" s="4" t="s">
        <v>5</v>
      </c>
      <c r="F190" s="9">
        <v>1550464</v>
      </c>
      <c r="G190" s="19">
        <f>D190+F190</f>
        <v>1574519</v>
      </c>
      <c r="H190" s="4"/>
      <c r="I190" s="46"/>
    </row>
    <row r="191" spans="1:9" s="20" customFormat="1" ht="47.25" hidden="1">
      <c r="A191" s="435">
        <v>250404</v>
      </c>
      <c r="B191" s="435" t="s">
        <v>91</v>
      </c>
      <c r="C191" s="4"/>
      <c r="D191" s="21"/>
      <c r="E191" s="4" t="s">
        <v>11</v>
      </c>
      <c r="F191" s="12">
        <v>100487</v>
      </c>
      <c r="G191" s="19">
        <f t="shared" si="7"/>
        <v>100487</v>
      </c>
      <c r="H191" s="4"/>
      <c r="I191" s="46"/>
    </row>
    <row r="192" spans="1:9" s="20" customFormat="1" ht="51" customHeight="1" hidden="1">
      <c r="A192" s="435"/>
      <c r="B192" s="435"/>
      <c r="C192" s="4" t="s">
        <v>4</v>
      </c>
      <c r="D192" s="21">
        <v>2910648</v>
      </c>
      <c r="E192" s="4"/>
      <c r="F192" s="31"/>
      <c r="G192" s="19">
        <f t="shared" si="7"/>
        <v>2910648</v>
      </c>
      <c r="H192" s="4"/>
      <c r="I192" s="46"/>
    </row>
    <row r="193" spans="1:9" s="20" customFormat="1" ht="66" customHeight="1" hidden="1">
      <c r="A193" s="447"/>
      <c r="B193" s="435"/>
      <c r="D193" s="21"/>
      <c r="E193" s="4"/>
      <c r="F193" s="9"/>
      <c r="G193" s="19">
        <f>D193+F193</f>
        <v>0</v>
      </c>
      <c r="H193" s="4"/>
      <c r="I193" s="46"/>
    </row>
    <row r="194" spans="1:9" s="20" customFormat="1" ht="31.5" hidden="1">
      <c r="A194" s="22">
        <v>50</v>
      </c>
      <c r="B194" s="23" t="s">
        <v>185</v>
      </c>
      <c r="C194" s="4"/>
      <c r="D194" s="24">
        <v>0</v>
      </c>
      <c r="E194" s="5"/>
      <c r="F194" s="27">
        <v>0</v>
      </c>
      <c r="G194" s="27">
        <v>0</v>
      </c>
      <c r="H194" s="4"/>
      <c r="I194" s="46"/>
    </row>
    <row r="195" spans="1:9" s="20" customFormat="1" ht="48.75" customHeight="1" hidden="1">
      <c r="A195" s="18" t="s">
        <v>164</v>
      </c>
      <c r="B195" s="4" t="s">
        <v>165</v>
      </c>
      <c r="C195" s="4" t="s">
        <v>177</v>
      </c>
      <c r="D195" s="21"/>
      <c r="E195" s="4"/>
      <c r="F195" s="9"/>
      <c r="G195" s="9">
        <v>0</v>
      </c>
      <c r="H195" s="4"/>
      <c r="I195" s="46"/>
    </row>
    <row r="196" spans="1:9" s="20" customFormat="1" ht="47.25" hidden="1">
      <c r="A196" s="22" t="s">
        <v>153</v>
      </c>
      <c r="B196" s="23" t="s">
        <v>58</v>
      </c>
      <c r="C196" s="23"/>
      <c r="D196" s="24">
        <v>0</v>
      </c>
      <c r="E196" s="32"/>
      <c r="F196" s="24">
        <f>F197+F198</f>
        <v>41720</v>
      </c>
      <c r="G196" s="24">
        <f aca="true" t="shared" si="8" ref="G196:G203">D196+F196</f>
        <v>41720</v>
      </c>
      <c r="H196" s="71"/>
      <c r="I196" s="46"/>
    </row>
    <row r="197" spans="1:9" s="20" customFormat="1" ht="31.5" hidden="1">
      <c r="A197" s="18" t="s">
        <v>164</v>
      </c>
      <c r="B197" s="4" t="s">
        <v>165</v>
      </c>
      <c r="C197" s="4"/>
      <c r="D197" s="17"/>
      <c r="E197" s="4" t="s">
        <v>393</v>
      </c>
      <c r="F197" s="17">
        <v>41720</v>
      </c>
      <c r="G197" s="17">
        <f t="shared" si="8"/>
        <v>41720</v>
      </c>
      <c r="H197" s="4"/>
      <c r="I197" s="46"/>
    </row>
    <row r="198" spans="1:9" s="20" customFormat="1" ht="47.25" hidden="1">
      <c r="A198" s="18" t="s">
        <v>40</v>
      </c>
      <c r="B198" s="4" t="s">
        <v>41</v>
      </c>
      <c r="C198" s="4"/>
      <c r="D198" s="17"/>
      <c r="E198" s="70" t="s">
        <v>298</v>
      </c>
      <c r="F198" s="19">
        <v>0</v>
      </c>
      <c r="G198" s="17">
        <f t="shared" si="8"/>
        <v>0</v>
      </c>
      <c r="H198" s="4"/>
      <c r="I198" s="46"/>
    </row>
    <row r="199" spans="1:9" s="20" customFormat="1" ht="53.25" customHeight="1" hidden="1">
      <c r="A199" s="22" t="s">
        <v>150</v>
      </c>
      <c r="B199" s="23" t="s">
        <v>55</v>
      </c>
      <c r="C199" s="4"/>
      <c r="D199" s="24">
        <f>D203+D200+D201</f>
        <v>0</v>
      </c>
      <c r="E199" s="5"/>
      <c r="F199" s="24">
        <f>F201+F202+F200</f>
        <v>14491369</v>
      </c>
      <c r="G199" s="24">
        <f t="shared" si="8"/>
        <v>14491369</v>
      </c>
      <c r="H199" s="71"/>
      <c r="I199" s="46"/>
    </row>
    <row r="200" spans="1:9" s="20" customFormat="1" ht="33" customHeight="1" hidden="1">
      <c r="A200" s="18" t="s">
        <v>164</v>
      </c>
      <c r="B200" s="4" t="s">
        <v>165</v>
      </c>
      <c r="C200" s="4"/>
      <c r="D200" s="17"/>
      <c r="E200" s="4" t="s">
        <v>393</v>
      </c>
      <c r="F200" s="19">
        <v>21000</v>
      </c>
      <c r="G200" s="17">
        <f>D200+F200</f>
        <v>21000</v>
      </c>
      <c r="H200" s="4"/>
      <c r="I200" s="46"/>
    </row>
    <row r="201" spans="1:9" s="20" customFormat="1" ht="32.25" customHeight="1" hidden="1">
      <c r="A201" s="4">
        <v>240601</v>
      </c>
      <c r="B201" s="4" t="s">
        <v>105</v>
      </c>
      <c r="C201" s="4"/>
      <c r="D201" s="5"/>
      <c r="E201" s="4" t="s">
        <v>345</v>
      </c>
      <c r="F201" s="19">
        <v>14470369</v>
      </c>
      <c r="G201" s="17">
        <f t="shared" si="8"/>
        <v>14470369</v>
      </c>
      <c r="H201" s="4"/>
      <c r="I201" s="46"/>
    </row>
    <row r="202" spans="1:9" s="20" customFormat="1" ht="72" customHeight="1" hidden="1">
      <c r="A202" s="4">
        <v>240900</v>
      </c>
      <c r="B202" s="4" t="s">
        <v>220</v>
      </c>
      <c r="C202" s="4"/>
      <c r="D202" s="5"/>
      <c r="E202" s="70" t="s">
        <v>352</v>
      </c>
      <c r="F202" s="19">
        <v>0</v>
      </c>
      <c r="G202" s="17">
        <f t="shared" si="8"/>
        <v>0</v>
      </c>
      <c r="H202" s="4"/>
      <c r="I202" s="46"/>
    </row>
    <row r="203" spans="1:9" s="20" customFormat="1" ht="54" customHeight="1" hidden="1">
      <c r="A203" s="4">
        <v>250404</v>
      </c>
      <c r="B203" s="4" t="s">
        <v>209</v>
      </c>
      <c r="C203" s="4" t="s">
        <v>305</v>
      </c>
      <c r="D203" s="17">
        <v>0</v>
      </c>
      <c r="E203" s="4"/>
      <c r="F203" s="19"/>
      <c r="G203" s="17">
        <f t="shared" si="8"/>
        <v>0</v>
      </c>
      <c r="H203" s="4"/>
      <c r="I203" s="46"/>
    </row>
    <row r="204" spans="1:9" s="20" customFormat="1" ht="47.25" hidden="1">
      <c r="A204" s="22" t="s">
        <v>148</v>
      </c>
      <c r="B204" s="23" t="s">
        <v>56</v>
      </c>
      <c r="C204" s="4"/>
      <c r="D204" s="24">
        <f>D206+D207+D213+D215+D214</f>
        <v>14847723</v>
      </c>
      <c r="E204" s="5"/>
      <c r="F204" s="24">
        <f>F205+F206+F208+F209+F210+F211+F213</f>
        <v>3804223</v>
      </c>
      <c r="G204" s="24">
        <f>D204+F204</f>
        <v>18651946</v>
      </c>
      <c r="H204" s="71"/>
      <c r="I204" s="46"/>
    </row>
    <row r="205" spans="1:9" s="20" customFormat="1" ht="48" customHeight="1" hidden="1">
      <c r="A205" s="18" t="s">
        <v>164</v>
      </c>
      <c r="B205" s="4" t="s">
        <v>165</v>
      </c>
      <c r="C205" s="4"/>
      <c r="D205" s="17"/>
      <c r="E205" s="4" t="s">
        <v>393</v>
      </c>
      <c r="F205" s="9">
        <v>7000</v>
      </c>
      <c r="G205" s="17">
        <f>D205+F205</f>
        <v>7000</v>
      </c>
      <c r="H205" s="4"/>
      <c r="I205" s="46"/>
    </row>
    <row r="206" spans="1:9" s="20" customFormat="1" ht="84.75" customHeight="1" hidden="1">
      <c r="A206" s="18" t="s">
        <v>30</v>
      </c>
      <c r="B206" s="4" t="s">
        <v>31</v>
      </c>
      <c r="C206" s="4" t="s">
        <v>385</v>
      </c>
      <c r="D206" s="17">
        <v>2300000</v>
      </c>
      <c r="E206" s="4" t="s">
        <v>385</v>
      </c>
      <c r="F206" s="19">
        <v>296214</v>
      </c>
      <c r="G206" s="17">
        <f>D206+F206</f>
        <v>2596214</v>
      </c>
      <c r="H206" s="4"/>
      <c r="I206" s="46"/>
    </row>
    <row r="207" spans="1:9" s="20" customFormat="1" ht="72.75" customHeight="1" hidden="1">
      <c r="A207" s="18" t="s">
        <v>81</v>
      </c>
      <c r="B207" s="4" t="s">
        <v>82</v>
      </c>
      <c r="C207" s="4" t="s">
        <v>401</v>
      </c>
      <c r="D207" s="17">
        <v>10000000</v>
      </c>
      <c r="E207" s="4"/>
      <c r="F207" s="9"/>
      <c r="G207" s="17">
        <f>D207+F207</f>
        <v>10000000</v>
      </c>
      <c r="H207" s="4"/>
      <c r="I207" s="46"/>
    </row>
    <row r="208" spans="1:9" s="20" customFormat="1" ht="78.75" hidden="1">
      <c r="A208" s="441" t="s">
        <v>83</v>
      </c>
      <c r="B208" s="439" t="s">
        <v>84</v>
      </c>
      <c r="C208" s="4"/>
      <c r="D208" s="17"/>
      <c r="E208" s="4" t="s">
        <v>401</v>
      </c>
      <c r="F208" s="19">
        <v>1355142</v>
      </c>
      <c r="G208" s="17">
        <f aca="true" t="shared" si="9" ref="G208:G215">D208+F208</f>
        <v>1355142</v>
      </c>
      <c r="H208" s="4"/>
      <c r="I208" s="46"/>
    </row>
    <row r="209" spans="1:9" s="20" customFormat="1" ht="47.25" hidden="1">
      <c r="A209" s="442"/>
      <c r="B209" s="440"/>
      <c r="C209" s="4"/>
      <c r="D209" s="17"/>
      <c r="E209" s="4" t="s">
        <v>355</v>
      </c>
      <c r="F209" s="19">
        <v>25880</v>
      </c>
      <c r="G209" s="17">
        <f t="shared" si="9"/>
        <v>25880</v>
      </c>
      <c r="H209" s="4"/>
      <c r="I209" s="46"/>
    </row>
    <row r="210" spans="1:9" s="20" customFormat="1" ht="62.25" customHeight="1" hidden="1">
      <c r="A210" s="437" t="s">
        <v>97</v>
      </c>
      <c r="B210" s="436" t="s">
        <v>223</v>
      </c>
      <c r="C210" s="436"/>
      <c r="D210" s="17"/>
      <c r="E210" s="4" t="s">
        <v>401</v>
      </c>
      <c r="F210" s="19">
        <v>66000</v>
      </c>
      <c r="G210" s="17">
        <f t="shared" si="9"/>
        <v>66000</v>
      </c>
      <c r="H210" s="4"/>
      <c r="I210" s="46"/>
    </row>
    <row r="211" spans="1:9" s="20" customFormat="1" ht="63" hidden="1">
      <c r="A211" s="437"/>
      <c r="B211" s="436"/>
      <c r="C211" s="436"/>
      <c r="D211" s="448"/>
      <c r="E211" s="4" t="s">
        <v>402</v>
      </c>
      <c r="F211" s="19">
        <v>1573041</v>
      </c>
      <c r="G211" s="17">
        <f t="shared" si="9"/>
        <v>1573041</v>
      </c>
      <c r="H211" s="4"/>
      <c r="I211" s="46"/>
    </row>
    <row r="212" spans="1:9" s="20" customFormat="1" ht="47.25" hidden="1">
      <c r="A212" s="437"/>
      <c r="B212" s="436"/>
      <c r="C212" s="436"/>
      <c r="D212" s="448"/>
      <c r="E212" s="4" t="s">
        <v>301</v>
      </c>
      <c r="F212" s="9">
        <v>0</v>
      </c>
      <c r="G212" s="17">
        <f t="shared" si="9"/>
        <v>0</v>
      </c>
      <c r="H212" s="4"/>
      <c r="I212" s="46"/>
    </row>
    <row r="213" spans="1:9" s="20" customFormat="1" ht="69" customHeight="1" hidden="1">
      <c r="A213" s="18" t="s">
        <v>213</v>
      </c>
      <c r="B213" s="4" t="s">
        <v>214</v>
      </c>
      <c r="C213" s="4" t="s">
        <v>401</v>
      </c>
      <c r="D213" s="17">
        <v>122723</v>
      </c>
      <c r="E213" s="4" t="s">
        <v>402</v>
      </c>
      <c r="F213" s="19">
        <v>480946</v>
      </c>
      <c r="G213" s="17">
        <f t="shared" si="9"/>
        <v>603669</v>
      </c>
      <c r="H213" s="4"/>
      <c r="I213" s="46"/>
    </row>
    <row r="214" spans="1:9" s="20" customFormat="1" ht="63" hidden="1">
      <c r="A214" s="437" t="s">
        <v>76</v>
      </c>
      <c r="B214" s="436" t="s">
        <v>91</v>
      </c>
      <c r="C214" s="4" t="s">
        <v>402</v>
      </c>
      <c r="D214" s="17">
        <v>2425000</v>
      </c>
      <c r="E214" s="4"/>
      <c r="F214" s="9"/>
      <c r="G214" s="17">
        <f t="shared" si="9"/>
        <v>2425000</v>
      </c>
      <c r="H214" s="4"/>
      <c r="I214" s="46"/>
    </row>
    <row r="215" spans="1:9" s="20" customFormat="1" ht="63" hidden="1">
      <c r="A215" s="437"/>
      <c r="B215" s="436"/>
      <c r="C215" s="4" t="s">
        <v>303</v>
      </c>
      <c r="D215" s="17">
        <v>0</v>
      </c>
      <c r="E215" s="4" t="s">
        <v>303</v>
      </c>
      <c r="F215" s="19">
        <v>0</v>
      </c>
      <c r="G215" s="17">
        <f t="shared" si="9"/>
        <v>0</v>
      </c>
      <c r="H215" s="4"/>
      <c r="I215" s="46"/>
    </row>
    <row r="216" spans="1:9" s="20" customFormat="1" ht="78.75" customHeight="1">
      <c r="A216" s="22" t="s">
        <v>143</v>
      </c>
      <c r="B216" s="23" t="s">
        <v>51</v>
      </c>
      <c r="C216" s="4"/>
      <c r="D216" s="24">
        <f>D218+D219+D220</f>
        <v>6262527</v>
      </c>
      <c r="E216" s="5"/>
      <c r="F216" s="28">
        <f>F218+F219+F217</f>
        <v>6501142</v>
      </c>
      <c r="G216" s="28">
        <f>D216+F216</f>
        <v>12763669</v>
      </c>
      <c r="H216" s="71"/>
      <c r="I216" s="46"/>
    </row>
    <row r="217" spans="1:9" s="20" customFormat="1" ht="42" customHeight="1" hidden="1">
      <c r="A217" s="18" t="s">
        <v>164</v>
      </c>
      <c r="B217" s="4" t="s">
        <v>165</v>
      </c>
      <c r="C217" s="4"/>
      <c r="D217" s="17"/>
      <c r="E217" s="4" t="s">
        <v>393</v>
      </c>
      <c r="F217" s="12">
        <v>7000</v>
      </c>
      <c r="G217" s="19">
        <f aca="true" t="shared" si="10" ref="G217:G233">D217+F217</f>
        <v>7000</v>
      </c>
      <c r="H217" s="4"/>
      <c r="I217" s="46"/>
    </row>
    <row r="218" spans="1:9" s="20" customFormat="1" ht="69.75" customHeight="1">
      <c r="A218" s="18" t="s">
        <v>87</v>
      </c>
      <c r="B218" s="4" t="s">
        <v>88</v>
      </c>
      <c r="C218" s="4" t="s">
        <v>403</v>
      </c>
      <c r="D218" s="17">
        <v>3201442</v>
      </c>
      <c r="E218" s="4" t="s">
        <v>403</v>
      </c>
      <c r="F218" s="12">
        <v>6203691</v>
      </c>
      <c r="G218" s="19">
        <f>D218+F218</f>
        <v>9405133</v>
      </c>
      <c r="H218" s="71">
        <v>82552</v>
      </c>
      <c r="I218" s="46"/>
    </row>
    <row r="219" spans="1:9" s="20" customFormat="1" ht="63">
      <c r="A219" s="437" t="s">
        <v>89</v>
      </c>
      <c r="B219" s="436" t="s">
        <v>90</v>
      </c>
      <c r="C219" s="4" t="s">
        <v>403</v>
      </c>
      <c r="D219" s="17">
        <v>3059895</v>
      </c>
      <c r="E219" s="4" t="s">
        <v>403</v>
      </c>
      <c r="F219" s="12">
        <v>290451</v>
      </c>
      <c r="G219" s="19">
        <f>D219+F219</f>
        <v>3350346</v>
      </c>
      <c r="H219" s="71">
        <v>64182</v>
      </c>
      <c r="I219" s="46"/>
    </row>
    <row r="220" spans="1:9" s="20" customFormat="1" ht="68.25" customHeight="1" hidden="1">
      <c r="A220" s="437"/>
      <c r="B220" s="436"/>
      <c r="C220" s="4" t="s">
        <v>363</v>
      </c>
      <c r="D220" s="17">
        <v>1190</v>
      </c>
      <c r="E220" s="4"/>
      <c r="F220" s="12"/>
      <c r="G220" s="19">
        <f t="shared" si="10"/>
        <v>1190</v>
      </c>
      <c r="H220" s="4"/>
      <c r="I220" s="46"/>
    </row>
    <row r="221" spans="1:9" s="20" customFormat="1" ht="47.25" hidden="1">
      <c r="A221" s="22" t="s">
        <v>152</v>
      </c>
      <c r="B221" s="23" t="s">
        <v>57</v>
      </c>
      <c r="C221" s="4"/>
      <c r="D221" s="24">
        <f>D226</f>
        <v>0</v>
      </c>
      <c r="E221" s="5"/>
      <c r="F221" s="24">
        <f>F222+F223+F224</f>
        <v>7046384</v>
      </c>
      <c r="G221" s="24">
        <f>D221+F221</f>
        <v>7046384</v>
      </c>
      <c r="H221" s="71"/>
      <c r="I221" s="46"/>
    </row>
    <row r="222" spans="1:9" s="20" customFormat="1" ht="31.5" hidden="1">
      <c r="A222" s="18" t="s">
        <v>164</v>
      </c>
      <c r="B222" s="4" t="s">
        <v>165</v>
      </c>
      <c r="C222" s="4"/>
      <c r="D222" s="17"/>
      <c r="E222" s="4" t="s">
        <v>393</v>
      </c>
      <c r="F222" s="17">
        <v>35000</v>
      </c>
      <c r="G222" s="17">
        <f t="shared" si="10"/>
        <v>35000</v>
      </c>
      <c r="H222" s="4"/>
      <c r="I222" s="46"/>
    </row>
    <row r="223" spans="1:9" s="20" customFormat="1" ht="47.25" hidden="1">
      <c r="A223" s="18" t="s">
        <v>83</v>
      </c>
      <c r="B223" s="4" t="s">
        <v>84</v>
      </c>
      <c r="C223" s="4"/>
      <c r="D223" s="5"/>
      <c r="E223" s="4" t="s">
        <v>404</v>
      </c>
      <c r="F223" s="12">
        <v>3511384</v>
      </c>
      <c r="G223" s="17">
        <f t="shared" si="10"/>
        <v>3511384</v>
      </c>
      <c r="H223" s="4"/>
      <c r="I223" s="46"/>
    </row>
    <row r="224" spans="1:9" s="20" customFormat="1" ht="79.5" customHeight="1" hidden="1">
      <c r="A224" s="18" t="s">
        <v>98</v>
      </c>
      <c r="B224" s="4" t="s">
        <v>99</v>
      </c>
      <c r="C224" s="4"/>
      <c r="D224" s="5"/>
      <c r="E224" s="4" t="s">
        <v>404</v>
      </c>
      <c r="F224" s="19">
        <v>3500000</v>
      </c>
      <c r="G224" s="17">
        <f t="shared" si="10"/>
        <v>3500000</v>
      </c>
      <c r="H224" s="4"/>
      <c r="I224" s="46"/>
    </row>
    <row r="225" spans="1:9" s="20" customFormat="1" ht="78.75" hidden="1">
      <c r="A225" s="18" t="s">
        <v>87</v>
      </c>
      <c r="B225" s="4" t="s">
        <v>218</v>
      </c>
      <c r="C225" s="4"/>
      <c r="D225" s="17"/>
      <c r="E225" s="4" t="s">
        <v>268</v>
      </c>
      <c r="F225" s="19">
        <v>0</v>
      </c>
      <c r="G225" s="24">
        <f t="shared" si="10"/>
        <v>0</v>
      </c>
      <c r="H225" s="4"/>
      <c r="I225" s="46"/>
    </row>
    <row r="226" spans="1:9" s="20" customFormat="1" ht="53.25" customHeight="1" hidden="1">
      <c r="A226" s="18" t="s">
        <v>76</v>
      </c>
      <c r="B226" s="4" t="s">
        <v>91</v>
      </c>
      <c r="C226" s="4" t="s">
        <v>255</v>
      </c>
      <c r="D226" s="17">
        <v>0</v>
      </c>
      <c r="E226" s="4"/>
      <c r="F226" s="19"/>
      <c r="G226" s="17">
        <f t="shared" si="10"/>
        <v>0</v>
      </c>
      <c r="H226" s="4"/>
      <c r="I226" s="46"/>
    </row>
    <row r="227" spans="1:9" s="20" customFormat="1" ht="46.5" customHeight="1" hidden="1">
      <c r="A227" s="22" t="s">
        <v>151</v>
      </c>
      <c r="B227" s="23" t="s">
        <v>36</v>
      </c>
      <c r="C227" s="4"/>
      <c r="D227" s="24">
        <f>D229+D230+D232</f>
        <v>35602</v>
      </c>
      <c r="E227" s="5"/>
      <c r="F227" s="28">
        <f>F229</f>
        <v>70000</v>
      </c>
      <c r="G227" s="28">
        <f t="shared" si="10"/>
        <v>105602</v>
      </c>
      <c r="H227" s="4"/>
      <c r="I227" s="46"/>
    </row>
    <row r="228" spans="1:9" s="20" customFormat="1" ht="46.5" customHeight="1" hidden="1">
      <c r="A228" s="26" t="s">
        <v>164</v>
      </c>
      <c r="B228" s="4" t="s">
        <v>165</v>
      </c>
      <c r="C228" s="4" t="s">
        <v>184</v>
      </c>
      <c r="D228" s="21"/>
      <c r="E228" s="5"/>
      <c r="F228" s="19"/>
      <c r="G228" s="28">
        <f t="shared" si="10"/>
        <v>0</v>
      </c>
      <c r="H228" s="4"/>
      <c r="I228" s="46"/>
    </row>
    <row r="229" spans="1:9" s="20" customFormat="1" ht="70.5" customHeight="1" hidden="1">
      <c r="A229" s="18" t="s">
        <v>164</v>
      </c>
      <c r="B229" s="4" t="s">
        <v>165</v>
      </c>
      <c r="C229" s="4" t="s">
        <v>363</v>
      </c>
      <c r="D229" s="21">
        <v>2602</v>
      </c>
      <c r="E229" s="4" t="s">
        <v>393</v>
      </c>
      <c r="F229" s="19">
        <v>70000</v>
      </c>
      <c r="G229" s="19">
        <f>D229+F229</f>
        <v>72602</v>
      </c>
      <c r="H229" s="4"/>
      <c r="I229" s="46"/>
    </row>
    <row r="230" spans="1:9" s="20" customFormat="1" ht="15.75" hidden="1">
      <c r="A230" s="26">
        <v>230000</v>
      </c>
      <c r="B230" s="4" t="s">
        <v>193</v>
      </c>
      <c r="C230" s="436" t="s">
        <v>344</v>
      </c>
      <c r="D230" s="21">
        <v>0</v>
      </c>
      <c r="E230" s="5"/>
      <c r="F230" s="27"/>
      <c r="G230" s="19">
        <f t="shared" si="10"/>
        <v>0</v>
      </c>
      <c r="H230" s="4"/>
      <c r="I230" s="46"/>
    </row>
    <row r="231" spans="1:9" s="20" customFormat="1" ht="48" customHeight="1" hidden="1">
      <c r="A231" s="26">
        <v>210105</v>
      </c>
      <c r="B231" s="4"/>
      <c r="C231" s="436"/>
      <c r="D231" s="21">
        <v>0</v>
      </c>
      <c r="E231" s="5"/>
      <c r="F231" s="19">
        <v>0</v>
      </c>
      <c r="G231" s="19">
        <f t="shared" si="10"/>
        <v>0</v>
      </c>
      <c r="H231" s="4"/>
      <c r="I231" s="46"/>
    </row>
    <row r="232" spans="1:9" s="20" customFormat="1" ht="33" customHeight="1" hidden="1">
      <c r="A232" s="18" t="s">
        <v>76</v>
      </c>
      <c r="B232" s="4" t="s">
        <v>91</v>
      </c>
      <c r="C232" s="436"/>
      <c r="D232" s="17">
        <v>33000</v>
      </c>
      <c r="E232" s="4"/>
      <c r="F232" s="9"/>
      <c r="G232" s="19">
        <f t="shared" si="10"/>
        <v>33000</v>
      </c>
      <c r="H232" s="4"/>
      <c r="I232" s="46"/>
    </row>
    <row r="233" spans="1:9" s="20" customFormat="1" ht="47.25" hidden="1">
      <c r="A233" s="22" t="s">
        <v>192</v>
      </c>
      <c r="B233" s="23" t="s">
        <v>36</v>
      </c>
      <c r="C233" s="4"/>
      <c r="D233" s="32">
        <v>0</v>
      </c>
      <c r="E233" s="4"/>
      <c r="F233" s="24">
        <f>F235+F236</f>
        <v>0</v>
      </c>
      <c r="G233" s="24">
        <f t="shared" si="10"/>
        <v>0</v>
      </c>
      <c r="H233" s="71"/>
      <c r="I233" s="46"/>
    </row>
    <row r="234" spans="1:9" s="20" customFormat="1" ht="45" customHeight="1" hidden="1">
      <c r="A234" s="18" t="s">
        <v>100</v>
      </c>
      <c r="B234" s="4" t="s">
        <v>194</v>
      </c>
      <c r="C234" s="4"/>
      <c r="D234" s="5"/>
      <c r="E234" s="4" t="s">
        <v>202</v>
      </c>
      <c r="F234" s="12">
        <v>0</v>
      </c>
      <c r="G234" s="9">
        <v>0</v>
      </c>
      <c r="H234" s="4"/>
      <c r="I234" s="46"/>
    </row>
    <row r="235" spans="1:9" s="20" customFormat="1" ht="51.75" customHeight="1" hidden="1">
      <c r="A235" s="445">
        <v>250380</v>
      </c>
      <c r="B235" s="439" t="s">
        <v>286</v>
      </c>
      <c r="C235" s="4"/>
      <c r="D235" s="5"/>
      <c r="E235" s="4" t="s">
        <v>267</v>
      </c>
      <c r="F235" s="19">
        <v>0</v>
      </c>
      <c r="G235" s="19">
        <f>F235</f>
        <v>0</v>
      </c>
      <c r="H235" s="4"/>
      <c r="I235" s="46"/>
    </row>
    <row r="236" spans="1:9" s="20" customFormat="1" ht="51.75" customHeight="1" hidden="1">
      <c r="A236" s="446"/>
      <c r="B236" s="440"/>
      <c r="C236" s="4"/>
      <c r="D236" s="5"/>
      <c r="E236" s="4" t="s">
        <v>289</v>
      </c>
      <c r="F236" s="19">
        <v>0</v>
      </c>
      <c r="G236" s="19">
        <f>F236</f>
        <v>0</v>
      </c>
      <c r="H236" s="4"/>
      <c r="I236" s="46"/>
    </row>
    <row r="237" spans="1:9" s="20" customFormat="1" ht="47.25" hidden="1">
      <c r="A237" s="22" t="s">
        <v>133</v>
      </c>
      <c r="B237" s="23" t="s">
        <v>39</v>
      </c>
      <c r="C237" s="4"/>
      <c r="D237" s="24">
        <f>D241+D244+D245+D246+D247+D250+D251</f>
        <v>996508</v>
      </c>
      <c r="E237" s="4"/>
      <c r="F237" s="24">
        <f>F240+F243</f>
        <v>68812</v>
      </c>
      <c r="G237" s="24">
        <f>D237+F237</f>
        <v>1065320</v>
      </c>
      <c r="H237" s="71"/>
      <c r="I237" s="46"/>
    </row>
    <row r="238" spans="1:9" s="20" customFormat="1" ht="49.5" customHeight="1" hidden="1">
      <c r="A238" s="18" t="s">
        <v>164</v>
      </c>
      <c r="B238" s="4" t="s">
        <v>165</v>
      </c>
      <c r="C238" s="4" t="s">
        <v>170</v>
      </c>
      <c r="D238" s="17"/>
      <c r="E238" s="4" t="s">
        <v>170</v>
      </c>
      <c r="F238" s="19"/>
      <c r="G238" s="9">
        <v>0</v>
      </c>
      <c r="H238" s="4"/>
      <c r="I238" s="46"/>
    </row>
    <row r="239" spans="1:9" s="20" customFormat="1" ht="72" customHeight="1" hidden="1">
      <c r="A239" s="437" t="s">
        <v>164</v>
      </c>
      <c r="B239" s="436" t="s">
        <v>165</v>
      </c>
      <c r="C239" s="4" t="s">
        <v>279</v>
      </c>
      <c r="D239" s="17">
        <v>0</v>
      </c>
      <c r="E239" s="4"/>
      <c r="F239" s="19"/>
      <c r="G239" s="19">
        <v>0</v>
      </c>
      <c r="H239" s="4"/>
      <c r="I239" s="46"/>
    </row>
    <row r="240" spans="1:9" s="20" customFormat="1" ht="53.25" customHeight="1" hidden="1">
      <c r="A240" s="437"/>
      <c r="B240" s="436"/>
      <c r="C240" s="4"/>
      <c r="D240" s="17"/>
      <c r="E240" s="4" t="s">
        <v>393</v>
      </c>
      <c r="F240" s="19">
        <v>68812</v>
      </c>
      <c r="G240" s="19">
        <f>F240</f>
        <v>68812</v>
      </c>
      <c r="H240" s="4"/>
      <c r="I240" s="46"/>
    </row>
    <row r="241" spans="1:9" s="20" customFormat="1" ht="47.25" customHeight="1" hidden="1">
      <c r="A241" s="18" t="s">
        <v>93</v>
      </c>
      <c r="B241" s="4" t="s">
        <v>94</v>
      </c>
      <c r="C241" s="4" t="s">
        <v>397</v>
      </c>
      <c r="D241" s="17">
        <v>510000</v>
      </c>
      <c r="E241" s="4"/>
      <c r="F241" s="19"/>
      <c r="G241" s="19">
        <f>D241</f>
        <v>510000</v>
      </c>
      <c r="H241" s="4"/>
      <c r="I241" s="46"/>
    </row>
    <row r="242" spans="1:9" s="20" customFormat="1" ht="42.75" customHeight="1" hidden="1">
      <c r="A242" s="18" t="s">
        <v>83</v>
      </c>
      <c r="B242" s="4" t="s">
        <v>84</v>
      </c>
      <c r="C242" s="4"/>
      <c r="D242" s="17"/>
      <c r="E242" s="4" t="s">
        <v>198</v>
      </c>
      <c r="F242" s="19">
        <v>0</v>
      </c>
      <c r="G242" s="9">
        <v>0</v>
      </c>
      <c r="H242" s="4"/>
      <c r="I242" s="46"/>
    </row>
    <row r="243" spans="1:9" s="20" customFormat="1" ht="95.25" customHeight="1" hidden="1">
      <c r="A243" s="18" t="s">
        <v>70</v>
      </c>
      <c r="B243" s="4" t="s">
        <v>220</v>
      </c>
      <c r="C243" s="4"/>
      <c r="D243" s="17"/>
      <c r="E243" s="70" t="s">
        <v>277</v>
      </c>
      <c r="F243" s="19">
        <v>0</v>
      </c>
      <c r="G243" s="19">
        <f>F243</f>
        <v>0</v>
      </c>
      <c r="H243" s="4"/>
      <c r="I243" s="46"/>
    </row>
    <row r="244" spans="1:9" s="20" customFormat="1" ht="47.25" hidden="1">
      <c r="A244" s="437" t="s">
        <v>76</v>
      </c>
      <c r="B244" s="436" t="s">
        <v>91</v>
      </c>
      <c r="C244" s="4" t="s">
        <v>334</v>
      </c>
      <c r="D244" s="17">
        <v>155037</v>
      </c>
      <c r="E244" s="4"/>
      <c r="F244" s="9"/>
      <c r="G244" s="19">
        <f>D244</f>
        <v>155037</v>
      </c>
      <c r="H244" s="4"/>
      <c r="I244" s="46"/>
    </row>
    <row r="245" spans="1:9" s="20" customFormat="1" ht="47.25" hidden="1">
      <c r="A245" s="437"/>
      <c r="B245" s="436"/>
      <c r="C245" s="4" t="s">
        <v>397</v>
      </c>
      <c r="D245" s="17">
        <v>66308</v>
      </c>
      <c r="E245" s="4"/>
      <c r="F245" s="9"/>
      <c r="G245" s="19">
        <f aca="true" t="shared" si="11" ref="G245:G251">D245</f>
        <v>66308</v>
      </c>
      <c r="H245" s="4"/>
      <c r="I245" s="46"/>
    </row>
    <row r="246" spans="1:9" s="20" customFormat="1" ht="47.25" hidden="1">
      <c r="A246" s="437"/>
      <c r="B246" s="436"/>
      <c r="C246" s="4" t="s">
        <v>368</v>
      </c>
      <c r="D246" s="17">
        <v>233800</v>
      </c>
      <c r="E246" s="4"/>
      <c r="F246" s="9"/>
      <c r="G246" s="19">
        <f t="shared" si="11"/>
        <v>233800</v>
      </c>
      <c r="H246" s="4"/>
      <c r="I246" s="46"/>
    </row>
    <row r="247" spans="1:9" s="20" customFormat="1" ht="66" customHeight="1" hidden="1">
      <c r="A247" s="437"/>
      <c r="B247" s="436"/>
      <c r="C247" s="4" t="s">
        <v>335</v>
      </c>
      <c r="D247" s="17">
        <v>5100</v>
      </c>
      <c r="E247" s="4"/>
      <c r="F247" s="9"/>
      <c r="G247" s="19">
        <f t="shared" si="11"/>
        <v>5100</v>
      </c>
      <c r="H247" s="4"/>
      <c r="I247" s="46"/>
    </row>
    <row r="248" spans="1:9" s="20" customFormat="1" ht="45.75" customHeight="1" hidden="1">
      <c r="A248" s="437"/>
      <c r="B248" s="436"/>
      <c r="C248" s="4"/>
      <c r="D248" s="5"/>
      <c r="E248" s="4"/>
      <c r="F248" s="9"/>
      <c r="G248" s="19">
        <f t="shared" si="11"/>
        <v>0</v>
      </c>
      <c r="H248" s="4"/>
      <c r="I248" s="46"/>
    </row>
    <row r="249" spans="1:9" s="20" customFormat="1" ht="56.25" customHeight="1" hidden="1">
      <c r="A249" s="437"/>
      <c r="B249" s="436"/>
      <c r="C249" s="4"/>
      <c r="D249" s="5"/>
      <c r="E249" s="4"/>
      <c r="F249" s="9"/>
      <c r="G249" s="19">
        <f t="shared" si="11"/>
        <v>0</v>
      </c>
      <c r="H249" s="4"/>
      <c r="I249" s="46"/>
    </row>
    <row r="250" spans="1:9" s="20" customFormat="1" ht="47.25" hidden="1">
      <c r="A250" s="437"/>
      <c r="B250" s="436"/>
      <c r="C250" s="4" t="s">
        <v>333</v>
      </c>
      <c r="D250" s="17">
        <v>25298</v>
      </c>
      <c r="E250" s="4"/>
      <c r="F250" s="9"/>
      <c r="G250" s="19">
        <f t="shared" si="11"/>
        <v>25298</v>
      </c>
      <c r="H250" s="4"/>
      <c r="I250" s="46"/>
    </row>
    <row r="251" spans="1:9" s="20" customFormat="1" ht="63.75" customHeight="1" hidden="1">
      <c r="A251" s="437"/>
      <c r="B251" s="436"/>
      <c r="C251" s="4" t="s">
        <v>363</v>
      </c>
      <c r="D251" s="17">
        <v>965</v>
      </c>
      <c r="E251" s="4"/>
      <c r="F251" s="9"/>
      <c r="G251" s="19">
        <f t="shared" si="11"/>
        <v>965</v>
      </c>
      <c r="H251" s="4"/>
      <c r="I251" s="46"/>
    </row>
    <row r="252" spans="1:9" s="20" customFormat="1" ht="47.25">
      <c r="A252" s="22" t="s">
        <v>134</v>
      </c>
      <c r="B252" s="23" t="s">
        <v>42</v>
      </c>
      <c r="C252" s="4"/>
      <c r="D252" s="24">
        <f>D254+D258+D260+D261+D262+D263</f>
        <v>509258</v>
      </c>
      <c r="E252" s="23"/>
      <c r="F252" s="24">
        <f>F253+F254+F255+F257</f>
        <v>33765</v>
      </c>
      <c r="G252" s="24">
        <f>D252+F252</f>
        <v>543023</v>
      </c>
      <c r="H252" s="71"/>
      <c r="I252" s="46"/>
    </row>
    <row r="253" spans="1:9" s="20" customFormat="1" ht="43.5" customHeight="1" hidden="1">
      <c r="A253" s="18" t="s">
        <v>164</v>
      </c>
      <c r="B253" s="4" t="s">
        <v>165</v>
      </c>
      <c r="C253" s="4"/>
      <c r="D253" s="17"/>
      <c r="E253" s="4" t="s">
        <v>393</v>
      </c>
      <c r="F253" s="19">
        <v>27827</v>
      </c>
      <c r="G253" s="19">
        <f>F253</f>
        <v>27827</v>
      </c>
      <c r="H253" s="4"/>
      <c r="I253" s="46"/>
    </row>
    <row r="254" spans="1:9" s="20" customFormat="1" ht="50.25" customHeight="1">
      <c r="A254" s="437" t="s">
        <v>93</v>
      </c>
      <c r="B254" s="436" t="s">
        <v>94</v>
      </c>
      <c r="C254" s="4" t="s">
        <v>397</v>
      </c>
      <c r="D254" s="17">
        <v>440000</v>
      </c>
      <c r="E254" s="4" t="s">
        <v>397</v>
      </c>
      <c r="F254" s="19">
        <v>5542</v>
      </c>
      <c r="G254" s="19">
        <f>D254+F254</f>
        <v>445542</v>
      </c>
      <c r="H254" s="4">
        <v>5146</v>
      </c>
      <c r="I254" s="46"/>
    </row>
    <row r="255" spans="1:9" s="20" customFormat="1" ht="47.25" hidden="1">
      <c r="A255" s="437"/>
      <c r="B255" s="436"/>
      <c r="C255" s="4"/>
      <c r="D255" s="17"/>
      <c r="E255" s="35" t="s">
        <v>7</v>
      </c>
      <c r="F255" s="39">
        <v>396</v>
      </c>
      <c r="G255" s="39">
        <f>F255</f>
        <v>396</v>
      </c>
      <c r="H255" s="4"/>
      <c r="I255" s="46"/>
    </row>
    <row r="256" spans="1:9" s="20" customFormat="1" ht="21.75" customHeight="1" hidden="1">
      <c r="A256" s="18" t="s">
        <v>83</v>
      </c>
      <c r="B256" s="4" t="s">
        <v>84</v>
      </c>
      <c r="C256" s="4"/>
      <c r="D256" s="17"/>
      <c r="E256" s="4"/>
      <c r="F256" s="19"/>
      <c r="G256" s="19">
        <v>0</v>
      </c>
      <c r="H256" s="4"/>
      <c r="I256" s="46"/>
    </row>
    <row r="257" spans="1:9" s="20" customFormat="1" ht="99.75" customHeight="1" hidden="1">
      <c r="A257" s="18" t="s">
        <v>70</v>
      </c>
      <c r="B257" s="4" t="s">
        <v>220</v>
      </c>
      <c r="C257" s="4"/>
      <c r="D257" s="17"/>
      <c r="E257" s="70" t="s">
        <v>277</v>
      </c>
      <c r="F257" s="19">
        <v>0</v>
      </c>
      <c r="G257" s="19">
        <f>F257</f>
        <v>0</v>
      </c>
      <c r="H257" s="4"/>
      <c r="I257" s="46"/>
    </row>
    <row r="258" spans="1:9" s="20" customFormat="1" ht="47.25" hidden="1">
      <c r="A258" s="437" t="s">
        <v>76</v>
      </c>
      <c r="B258" s="436" t="s">
        <v>91</v>
      </c>
      <c r="C258" s="4" t="s">
        <v>334</v>
      </c>
      <c r="D258" s="17">
        <v>10800</v>
      </c>
      <c r="E258" s="4"/>
      <c r="F258" s="9"/>
      <c r="G258" s="19">
        <f aca="true" t="shared" si="12" ref="G258:G263">D258</f>
        <v>10800</v>
      </c>
      <c r="H258" s="4"/>
      <c r="I258" s="46"/>
    </row>
    <row r="259" spans="1:9" s="20" customFormat="1" ht="34.5" customHeight="1" hidden="1">
      <c r="A259" s="437"/>
      <c r="B259" s="436"/>
      <c r="C259" s="4"/>
      <c r="D259" s="17"/>
      <c r="E259" s="4"/>
      <c r="F259" s="9"/>
      <c r="G259" s="19">
        <f t="shared" si="12"/>
        <v>0</v>
      </c>
      <c r="H259" s="4"/>
      <c r="I259" s="46"/>
    </row>
    <row r="260" spans="1:9" s="20" customFormat="1" ht="52.5" customHeight="1" hidden="1">
      <c r="A260" s="437"/>
      <c r="B260" s="436"/>
      <c r="C260" s="4" t="s">
        <v>368</v>
      </c>
      <c r="D260" s="17">
        <v>31950</v>
      </c>
      <c r="E260" s="4"/>
      <c r="F260" s="9"/>
      <c r="G260" s="19">
        <f t="shared" si="12"/>
        <v>31950</v>
      </c>
      <c r="H260" s="4"/>
      <c r="I260" s="46"/>
    </row>
    <row r="261" spans="1:9" s="20" customFormat="1" ht="63" hidden="1">
      <c r="A261" s="437"/>
      <c r="B261" s="436"/>
      <c r="C261" s="4" t="s">
        <v>335</v>
      </c>
      <c r="D261" s="17">
        <v>5100</v>
      </c>
      <c r="E261" s="4"/>
      <c r="F261" s="9"/>
      <c r="G261" s="19">
        <f t="shared" si="12"/>
        <v>5100</v>
      </c>
      <c r="H261" s="4"/>
      <c r="I261" s="46"/>
    </row>
    <row r="262" spans="1:9" s="20" customFormat="1" ht="47.25" hidden="1">
      <c r="A262" s="437"/>
      <c r="B262" s="436"/>
      <c r="C262" s="4" t="s">
        <v>397</v>
      </c>
      <c r="D262" s="17">
        <v>0</v>
      </c>
      <c r="E262" s="4"/>
      <c r="F262" s="9"/>
      <c r="G262" s="19">
        <f t="shared" si="12"/>
        <v>0</v>
      </c>
      <c r="H262" s="4"/>
      <c r="I262" s="46"/>
    </row>
    <row r="263" spans="1:9" s="20" customFormat="1" ht="47.25" hidden="1">
      <c r="A263" s="437"/>
      <c r="B263" s="436"/>
      <c r="C263" s="4" t="s">
        <v>333</v>
      </c>
      <c r="D263" s="17">
        <v>21408</v>
      </c>
      <c r="E263" s="4"/>
      <c r="F263" s="9"/>
      <c r="G263" s="19">
        <f t="shared" si="12"/>
        <v>21408</v>
      </c>
      <c r="H263" s="4"/>
      <c r="I263" s="46"/>
    </row>
    <row r="264" spans="1:9" s="20" customFormat="1" ht="47.25">
      <c r="A264" s="22" t="s">
        <v>135</v>
      </c>
      <c r="B264" s="23" t="s">
        <v>43</v>
      </c>
      <c r="C264" s="4"/>
      <c r="D264" s="24">
        <f>D265+D266+D269+D270+D271+D272+D274+D275</f>
        <v>970596</v>
      </c>
      <c r="E264" s="23"/>
      <c r="F264" s="24">
        <f>F265+F266+F267+F268</f>
        <v>4568094</v>
      </c>
      <c r="G264" s="24">
        <f>D264+F264</f>
        <v>5538690</v>
      </c>
      <c r="H264" s="71"/>
      <c r="I264" s="46"/>
    </row>
    <row r="265" spans="1:9" s="20" customFormat="1" ht="45" customHeight="1" hidden="1">
      <c r="A265" s="18" t="s">
        <v>164</v>
      </c>
      <c r="B265" s="4" t="s">
        <v>165</v>
      </c>
      <c r="C265" s="4"/>
      <c r="D265" s="17"/>
      <c r="E265" s="4" t="s">
        <v>393</v>
      </c>
      <c r="F265" s="19">
        <v>27975</v>
      </c>
      <c r="G265" s="19">
        <f>F265</f>
        <v>27975</v>
      </c>
      <c r="H265" s="4"/>
      <c r="I265" s="46"/>
    </row>
    <row r="266" spans="1:9" s="20" customFormat="1" ht="56.25" customHeight="1">
      <c r="A266" s="18" t="s">
        <v>93</v>
      </c>
      <c r="B266" s="4" t="s">
        <v>94</v>
      </c>
      <c r="C266" s="4" t="s">
        <v>397</v>
      </c>
      <c r="D266" s="17">
        <v>710000</v>
      </c>
      <c r="E266" s="4" t="s">
        <v>397</v>
      </c>
      <c r="F266" s="19">
        <v>132173</v>
      </c>
      <c r="G266" s="19">
        <f>D266+F266</f>
        <v>842173</v>
      </c>
      <c r="H266" s="4">
        <v>132173</v>
      </c>
      <c r="I266" s="46"/>
    </row>
    <row r="267" spans="1:9" s="20" customFormat="1" ht="47.25" hidden="1">
      <c r="A267" s="18" t="s">
        <v>83</v>
      </c>
      <c r="B267" s="4" t="s">
        <v>84</v>
      </c>
      <c r="C267" s="4"/>
      <c r="D267" s="17"/>
      <c r="E267" s="4" t="s">
        <v>397</v>
      </c>
      <c r="F267" s="19">
        <v>4407946</v>
      </c>
      <c r="G267" s="19">
        <f>F267</f>
        <v>4407946</v>
      </c>
      <c r="H267" s="4"/>
      <c r="I267" s="46"/>
    </row>
    <row r="268" spans="1:9" s="20" customFormat="1" ht="99.75" customHeight="1" hidden="1">
      <c r="A268" s="18" t="s">
        <v>70</v>
      </c>
      <c r="B268" s="4" t="s">
        <v>220</v>
      </c>
      <c r="C268" s="4"/>
      <c r="D268" s="17"/>
      <c r="E268" s="70" t="s">
        <v>277</v>
      </c>
      <c r="F268" s="19">
        <v>0</v>
      </c>
      <c r="G268" s="19">
        <f>F268</f>
        <v>0</v>
      </c>
      <c r="H268" s="4"/>
      <c r="I268" s="46"/>
    </row>
    <row r="269" spans="1:9" s="20" customFormat="1" ht="47.25" hidden="1">
      <c r="A269" s="437" t="s">
        <v>76</v>
      </c>
      <c r="B269" s="436" t="s">
        <v>91</v>
      </c>
      <c r="C269" s="4" t="s">
        <v>334</v>
      </c>
      <c r="D269" s="17">
        <v>108138</v>
      </c>
      <c r="E269" s="4"/>
      <c r="F269" s="9"/>
      <c r="G269" s="19">
        <f>D269</f>
        <v>108138</v>
      </c>
      <c r="H269" s="4"/>
      <c r="I269" s="46"/>
    </row>
    <row r="270" spans="1:9" s="20" customFormat="1" ht="47.25" hidden="1">
      <c r="A270" s="437"/>
      <c r="B270" s="436"/>
      <c r="C270" s="4" t="s">
        <v>397</v>
      </c>
      <c r="D270" s="17">
        <v>66600</v>
      </c>
      <c r="E270" s="4"/>
      <c r="F270" s="9"/>
      <c r="G270" s="19">
        <f aca="true" t="shared" si="13" ref="G270:G275">D270</f>
        <v>66600</v>
      </c>
      <c r="H270" s="4"/>
      <c r="I270" s="46"/>
    </row>
    <row r="271" spans="1:9" s="20" customFormat="1" ht="47.25" hidden="1">
      <c r="A271" s="437"/>
      <c r="B271" s="436"/>
      <c r="C271" s="4" t="s">
        <v>368</v>
      </c>
      <c r="D271" s="17">
        <v>38505</v>
      </c>
      <c r="E271" s="4"/>
      <c r="F271" s="9"/>
      <c r="G271" s="19">
        <f t="shared" si="13"/>
        <v>38505</v>
      </c>
      <c r="H271" s="4"/>
      <c r="I271" s="46"/>
    </row>
    <row r="272" spans="1:9" s="20" customFormat="1" ht="63" hidden="1">
      <c r="A272" s="437"/>
      <c r="B272" s="436"/>
      <c r="C272" s="4" t="s">
        <v>335</v>
      </c>
      <c r="D272" s="17">
        <v>2756</v>
      </c>
      <c r="E272" s="4"/>
      <c r="F272" s="9"/>
      <c r="G272" s="19">
        <f t="shared" si="13"/>
        <v>2756</v>
      </c>
      <c r="H272" s="4"/>
      <c r="I272" s="46"/>
    </row>
    <row r="273" spans="1:9" s="20" customFormat="1" ht="21.75" customHeight="1" hidden="1">
      <c r="A273" s="437"/>
      <c r="B273" s="436"/>
      <c r="C273" s="4"/>
      <c r="D273" s="5"/>
      <c r="E273" s="4"/>
      <c r="F273" s="9"/>
      <c r="G273" s="19">
        <f t="shared" si="13"/>
        <v>0</v>
      </c>
      <c r="H273" s="4"/>
      <c r="I273" s="46"/>
    </row>
    <row r="274" spans="1:9" s="20" customFormat="1" ht="47.25" hidden="1">
      <c r="A274" s="437"/>
      <c r="B274" s="436"/>
      <c r="C274" s="4" t="s">
        <v>333</v>
      </c>
      <c r="D274" s="17">
        <f>18932+14100</f>
        <v>33032</v>
      </c>
      <c r="E274" s="4"/>
      <c r="F274" s="9"/>
      <c r="G274" s="19">
        <f t="shared" si="13"/>
        <v>33032</v>
      </c>
      <c r="H274" s="4"/>
      <c r="I274" s="46"/>
    </row>
    <row r="275" spans="1:9" s="20" customFormat="1" ht="66.75" customHeight="1" hidden="1">
      <c r="A275" s="437"/>
      <c r="B275" s="436"/>
      <c r="C275" s="4" t="s">
        <v>363</v>
      </c>
      <c r="D275" s="17">
        <v>11565</v>
      </c>
      <c r="E275" s="4"/>
      <c r="F275" s="9"/>
      <c r="G275" s="19">
        <f t="shared" si="13"/>
        <v>11565</v>
      </c>
      <c r="H275" s="4"/>
      <c r="I275" s="46"/>
    </row>
    <row r="276" spans="1:9" s="20" customFormat="1" ht="47.25">
      <c r="A276" s="22" t="s">
        <v>136</v>
      </c>
      <c r="B276" s="23" t="s">
        <v>44</v>
      </c>
      <c r="C276" s="4"/>
      <c r="D276" s="24">
        <f>D278+D280+D281+D282+D283+D284+D285</f>
        <v>663789</v>
      </c>
      <c r="E276" s="23"/>
      <c r="F276" s="24">
        <f>F277+F278+F279</f>
        <v>273375</v>
      </c>
      <c r="G276" s="28">
        <f>D276+F276</f>
        <v>937164</v>
      </c>
      <c r="H276" s="74"/>
      <c r="I276" s="46"/>
    </row>
    <row r="277" spans="1:9" s="20" customFormat="1" ht="31.5" hidden="1">
      <c r="A277" s="18" t="s">
        <v>164</v>
      </c>
      <c r="B277" s="4" t="s">
        <v>165</v>
      </c>
      <c r="C277" s="4"/>
      <c r="D277" s="17"/>
      <c r="E277" s="4" t="s">
        <v>393</v>
      </c>
      <c r="F277" s="19">
        <v>42375</v>
      </c>
      <c r="G277" s="19">
        <f>F277</f>
        <v>42375</v>
      </c>
      <c r="H277" s="23"/>
      <c r="I277" s="46"/>
    </row>
    <row r="278" spans="1:9" s="20" customFormat="1" ht="66" customHeight="1">
      <c r="A278" s="18" t="s">
        <v>93</v>
      </c>
      <c r="B278" s="4" t="s">
        <v>94</v>
      </c>
      <c r="C278" s="4" t="s">
        <v>397</v>
      </c>
      <c r="D278" s="17">
        <v>480000</v>
      </c>
      <c r="E278" s="4" t="s">
        <v>397</v>
      </c>
      <c r="F278" s="19">
        <v>10000</v>
      </c>
      <c r="G278" s="19">
        <f>D278+F278</f>
        <v>490000</v>
      </c>
      <c r="H278" s="4">
        <v>10000</v>
      </c>
      <c r="I278" s="46"/>
    </row>
    <row r="279" spans="1:9" s="20" customFormat="1" ht="55.5" customHeight="1" hidden="1">
      <c r="A279" s="18" t="s">
        <v>83</v>
      </c>
      <c r="B279" s="4" t="s">
        <v>84</v>
      </c>
      <c r="C279" s="4"/>
      <c r="D279" s="17"/>
      <c r="E279" s="4" t="s">
        <v>397</v>
      </c>
      <c r="F279" s="19">
        <v>221000</v>
      </c>
      <c r="G279" s="19">
        <f>F279</f>
        <v>221000</v>
      </c>
      <c r="H279" s="4"/>
      <c r="I279" s="46"/>
    </row>
    <row r="280" spans="1:9" s="20" customFormat="1" ht="47.25" hidden="1">
      <c r="A280" s="437" t="s">
        <v>76</v>
      </c>
      <c r="B280" s="436" t="s">
        <v>91</v>
      </c>
      <c r="C280" s="4" t="s">
        <v>334</v>
      </c>
      <c r="D280" s="17">
        <v>111797</v>
      </c>
      <c r="E280" s="4"/>
      <c r="F280" s="9"/>
      <c r="G280" s="19">
        <f aca="true" t="shared" si="14" ref="G280:G285">D280</f>
        <v>111797</v>
      </c>
      <c r="H280" s="4"/>
      <c r="I280" s="46"/>
    </row>
    <row r="281" spans="1:9" s="20" customFormat="1" ht="47.25" hidden="1">
      <c r="A281" s="437"/>
      <c r="B281" s="436"/>
      <c r="C281" s="4" t="s">
        <v>397</v>
      </c>
      <c r="D281" s="17">
        <v>16686</v>
      </c>
      <c r="E281" s="4"/>
      <c r="F281" s="9"/>
      <c r="G281" s="19">
        <f t="shared" si="14"/>
        <v>16686</v>
      </c>
      <c r="H281" s="4"/>
      <c r="I281" s="46"/>
    </row>
    <row r="282" spans="1:9" s="20" customFormat="1" ht="47.25" hidden="1">
      <c r="A282" s="437"/>
      <c r="B282" s="436"/>
      <c r="C282" s="4" t="s">
        <v>368</v>
      </c>
      <c r="D282" s="17">
        <v>26015</v>
      </c>
      <c r="E282" s="4"/>
      <c r="F282" s="9"/>
      <c r="G282" s="19">
        <f t="shared" si="14"/>
        <v>26015</v>
      </c>
      <c r="H282" s="4"/>
      <c r="I282" s="46"/>
    </row>
    <row r="283" spans="1:9" s="20" customFormat="1" ht="63" hidden="1">
      <c r="A283" s="437"/>
      <c r="B283" s="436"/>
      <c r="C283" s="4" t="s">
        <v>335</v>
      </c>
      <c r="D283" s="17">
        <v>4133</v>
      </c>
      <c r="E283" s="4"/>
      <c r="F283" s="9"/>
      <c r="G283" s="19">
        <f t="shared" si="14"/>
        <v>4133</v>
      </c>
      <c r="H283" s="4"/>
      <c r="I283" s="46"/>
    </row>
    <row r="284" spans="1:9" s="20" customFormat="1" ht="47.25" hidden="1">
      <c r="A284" s="437"/>
      <c r="B284" s="436"/>
      <c r="C284" s="4" t="s">
        <v>333</v>
      </c>
      <c r="D284" s="17">
        <v>23096</v>
      </c>
      <c r="E284" s="4"/>
      <c r="F284" s="9"/>
      <c r="G284" s="19">
        <f t="shared" si="14"/>
        <v>23096</v>
      </c>
      <c r="H284" s="4"/>
      <c r="I284" s="46"/>
    </row>
    <row r="285" spans="1:9" s="20" customFormat="1" ht="63.75" customHeight="1" hidden="1">
      <c r="A285" s="437"/>
      <c r="B285" s="436"/>
      <c r="C285" s="4" t="s">
        <v>363</v>
      </c>
      <c r="D285" s="17">
        <v>2062</v>
      </c>
      <c r="E285" s="4"/>
      <c r="F285" s="9"/>
      <c r="G285" s="19">
        <f t="shared" si="14"/>
        <v>2062</v>
      </c>
      <c r="H285" s="4"/>
      <c r="I285" s="46"/>
    </row>
    <row r="286" spans="1:9" s="33" customFormat="1" ht="47.25" hidden="1">
      <c r="A286" s="22" t="s">
        <v>137</v>
      </c>
      <c r="B286" s="23" t="s">
        <v>45</v>
      </c>
      <c r="C286" s="23"/>
      <c r="D286" s="24">
        <f>D288+D290+D292+D294+D296+D297+D298+D299+D300+D301</f>
        <v>1140260</v>
      </c>
      <c r="E286" s="23"/>
      <c r="F286" s="24">
        <f>F289+F293</f>
        <v>77975</v>
      </c>
      <c r="G286" s="24">
        <f>D286+F286</f>
        <v>1218235</v>
      </c>
      <c r="H286" s="74"/>
      <c r="I286" s="46"/>
    </row>
    <row r="287" spans="1:9" s="33" customFormat="1" ht="55.5" customHeight="1" hidden="1">
      <c r="A287" s="18" t="s">
        <v>164</v>
      </c>
      <c r="B287" s="4" t="s">
        <v>165</v>
      </c>
      <c r="C287" s="4" t="s">
        <v>171</v>
      </c>
      <c r="D287" s="17"/>
      <c r="E287" s="4" t="s">
        <v>171</v>
      </c>
      <c r="F287" s="19"/>
      <c r="G287" s="19">
        <v>0</v>
      </c>
      <c r="H287" s="23"/>
      <c r="I287" s="46"/>
    </row>
    <row r="288" spans="1:9" s="33" customFormat="1" ht="69" customHeight="1" hidden="1">
      <c r="A288" s="441" t="s">
        <v>164</v>
      </c>
      <c r="B288" s="439" t="s">
        <v>165</v>
      </c>
      <c r="C288" s="4" t="s">
        <v>363</v>
      </c>
      <c r="D288" s="17">
        <v>7791</v>
      </c>
      <c r="E288" s="4"/>
      <c r="F288" s="19"/>
      <c r="G288" s="19">
        <f>D288</f>
        <v>7791</v>
      </c>
      <c r="H288" s="23"/>
      <c r="I288" s="46"/>
    </row>
    <row r="289" spans="1:9" s="33" customFormat="1" ht="54.75" customHeight="1" hidden="1">
      <c r="A289" s="442"/>
      <c r="B289" s="440"/>
      <c r="C289" s="4"/>
      <c r="D289" s="17"/>
      <c r="E289" s="4" t="s">
        <v>393</v>
      </c>
      <c r="F289" s="19">
        <v>27975</v>
      </c>
      <c r="G289" s="19">
        <f>F289</f>
        <v>27975</v>
      </c>
      <c r="H289" s="23"/>
      <c r="I289" s="46"/>
    </row>
    <row r="290" spans="1:9" s="20" customFormat="1" ht="49.5" customHeight="1" hidden="1">
      <c r="A290" s="437" t="s">
        <v>93</v>
      </c>
      <c r="B290" s="436" t="s">
        <v>94</v>
      </c>
      <c r="C290" s="4" t="s">
        <v>397</v>
      </c>
      <c r="D290" s="17">
        <v>768655</v>
      </c>
      <c r="E290" s="4"/>
      <c r="F290" s="19"/>
      <c r="G290" s="19">
        <f>D290</f>
        <v>768655</v>
      </c>
      <c r="H290" s="4"/>
      <c r="I290" s="46"/>
    </row>
    <row r="291" spans="1:9" s="20" customFormat="1" ht="47.25" hidden="1">
      <c r="A291" s="437"/>
      <c r="B291" s="436"/>
      <c r="C291" s="4"/>
      <c r="D291" s="17"/>
      <c r="E291" s="35" t="s">
        <v>263</v>
      </c>
      <c r="F291" s="39">
        <v>0</v>
      </c>
      <c r="G291" s="39">
        <v>0</v>
      </c>
      <c r="H291" s="4"/>
      <c r="I291" s="46"/>
    </row>
    <row r="292" spans="1:9" s="20" customFormat="1" ht="47.25" hidden="1">
      <c r="A292" s="18" t="s">
        <v>236</v>
      </c>
      <c r="B292" s="4" t="s">
        <v>91</v>
      </c>
      <c r="C292" s="4" t="s">
        <v>258</v>
      </c>
      <c r="D292" s="17">
        <v>0</v>
      </c>
      <c r="E292" s="4"/>
      <c r="F292" s="19"/>
      <c r="G292" s="19">
        <f>D292</f>
        <v>0</v>
      </c>
      <c r="H292" s="4"/>
      <c r="I292" s="46"/>
    </row>
    <row r="293" spans="1:9" s="20" customFormat="1" ht="93.75" customHeight="1" hidden="1">
      <c r="A293" s="18" t="s">
        <v>70</v>
      </c>
      <c r="B293" s="4" t="s">
        <v>220</v>
      </c>
      <c r="C293" s="4"/>
      <c r="D293" s="17"/>
      <c r="E293" s="4" t="s">
        <v>353</v>
      </c>
      <c r="F293" s="19">
        <v>50000</v>
      </c>
      <c r="G293" s="19">
        <f>F293</f>
        <v>50000</v>
      </c>
      <c r="H293" s="4"/>
      <c r="I293" s="46"/>
    </row>
    <row r="294" spans="1:9" s="20" customFormat="1" ht="47.25" hidden="1">
      <c r="A294" s="437" t="s">
        <v>76</v>
      </c>
      <c r="B294" s="436" t="s">
        <v>91</v>
      </c>
      <c r="C294" s="4" t="s">
        <v>334</v>
      </c>
      <c r="D294" s="17">
        <v>245113</v>
      </c>
      <c r="E294" s="4"/>
      <c r="F294" s="9"/>
      <c r="G294" s="19">
        <f>D294</f>
        <v>245113</v>
      </c>
      <c r="H294" s="4"/>
      <c r="I294" s="46"/>
    </row>
    <row r="295" spans="1:9" s="20" customFormat="1" ht="21" customHeight="1" hidden="1">
      <c r="A295" s="437"/>
      <c r="B295" s="436"/>
      <c r="C295" s="4"/>
      <c r="D295" s="17"/>
      <c r="E295" s="4"/>
      <c r="F295" s="9"/>
      <c r="G295" s="19">
        <f aca="true" t="shared" si="15" ref="G295:G301">D295</f>
        <v>0</v>
      </c>
      <c r="H295" s="4"/>
      <c r="I295" s="46"/>
    </row>
    <row r="296" spans="1:9" s="20" customFormat="1" ht="15.75" hidden="1">
      <c r="A296" s="437"/>
      <c r="B296" s="436"/>
      <c r="C296" s="4"/>
      <c r="D296" s="17">
        <v>0</v>
      </c>
      <c r="E296" s="4"/>
      <c r="F296" s="9"/>
      <c r="G296" s="19">
        <f t="shared" si="15"/>
        <v>0</v>
      </c>
      <c r="H296" s="4"/>
      <c r="I296" s="46"/>
    </row>
    <row r="297" spans="1:9" s="20" customFormat="1" ht="47.25" hidden="1">
      <c r="A297" s="437"/>
      <c r="B297" s="436"/>
      <c r="C297" s="4" t="s">
        <v>368</v>
      </c>
      <c r="D297" s="17">
        <v>63468</v>
      </c>
      <c r="E297" s="4"/>
      <c r="F297" s="9"/>
      <c r="G297" s="19">
        <f t="shared" si="15"/>
        <v>63468</v>
      </c>
      <c r="H297" s="4"/>
      <c r="I297" s="46"/>
    </row>
    <row r="298" spans="1:9" s="20" customFormat="1" ht="63" hidden="1">
      <c r="A298" s="437"/>
      <c r="B298" s="436"/>
      <c r="C298" s="4" t="s">
        <v>335</v>
      </c>
      <c r="D298" s="17">
        <v>3100</v>
      </c>
      <c r="E298" s="4"/>
      <c r="F298" s="9"/>
      <c r="G298" s="19">
        <f t="shared" si="15"/>
        <v>3100</v>
      </c>
      <c r="H298" s="4"/>
      <c r="I298" s="46"/>
    </row>
    <row r="299" spans="1:9" s="20" customFormat="1" ht="47.25" hidden="1">
      <c r="A299" s="437"/>
      <c r="B299" s="436"/>
      <c r="C299" s="4" t="s">
        <v>333</v>
      </c>
      <c r="D299" s="17">
        <v>18610</v>
      </c>
      <c r="E299" s="4"/>
      <c r="F299" s="9"/>
      <c r="G299" s="19">
        <f t="shared" si="15"/>
        <v>18610</v>
      </c>
      <c r="H299" s="4"/>
      <c r="I299" s="46"/>
    </row>
    <row r="300" spans="1:9" s="20" customFormat="1" ht="47.25" hidden="1">
      <c r="A300" s="437"/>
      <c r="B300" s="436"/>
      <c r="C300" s="4" t="s">
        <v>397</v>
      </c>
      <c r="D300" s="17">
        <v>32058</v>
      </c>
      <c r="E300" s="4"/>
      <c r="F300" s="9"/>
      <c r="G300" s="19">
        <f t="shared" si="15"/>
        <v>32058</v>
      </c>
      <c r="H300" s="4"/>
      <c r="I300" s="46"/>
    </row>
    <row r="301" spans="1:9" s="20" customFormat="1" ht="65.25" customHeight="1" hidden="1">
      <c r="A301" s="437"/>
      <c r="B301" s="436"/>
      <c r="C301" s="4" t="s">
        <v>363</v>
      </c>
      <c r="D301" s="17">
        <v>1465</v>
      </c>
      <c r="E301" s="4"/>
      <c r="F301" s="9"/>
      <c r="G301" s="19">
        <f t="shared" si="15"/>
        <v>1465</v>
      </c>
      <c r="H301" s="4"/>
      <c r="I301" s="46"/>
    </row>
    <row r="302" spans="1:9" s="33" customFormat="1" ht="47.25" hidden="1">
      <c r="A302" s="22" t="s">
        <v>138</v>
      </c>
      <c r="B302" s="23" t="s">
        <v>46</v>
      </c>
      <c r="C302" s="23"/>
      <c r="D302" s="24">
        <f>D305+D307+D309+D310+D311+D312+D313</f>
        <v>828027</v>
      </c>
      <c r="E302" s="23"/>
      <c r="F302" s="24">
        <f>F303+F304+F305+F306</f>
        <v>80975</v>
      </c>
      <c r="G302" s="28">
        <f>D302+F302</f>
        <v>909002</v>
      </c>
      <c r="H302" s="74"/>
      <c r="I302" s="46"/>
    </row>
    <row r="303" spans="1:9" s="33" customFormat="1" ht="49.5" customHeight="1" hidden="1">
      <c r="A303" s="18" t="s">
        <v>164</v>
      </c>
      <c r="B303" s="4" t="s">
        <v>165</v>
      </c>
      <c r="C303" s="4"/>
      <c r="D303" s="17"/>
      <c r="E303" s="4" t="s">
        <v>393</v>
      </c>
      <c r="F303" s="19">
        <v>27975</v>
      </c>
      <c r="G303" s="19">
        <f>F303</f>
        <v>27975</v>
      </c>
      <c r="H303" s="23"/>
      <c r="I303" s="46"/>
    </row>
    <row r="304" spans="1:9" s="33" customFormat="1" ht="49.5" customHeight="1" hidden="1">
      <c r="A304" s="18" t="s">
        <v>83</v>
      </c>
      <c r="B304" s="4" t="s">
        <v>84</v>
      </c>
      <c r="C304" s="4"/>
      <c r="D304" s="17"/>
      <c r="E304" s="4" t="s">
        <v>397</v>
      </c>
      <c r="F304" s="19">
        <v>3000</v>
      </c>
      <c r="G304" s="19">
        <f>F304</f>
        <v>3000</v>
      </c>
      <c r="H304" s="23"/>
      <c r="I304" s="46"/>
    </row>
    <row r="305" spans="1:9" s="20" customFormat="1" ht="48" customHeight="1" hidden="1">
      <c r="A305" s="18" t="s">
        <v>93</v>
      </c>
      <c r="B305" s="4" t="s">
        <v>94</v>
      </c>
      <c r="C305" s="4" t="s">
        <v>397</v>
      </c>
      <c r="D305" s="17">
        <v>650000</v>
      </c>
      <c r="E305" s="4"/>
      <c r="F305" s="19"/>
      <c r="G305" s="19">
        <f>D305+F305</f>
        <v>650000</v>
      </c>
      <c r="H305" s="4"/>
      <c r="I305" s="46"/>
    </row>
    <row r="306" spans="1:9" s="20" customFormat="1" ht="93.75" customHeight="1" hidden="1">
      <c r="A306" s="18" t="s">
        <v>70</v>
      </c>
      <c r="B306" s="4" t="s">
        <v>220</v>
      </c>
      <c r="C306" s="4"/>
      <c r="D306" s="17"/>
      <c r="E306" s="4" t="s">
        <v>353</v>
      </c>
      <c r="F306" s="19">
        <v>50000</v>
      </c>
      <c r="G306" s="19">
        <f>F306</f>
        <v>50000</v>
      </c>
      <c r="H306" s="4"/>
      <c r="I306" s="46"/>
    </row>
    <row r="307" spans="1:9" s="20" customFormat="1" ht="47.25" hidden="1">
      <c r="A307" s="437" t="s">
        <v>76</v>
      </c>
      <c r="B307" s="436" t="s">
        <v>91</v>
      </c>
      <c r="C307" s="4" t="s">
        <v>334</v>
      </c>
      <c r="D307" s="17">
        <v>72092</v>
      </c>
      <c r="E307" s="4"/>
      <c r="F307" s="9"/>
      <c r="G307" s="19">
        <f aca="true" t="shared" si="16" ref="G307:G313">D307</f>
        <v>72092</v>
      </c>
      <c r="H307" s="4"/>
      <c r="I307" s="46"/>
    </row>
    <row r="308" spans="1:9" s="20" customFormat="1" ht="30.75" customHeight="1" hidden="1">
      <c r="A308" s="437"/>
      <c r="B308" s="436"/>
      <c r="C308" s="4"/>
      <c r="D308" s="17"/>
      <c r="E308" s="4"/>
      <c r="F308" s="9"/>
      <c r="G308" s="19">
        <f t="shared" si="16"/>
        <v>0</v>
      </c>
      <c r="H308" s="4"/>
      <c r="I308" s="46"/>
    </row>
    <row r="309" spans="1:9" s="20" customFormat="1" ht="47.25" hidden="1">
      <c r="A309" s="437"/>
      <c r="B309" s="436"/>
      <c r="C309" s="4" t="s">
        <v>368</v>
      </c>
      <c r="D309" s="17">
        <v>43038</v>
      </c>
      <c r="E309" s="4"/>
      <c r="F309" s="9"/>
      <c r="G309" s="19">
        <f t="shared" si="16"/>
        <v>43038</v>
      </c>
      <c r="H309" s="4"/>
      <c r="I309" s="46"/>
    </row>
    <row r="310" spans="1:9" s="20" customFormat="1" ht="63" hidden="1">
      <c r="A310" s="437"/>
      <c r="B310" s="436"/>
      <c r="C310" s="4" t="s">
        <v>335</v>
      </c>
      <c r="D310" s="17">
        <v>2067</v>
      </c>
      <c r="E310" s="4"/>
      <c r="F310" s="9"/>
      <c r="G310" s="19">
        <f t="shared" si="16"/>
        <v>2067</v>
      </c>
      <c r="H310" s="4"/>
      <c r="I310" s="46"/>
    </row>
    <row r="311" spans="1:9" s="20" customFormat="1" ht="47.25" hidden="1">
      <c r="A311" s="437"/>
      <c r="B311" s="436"/>
      <c r="C311" s="4" t="s">
        <v>333</v>
      </c>
      <c r="D311" s="17">
        <v>26781</v>
      </c>
      <c r="E311" s="4"/>
      <c r="F311" s="9"/>
      <c r="G311" s="19">
        <f t="shared" si="16"/>
        <v>26781</v>
      </c>
      <c r="H311" s="4"/>
      <c r="I311" s="46"/>
    </row>
    <row r="312" spans="1:9" s="20" customFormat="1" ht="47.25" hidden="1">
      <c r="A312" s="437"/>
      <c r="B312" s="436"/>
      <c r="C312" s="4" t="s">
        <v>397</v>
      </c>
      <c r="D312" s="17">
        <v>33132</v>
      </c>
      <c r="E312" s="4"/>
      <c r="F312" s="9"/>
      <c r="G312" s="19">
        <f t="shared" si="16"/>
        <v>33132</v>
      </c>
      <c r="H312" s="4"/>
      <c r="I312" s="46"/>
    </row>
    <row r="313" spans="1:9" s="20" customFormat="1" ht="69" customHeight="1" hidden="1">
      <c r="A313" s="437"/>
      <c r="B313" s="436"/>
      <c r="C313" s="4" t="s">
        <v>363</v>
      </c>
      <c r="D313" s="17">
        <v>917</v>
      </c>
      <c r="E313" s="4"/>
      <c r="F313" s="9"/>
      <c r="G313" s="19">
        <f t="shared" si="16"/>
        <v>917</v>
      </c>
      <c r="H313" s="4"/>
      <c r="I313" s="46"/>
    </row>
    <row r="314" spans="1:9" s="20" customFormat="1" ht="46.5" customHeight="1" hidden="1">
      <c r="A314" s="22" t="s">
        <v>139</v>
      </c>
      <c r="B314" s="23" t="s">
        <v>47</v>
      </c>
      <c r="C314" s="4"/>
      <c r="D314" s="24">
        <f>D315+D317+D318+D320+D321+D323+D324+D325</f>
        <v>745594</v>
      </c>
      <c r="E314" s="4"/>
      <c r="F314" s="24">
        <f>F316</f>
        <v>27975</v>
      </c>
      <c r="G314" s="24">
        <f>D314+F314</f>
        <v>773569</v>
      </c>
      <c r="H314" s="71"/>
      <c r="I314" s="46"/>
    </row>
    <row r="315" spans="1:9" s="20" customFormat="1" ht="67.5" customHeight="1" hidden="1">
      <c r="A315" s="437" t="s">
        <v>164</v>
      </c>
      <c r="B315" s="436" t="s">
        <v>165</v>
      </c>
      <c r="C315" s="4" t="s">
        <v>363</v>
      </c>
      <c r="D315" s="17">
        <v>339</v>
      </c>
      <c r="E315" s="4"/>
      <c r="F315" s="24"/>
      <c r="G315" s="19">
        <f>D315</f>
        <v>339</v>
      </c>
      <c r="H315" s="71"/>
      <c r="I315" s="46"/>
    </row>
    <row r="316" spans="1:9" s="20" customFormat="1" ht="64.5" customHeight="1" hidden="1">
      <c r="A316" s="437"/>
      <c r="B316" s="436"/>
      <c r="C316" s="4"/>
      <c r="D316" s="17"/>
      <c r="E316" s="4" t="s">
        <v>393</v>
      </c>
      <c r="F316" s="19">
        <v>27975</v>
      </c>
      <c r="G316" s="19">
        <f>F316</f>
        <v>27975</v>
      </c>
      <c r="H316" s="4"/>
      <c r="I316" s="46"/>
    </row>
    <row r="317" spans="1:9" s="20" customFormat="1" ht="45.75" customHeight="1" hidden="1">
      <c r="A317" s="18" t="s">
        <v>93</v>
      </c>
      <c r="B317" s="4" t="s">
        <v>94</v>
      </c>
      <c r="C317" s="4" t="s">
        <v>397</v>
      </c>
      <c r="D317" s="17">
        <v>527000</v>
      </c>
      <c r="E317" s="4"/>
      <c r="F317" s="19"/>
      <c r="G317" s="19">
        <f>D317</f>
        <v>527000</v>
      </c>
      <c r="H317" s="4"/>
      <c r="I317" s="46"/>
    </row>
    <row r="318" spans="1:9" s="20" customFormat="1" ht="47.25" hidden="1">
      <c r="A318" s="437" t="s">
        <v>76</v>
      </c>
      <c r="B318" s="436" t="s">
        <v>91</v>
      </c>
      <c r="C318" s="4" t="s">
        <v>334</v>
      </c>
      <c r="D318" s="17">
        <v>100929</v>
      </c>
      <c r="E318" s="4"/>
      <c r="F318" s="9"/>
      <c r="G318" s="19">
        <f aca="true" t="shared" si="17" ref="G318:G325">D318</f>
        <v>100929</v>
      </c>
      <c r="H318" s="4"/>
      <c r="I318" s="46"/>
    </row>
    <row r="319" spans="1:9" s="20" customFormat="1" ht="15.75" customHeight="1" hidden="1">
      <c r="A319" s="437"/>
      <c r="B319" s="436"/>
      <c r="C319" s="4"/>
      <c r="D319" s="17"/>
      <c r="E319" s="4"/>
      <c r="F319" s="19">
        <v>0</v>
      </c>
      <c r="G319" s="19">
        <f t="shared" si="17"/>
        <v>0</v>
      </c>
      <c r="H319" s="4"/>
      <c r="I319" s="46"/>
    </row>
    <row r="320" spans="1:9" s="20" customFormat="1" ht="47.25" hidden="1">
      <c r="A320" s="437"/>
      <c r="B320" s="436"/>
      <c r="C320" s="4" t="s">
        <v>368</v>
      </c>
      <c r="D320" s="17">
        <v>60000</v>
      </c>
      <c r="E320" s="4"/>
      <c r="F320" s="9"/>
      <c r="G320" s="19">
        <f t="shared" si="17"/>
        <v>60000</v>
      </c>
      <c r="H320" s="4"/>
      <c r="I320" s="46"/>
    </row>
    <row r="321" spans="1:9" s="20" customFormat="1" ht="63" hidden="1">
      <c r="A321" s="437"/>
      <c r="B321" s="436"/>
      <c r="C321" s="4" t="s">
        <v>335</v>
      </c>
      <c r="D321" s="17">
        <v>3500</v>
      </c>
      <c r="E321" s="4"/>
      <c r="F321" s="9"/>
      <c r="G321" s="19">
        <f t="shared" si="17"/>
        <v>3500</v>
      </c>
      <c r="H321" s="4"/>
      <c r="I321" s="46"/>
    </row>
    <row r="322" spans="1:9" s="20" customFormat="1" ht="24.75" customHeight="1" hidden="1">
      <c r="A322" s="437"/>
      <c r="B322" s="436"/>
      <c r="C322" s="4"/>
      <c r="D322" s="5"/>
      <c r="E322" s="4"/>
      <c r="F322" s="9"/>
      <c r="G322" s="19">
        <f t="shared" si="17"/>
        <v>0</v>
      </c>
      <c r="H322" s="4"/>
      <c r="I322" s="46"/>
    </row>
    <row r="323" spans="1:9" s="20" customFormat="1" ht="47.25" hidden="1">
      <c r="A323" s="437"/>
      <c r="B323" s="436"/>
      <c r="C323" s="4" t="s">
        <v>333</v>
      </c>
      <c r="D323" s="17">
        <v>19000</v>
      </c>
      <c r="E323" s="4"/>
      <c r="F323" s="9"/>
      <c r="G323" s="19">
        <f t="shared" si="17"/>
        <v>19000</v>
      </c>
      <c r="H323" s="4"/>
      <c r="I323" s="46"/>
    </row>
    <row r="324" spans="1:9" s="20" customFormat="1" ht="47.25" hidden="1">
      <c r="A324" s="437"/>
      <c r="B324" s="436"/>
      <c r="C324" s="4" t="s">
        <v>397</v>
      </c>
      <c r="D324" s="17">
        <v>32792</v>
      </c>
      <c r="E324" s="4"/>
      <c r="F324" s="9"/>
      <c r="G324" s="19">
        <f t="shared" si="17"/>
        <v>32792</v>
      </c>
      <c r="H324" s="4"/>
      <c r="I324" s="46"/>
    </row>
    <row r="325" spans="1:9" s="20" customFormat="1" ht="68.25" customHeight="1" hidden="1">
      <c r="A325" s="437"/>
      <c r="B325" s="436"/>
      <c r="C325" s="4" t="s">
        <v>363</v>
      </c>
      <c r="D325" s="17">
        <v>2034</v>
      </c>
      <c r="E325" s="4"/>
      <c r="F325" s="9"/>
      <c r="G325" s="19">
        <f t="shared" si="17"/>
        <v>2034</v>
      </c>
      <c r="H325" s="4"/>
      <c r="I325" s="46"/>
    </row>
    <row r="326" spans="1:11" s="34" customFormat="1" ht="15.75" hidden="1">
      <c r="A326" s="23"/>
      <c r="B326" s="23" t="s">
        <v>65</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449" t="s">
        <v>199</v>
      </c>
      <c r="B328" s="449"/>
      <c r="C328" s="66"/>
      <c r="D328" s="67"/>
      <c r="E328" s="54"/>
      <c r="F328" s="57" t="s">
        <v>200</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338</v>
      </c>
      <c r="D334" s="10">
        <f>D318+D307+D294+D280+D269+D258+D244</f>
        <v>803906</v>
      </c>
      <c r="F334" s="10"/>
    </row>
    <row r="335" spans="2:6" ht="15.75" hidden="1">
      <c r="B335" s="1" t="s">
        <v>339</v>
      </c>
      <c r="D335" s="10">
        <f>D321+D310+D298+D283+D272+D261+D247</f>
        <v>25756</v>
      </c>
      <c r="F335" s="10"/>
    </row>
    <row r="336" spans="2:6" ht="15.75" hidden="1">
      <c r="B336" s="1" t="s">
        <v>340</v>
      </c>
      <c r="C336" s="3"/>
      <c r="D336" s="10">
        <f>D323+D311+D299+D284+D274+D263+D250</f>
        <v>167225</v>
      </c>
      <c r="F336" s="10"/>
    </row>
    <row r="337" spans="2:6" ht="15.75" hidden="1">
      <c r="B337" s="1" t="s">
        <v>341</v>
      </c>
      <c r="D337" s="10">
        <f>D320+D309+D297+D282+D271+D260+D246</f>
        <v>496776</v>
      </c>
      <c r="F337" s="10"/>
    </row>
    <row r="338" spans="2:6" ht="15.75" hidden="1">
      <c r="B338" s="1" t="s">
        <v>342</v>
      </c>
      <c r="D338" s="10">
        <f>D325+D313+D301+D285+D275+D251+D315+D288+D229+D220+D187+D157+D143+D139+D137+D134+D131+D128+D109+D101++D100+D90+D79+D74+D13+D136+D33+D36+D42+D44+D50+D51+D53+D55+D56+D63+D65</f>
        <v>757108</v>
      </c>
      <c r="F338" s="10"/>
    </row>
    <row r="339" spans="2:6" ht="15.75" hidden="1">
      <c r="B339" s="1" t="s">
        <v>343</v>
      </c>
      <c r="D339" s="10">
        <f>D324+D312+D300+D281+D270+D262+D245</f>
        <v>247576</v>
      </c>
      <c r="F339" s="10"/>
    </row>
    <row r="340" ht="15.75" hidden="1">
      <c r="F340" s="10"/>
    </row>
    <row r="341" ht="15.75" hidden="1">
      <c r="F341" s="10"/>
    </row>
    <row r="342" spans="2:6" ht="15.75" hidden="1">
      <c r="B342" s="1" t="s">
        <v>346</v>
      </c>
      <c r="D342" s="10">
        <f>D151</f>
        <v>120711</v>
      </c>
      <c r="F342" s="10"/>
    </row>
    <row r="343" spans="2:6" ht="15.75" hidden="1">
      <c r="B343" s="1" t="s">
        <v>347</v>
      </c>
      <c r="D343" s="10">
        <f>D106+D180</f>
        <v>680000</v>
      </c>
      <c r="E343" s="1" t="s">
        <v>348</v>
      </c>
      <c r="F343" s="10">
        <f>F106</f>
        <v>24192</v>
      </c>
    </row>
    <row r="344" spans="2:6" ht="15.75" hidden="1">
      <c r="B344" s="1" t="s">
        <v>349</v>
      </c>
      <c r="D344" s="10">
        <f>D232</f>
        <v>33000</v>
      </c>
      <c r="F344" s="10"/>
    </row>
    <row r="345" spans="2:6" ht="15.75" hidden="1">
      <c r="B345" s="1" t="s">
        <v>351</v>
      </c>
      <c r="D345" s="10">
        <f>D26</f>
        <v>3348800</v>
      </c>
      <c r="F345" s="10"/>
    </row>
    <row r="346" spans="2:6" ht="15.75" hidden="1">
      <c r="B346" s="1" t="s">
        <v>354</v>
      </c>
      <c r="D346" s="10">
        <f>D14</f>
        <v>480000</v>
      </c>
      <c r="F346" s="10"/>
    </row>
    <row r="347" spans="2:6" ht="15.75" hidden="1">
      <c r="B347" s="1" t="s">
        <v>357</v>
      </c>
      <c r="D347" s="10">
        <f>D23</f>
        <v>304955</v>
      </c>
      <c r="F347" s="10"/>
    </row>
    <row r="348" spans="2:6" ht="15.75" hidden="1">
      <c r="B348" s="1" t="s">
        <v>358</v>
      </c>
      <c r="D348" s="10">
        <f>D24</f>
        <v>209200</v>
      </c>
      <c r="F348" s="10">
        <f>F16</f>
        <v>415760</v>
      </c>
    </row>
    <row r="349" spans="2:6" ht="15.75" hidden="1">
      <c r="B349" s="1" t="s">
        <v>359</v>
      </c>
      <c r="D349" s="10">
        <f>D206</f>
        <v>2300000</v>
      </c>
      <c r="F349" s="10"/>
    </row>
    <row r="350" spans="2:8" ht="15.75" hidden="1">
      <c r="B350" s="1" t="s">
        <v>360</v>
      </c>
      <c r="D350" s="10">
        <f>D152</f>
        <v>108000</v>
      </c>
      <c r="E350" s="7"/>
      <c r="F350" s="10"/>
      <c r="H350" s="10"/>
    </row>
    <row r="351" spans="2:6" ht="15.75" hidden="1">
      <c r="B351" s="1" t="s">
        <v>365</v>
      </c>
      <c r="D351" s="10">
        <f>D190</f>
        <v>24055</v>
      </c>
      <c r="F351" s="1">
        <f>F190</f>
        <v>1550464</v>
      </c>
    </row>
    <row r="352" spans="2:7" ht="15.75" hidden="1">
      <c r="B352" s="1" t="s">
        <v>366</v>
      </c>
      <c r="C352" s="43"/>
      <c r="D352" s="44"/>
      <c r="E352" s="43"/>
      <c r="F352" s="10">
        <f>F191</f>
        <v>100487</v>
      </c>
      <c r="G352" s="43"/>
    </row>
    <row r="353" spans="2:7" ht="15.75" hidden="1">
      <c r="B353" s="1" t="s">
        <v>367</v>
      </c>
      <c r="C353" s="43"/>
      <c r="D353" s="10">
        <f>D192</f>
        <v>2910648</v>
      </c>
      <c r="E353" s="43"/>
      <c r="F353" s="44"/>
      <c r="G353" s="43"/>
    </row>
    <row r="354" spans="2:7" ht="15.75" hidden="1">
      <c r="B354" s="1" t="s">
        <v>361</v>
      </c>
      <c r="C354" s="43"/>
      <c r="D354" s="43"/>
      <c r="E354" s="43"/>
      <c r="F354" s="10">
        <f>F306+F293+F21</f>
        <v>300000</v>
      </c>
      <c r="G354" s="44"/>
    </row>
    <row r="355" ht="15.75" hidden="1"/>
    <row r="356" ht="15.75" hidden="1"/>
    <row r="357" spans="2:6" ht="15.75" hidden="1">
      <c r="B357" s="1" t="s">
        <v>369</v>
      </c>
      <c r="D357" s="10">
        <f>D324+D317+D312+D305+D300+D290+D281+D278+D270+D266+D262+D254+D245+D241+D179+D166+D162+D159+D158</f>
        <v>102708451</v>
      </c>
      <c r="F357" s="10">
        <f>F305+F304+F279+F278+F267+F266+F254+F235+F179+F176+F174+F169+F166+F165+F162</f>
        <v>76723720</v>
      </c>
    </row>
    <row r="358" ht="15.75" hidden="1"/>
    <row r="359" spans="2:6" ht="15.75" hidden="1">
      <c r="B359" s="1" t="s">
        <v>370</v>
      </c>
      <c r="D359" s="10">
        <f>D34+D37+D43+D54</f>
        <v>11151843</v>
      </c>
      <c r="F359" s="10">
        <f>F34+F37+F54+F67</f>
        <v>15404849</v>
      </c>
    </row>
    <row r="360" spans="2:4" ht="15.75" hidden="1">
      <c r="B360" s="1" t="s">
        <v>371</v>
      </c>
      <c r="D360" s="10">
        <f>D40+D58</f>
        <v>4900252</v>
      </c>
    </row>
    <row r="361" spans="2:4" ht="15.75" hidden="1">
      <c r="B361" s="1" t="s">
        <v>372</v>
      </c>
      <c r="D361" s="10">
        <f>D46</f>
        <v>29827597</v>
      </c>
    </row>
    <row r="362" spans="2:6" ht="15.75" hidden="1">
      <c r="B362" s="1" t="s">
        <v>373</v>
      </c>
      <c r="D362" s="10">
        <f>D59+D60+D61+D66</f>
        <v>1199500</v>
      </c>
      <c r="F362" s="10">
        <f>F66+F69</f>
        <v>1108725</v>
      </c>
    </row>
    <row r="363" spans="2:6" ht="15.75" hidden="1">
      <c r="B363" s="1" t="s">
        <v>374</v>
      </c>
      <c r="D363" s="10">
        <f>D57+D71+D72</f>
        <v>2578544</v>
      </c>
      <c r="F363" s="1">
        <f>F71</f>
        <v>31358</v>
      </c>
    </row>
    <row r="364" ht="15.75" hidden="1"/>
    <row r="365" ht="15.75" hidden="1"/>
    <row r="366" spans="2:6" ht="15.75" hidden="1">
      <c r="B366" s="1" t="s">
        <v>375</v>
      </c>
      <c r="D366" s="10">
        <f>D75+D80+D83+D86+D89</f>
        <v>0</v>
      </c>
      <c r="F366" s="10">
        <f>F75+F80+F83+F86+F89+F94+F236</f>
        <v>22518298</v>
      </c>
    </row>
    <row r="367" spans="2:6" ht="15.75" hidden="1">
      <c r="B367" s="1" t="s">
        <v>376</v>
      </c>
      <c r="D367" s="10">
        <f>D127+D129+D132+D135+D141</f>
        <v>5504638</v>
      </c>
      <c r="F367" s="10">
        <f>F127+F129+F132+F135+F141+F145</f>
        <v>4137302</v>
      </c>
    </row>
    <row r="368" spans="2:4" ht="15.75" hidden="1">
      <c r="B368" s="1" t="s">
        <v>377</v>
      </c>
      <c r="D368" s="10">
        <f>D138</f>
        <v>1114809</v>
      </c>
    </row>
    <row r="369" spans="2:6" ht="15.75" hidden="1">
      <c r="B369" s="1" t="s">
        <v>378</v>
      </c>
      <c r="D369" s="1">
        <f>D140</f>
        <v>1693819</v>
      </c>
      <c r="F369" s="1">
        <f>F140</f>
        <v>42020</v>
      </c>
    </row>
    <row r="370" ht="15.75" hidden="1"/>
    <row r="371" spans="2:6" ht="15.75" hidden="1">
      <c r="B371" s="1" t="s">
        <v>379</v>
      </c>
      <c r="D371" s="10">
        <f>D105+D110+D112+D117+D119+D120+D103</f>
        <v>13778297</v>
      </c>
      <c r="F371" s="10">
        <f>F105+F115</f>
        <v>4271341</v>
      </c>
    </row>
    <row r="372" spans="2:6" ht="15.75" hidden="1">
      <c r="B372" s="1" t="s">
        <v>380</v>
      </c>
      <c r="F372" s="10">
        <f>F114</f>
        <v>0</v>
      </c>
    </row>
    <row r="373" spans="4:6" ht="15.75" hidden="1">
      <c r="D373" s="10"/>
      <c r="F373" s="10"/>
    </row>
    <row r="374" ht="15.75" hidden="1">
      <c r="F374" s="10"/>
    </row>
    <row r="376" spans="2:6" ht="15.75">
      <c r="B376" s="1" t="s">
        <v>381</v>
      </c>
      <c r="D376" s="10">
        <f>D207+D213</f>
        <v>10122723</v>
      </c>
      <c r="F376" s="10">
        <f>F210</f>
        <v>66000</v>
      </c>
    </row>
    <row r="377" spans="2:6" ht="15.75">
      <c r="B377" s="1" t="s">
        <v>382</v>
      </c>
      <c r="D377" s="10">
        <f>D214</f>
        <v>2425000</v>
      </c>
      <c r="F377" s="10">
        <f>F211+F213</f>
        <v>2053987</v>
      </c>
    </row>
    <row r="378" spans="2:6" ht="15.75">
      <c r="B378" s="1" t="s">
        <v>383</v>
      </c>
      <c r="D378" s="10">
        <f>D215</f>
        <v>0</v>
      </c>
      <c r="F378" s="10">
        <f>F215</f>
        <v>0</v>
      </c>
    </row>
    <row r="380" spans="2:6" ht="15.75">
      <c r="B380" s="1" t="s">
        <v>384</v>
      </c>
      <c r="F380" s="10">
        <f>F201+F178+F70</f>
        <v>16840000</v>
      </c>
    </row>
  </sheetData>
  <sheetProtection/>
  <mergeCells count="127">
    <mergeCell ref="A288:A289"/>
    <mergeCell ref="A280:A285"/>
    <mergeCell ref="A328:B328"/>
    <mergeCell ref="H8:H9"/>
    <mergeCell ref="A294:A301"/>
    <mergeCell ref="B294:B301"/>
    <mergeCell ref="A307:A313"/>
    <mergeCell ref="B307:B313"/>
    <mergeCell ref="A318:A325"/>
    <mergeCell ref="B318:B325"/>
    <mergeCell ref="B239:B240"/>
    <mergeCell ref="B235:B236"/>
    <mergeCell ref="A239:A240"/>
    <mergeCell ref="C230:C232"/>
    <mergeCell ref="A235:A236"/>
    <mergeCell ref="B280:B285"/>
    <mergeCell ref="B244:B251"/>
    <mergeCell ref="A315:A316"/>
    <mergeCell ref="B315:B316"/>
    <mergeCell ref="A290:A291"/>
    <mergeCell ref="B290:B291"/>
    <mergeCell ref="B288:B289"/>
    <mergeCell ref="A210:A212"/>
    <mergeCell ref="B210:B212"/>
    <mergeCell ref="A254:A255"/>
    <mergeCell ref="B254:B255"/>
    <mergeCell ref="A244:A251"/>
    <mergeCell ref="C210:C212"/>
    <mergeCell ref="D211:D212"/>
    <mergeCell ref="A214:A215"/>
    <mergeCell ref="B214:B215"/>
    <mergeCell ref="A269:A275"/>
    <mergeCell ref="B269:B275"/>
    <mergeCell ref="A258:A263"/>
    <mergeCell ref="B258:B263"/>
    <mergeCell ref="A219:A220"/>
    <mergeCell ref="B219:B220"/>
    <mergeCell ref="A208:A209"/>
    <mergeCell ref="B208:B209"/>
    <mergeCell ref="A171:A173"/>
    <mergeCell ref="B171:B173"/>
    <mergeCell ref="A176:A177"/>
    <mergeCell ref="B176:B177"/>
    <mergeCell ref="A191:A193"/>
    <mergeCell ref="B191:B193"/>
    <mergeCell ref="A179:A180"/>
    <mergeCell ref="B179:B180"/>
    <mergeCell ref="A138:A139"/>
    <mergeCell ref="B138:B139"/>
    <mergeCell ref="A140:A144"/>
    <mergeCell ref="B140:B144"/>
    <mergeCell ref="A169:A170"/>
    <mergeCell ref="B169:B170"/>
    <mergeCell ref="A166:A167"/>
    <mergeCell ref="B166:B167"/>
    <mergeCell ref="A159:A160"/>
    <mergeCell ref="B159:B160"/>
    <mergeCell ref="A156:A157"/>
    <mergeCell ref="B156:B157"/>
    <mergeCell ref="A161:A163"/>
    <mergeCell ref="B161:B163"/>
    <mergeCell ref="A114:A115"/>
    <mergeCell ref="B114:B115"/>
    <mergeCell ref="A132:A134"/>
    <mergeCell ref="B132:B134"/>
    <mergeCell ref="A135:A137"/>
    <mergeCell ref="B135:B137"/>
    <mergeCell ref="A86:A88"/>
    <mergeCell ref="B86:B88"/>
    <mergeCell ref="A129:A131"/>
    <mergeCell ref="B129:B131"/>
    <mergeCell ref="A110:A111"/>
    <mergeCell ref="B110:B111"/>
    <mergeCell ref="A112:A113"/>
    <mergeCell ref="B112:B113"/>
    <mergeCell ref="A127:A128"/>
    <mergeCell ref="B127:B128"/>
    <mergeCell ref="A101:A102"/>
    <mergeCell ref="B101:B102"/>
    <mergeCell ref="B89:B90"/>
    <mergeCell ref="A95:A96"/>
    <mergeCell ref="B95:B96"/>
    <mergeCell ref="C71:C72"/>
    <mergeCell ref="A75:A79"/>
    <mergeCell ref="B75:B79"/>
    <mergeCell ref="A80:A82"/>
    <mergeCell ref="B80:B82"/>
    <mergeCell ref="A61:A63"/>
    <mergeCell ref="B61:B63"/>
    <mergeCell ref="A54:A55"/>
    <mergeCell ref="B116:B118"/>
    <mergeCell ref="A117:A118"/>
    <mergeCell ref="A98:A100"/>
    <mergeCell ref="B98:B100"/>
    <mergeCell ref="A105:A109"/>
    <mergeCell ref="B105:B109"/>
    <mergeCell ref="A89:A90"/>
    <mergeCell ref="B83:B85"/>
    <mergeCell ref="A83:A85"/>
    <mergeCell ref="A65:A66"/>
    <mergeCell ref="B65:B66"/>
    <mergeCell ref="A67:A69"/>
    <mergeCell ref="B67:B69"/>
    <mergeCell ref="B54:B55"/>
    <mergeCell ref="A46:A50"/>
    <mergeCell ref="A34:A36"/>
    <mergeCell ref="B34:B36"/>
    <mergeCell ref="A37:A42"/>
    <mergeCell ref="B46:B50"/>
    <mergeCell ref="A52:A53"/>
    <mergeCell ref="B52:B53"/>
    <mergeCell ref="A43:A45"/>
    <mergeCell ref="B43:B45"/>
    <mergeCell ref="A5:G5"/>
    <mergeCell ref="B8:B9"/>
    <mergeCell ref="C8:D8"/>
    <mergeCell ref="E8:F8"/>
    <mergeCell ref="A12:A13"/>
    <mergeCell ref="C16:C19"/>
    <mergeCell ref="A23:A30"/>
    <mergeCell ref="B23:B30"/>
    <mergeCell ref="B12:B13"/>
    <mergeCell ref="A14:A15"/>
    <mergeCell ref="B14:B15"/>
    <mergeCell ref="B37:B42"/>
    <mergeCell ref="A16:A19"/>
    <mergeCell ref="B16:B19"/>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421875" style="1" customWidth="1"/>
    <col min="2" max="2" width="35.8515625" style="1" customWidth="1"/>
    <col min="3" max="3" width="62.8515625" style="1" customWidth="1"/>
    <col min="4" max="4" width="12.57421875" style="1" customWidth="1"/>
    <col min="5" max="5" width="62.57421875" style="1" customWidth="1"/>
    <col min="6" max="6" width="13.421875" style="1" customWidth="1"/>
    <col min="7" max="7" width="15.421875" style="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196</v>
      </c>
      <c r="G1" s="13"/>
    </row>
    <row r="2" spans="5:7" ht="28.5" customHeight="1">
      <c r="E2" s="14" t="s">
        <v>197</v>
      </c>
      <c r="G2" s="13"/>
    </row>
    <row r="3" spans="3:7" ht="39.75" customHeight="1">
      <c r="C3" s="8"/>
      <c r="E3" s="14" t="s">
        <v>304</v>
      </c>
      <c r="G3" s="13"/>
    </row>
    <row r="5" spans="1:10" s="6" customFormat="1" ht="28.5" customHeight="1">
      <c r="A5" s="438" t="s">
        <v>332</v>
      </c>
      <c r="B5" s="438"/>
      <c r="C5" s="438"/>
      <c r="D5" s="438"/>
      <c r="E5" s="438"/>
      <c r="F5" s="438"/>
      <c r="G5" s="438"/>
      <c r="H5" s="49"/>
      <c r="J5" s="50"/>
    </row>
    <row r="6" spans="1:4" ht="5.25" customHeight="1">
      <c r="A6" s="63"/>
      <c r="B6" s="63"/>
      <c r="C6" s="63"/>
      <c r="D6" s="63"/>
    </row>
    <row r="7" spans="1:8" ht="16.5" customHeight="1">
      <c r="A7" s="63"/>
      <c r="B7" s="63"/>
      <c r="C7" s="63"/>
      <c r="D7" s="63"/>
      <c r="E7" s="63"/>
      <c r="F7" s="63"/>
      <c r="G7" s="68" t="s">
        <v>64</v>
      </c>
      <c r="H7" s="63"/>
    </row>
    <row r="8" spans="1:8" s="2" customFormat="1" ht="45.75" customHeight="1">
      <c r="A8" s="64" t="s">
        <v>33</v>
      </c>
      <c r="B8" s="436" t="s">
        <v>35</v>
      </c>
      <c r="C8" s="436" t="s">
        <v>59</v>
      </c>
      <c r="D8" s="436"/>
      <c r="E8" s="436" t="s">
        <v>62</v>
      </c>
      <c r="F8" s="436"/>
      <c r="G8" s="4" t="s">
        <v>63</v>
      </c>
      <c r="H8" s="20"/>
    </row>
    <row r="9" spans="1:8" s="2" customFormat="1" ht="57.75" customHeight="1">
      <c r="A9" s="64" t="s">
        <v>34</v>
      </c>
      <c r="B9" s="436"/>
      <c r="C9" s="4" t="s">
        <v>60</v>
      </c>
      <c r="D9" s="4" t="s">
        <v>61</v>
      </c>
      <c r="E9" s="4" t="s">
        <v>60</v>
      </c>
      <c r="F9" s="4" t="s">
        <v>61</v>
      </c>
      <c r="G9" s="4" t="s">
        <v>61</v>
      </c>
      <c r="H9" s="20"/>
    </row>
    <row r="10" spans="1:8" s="2" customFormat="1" ht="16.5" customHeight="1">
      <c r="A10" s="4">
        <v>1</v>
      </c>
      <c r="B10" s="4">
        <v>2</v>
      </c>
      <c r="C10" s="4">
        <v>3</v>
      </c>
      <c r="D10" s="4">
        <v>4</v>
      </c>
      <c r="E10" s="4">
        <v>5</v>
      </c>
      <c r="F10" s="4">
        <v>6</v>
      </c>
      <c r="G10" s="4">
        <v>7</v>
      </c>
      <c r="H10" s="20"/>
    </row>
    <row r="11" spans="1:9" s="2" customFormat="1" ht="31.5">
      <c r="A11" s="22" t="s">
        <v>132</v>
      </c>
      <c r="B11" s="23" t="s">
        <v>37</v>
      </c>
      <c r="C11" s="4"/>
      <c r="D11" s="24">
        <f>D13+D14+D23+D24+D26+D28+D29+D30</f>
        <v>0</v>
      </c>
      <c r="E11" s="4"/>
      <c r="F11" s="28">
        <f>F12+F15+F16+F20+F21+F23+F24+F26+F28+F29+F30</f>
        <v>0</v>
      </c>
      <c r="G11" s="28">
        <f>D11+F11</f>
        <v>0</v>
      </c>
      <c r="H11" s="47"/>
      <c r="I11" s="46"/>
    </row>
    <row r="12" spans="1:9" s="20" customFormat="1" ht="47.25">
      <c r="A12" s="437" t="s">
        <v>164</v>
      </c>
      <c r="B12" s="436" t="s">
        <v>165</v>
      </c>
      <c r="C12" s="4"/>
      <c r="D12" s="17"/>
      <c r="E12" s="4" t="s">
        <v>310</v>
      </c>
      <c r="F12" s="19"/>
      <c r="G12" s="19">
        <f>D12+F12</f>
        <v>0</v>
      </c>
      <c r="I12" s="46"/>
    </row>
    <row r="13" spans="1:9" s="20" customFormat="1" ht="68.25" customHeight="1">
      <c r="A13" s="437"/>
      <c r="B13" s="436"/>
      <c r="C13" s="61" t="s">
        <v>279</v>
      </c>
      <c r="D13" s="17"/>
      <c r="E13" s="4"/>
      <c r="F13" s="19"/>
      <c r="G13" s="19">
        <f aca="true" t="shared" si="0" ref="G13:G25">D13+F13</f>
        <v>0</v>
      </c>
      <c r="I13" s="46"/>
    </row>
    <row r="14" spans="1:9" s="20" customFormat="1" ht="51" customHeight="1">
      <c r="A14" s="437" t="s">
        <v>77</v>
      </c>
      <c r="B14" s="436" t="s">
        <v>103</v>
      </c>
      <c r="C14" s="4" t="s">
        <v>313</v>
      </c>
      <c r="D14" s="17"/>
      <c r="E14" s="4"/>
      <c r="F14" s="9"/>
      <c r="G14" s="19">
        <f t="shared" si="0"/>
        <v>0</v>
      </c>
      <c r="I14" s="46"/>
    </row>
    <row r="15" spans="1:9" s="20" customFormat="1" ht="31.5">
      <c r="A15" s="437"/>
      <c r="B15" s="436"/>
      <c r="C15" s="4"/>
      <c r="D15" s="17"/>
      <c r="E15" s="35" t="s">
        <v>312</v>
      </c>
      <c r="F15" s="36"/>
      <c r="G15" s="59">
        <f t="shared" si="0"/>
        <v>0</v>
      </c>
      <c r="I15" s="46"/>
    </row>
    <row r="16" spans="1:9" s="20" customFormat="1" ht="63">
      <c r="A16" s="437" t="s">
        <v>83</v>
      </c>
      <c r="B16" s="436" t="s">
        <v>84</v>
      </c>
      <c r="C16" s="436"/>
      <c r="D16" s="17"/>
      <c r="E16" s="4" t="s">
        <v>311</v>
      </c>
      <c r="F16" s="19"/>
      <c r="G16" s="19">
        <f t="shared" si="0"/>
        <v>0</v>
      </c>
      <c r="I16" s="46"/>
    </row>
    <row r="17" spans="1:9" s="20" customFormat="1" ht="44.25" customHeight="1" hidden="1">
      <c r="A17" s="437"/>
      <c r="B17" s="436"/>
      <c r="C17" s="436"/>
      <c r="D17" s="5"/>
      <c r="E17" s="4" t="s">
        <v>127</v>
      </c>
      <c r="F17" s="9"/>
      <c r="G17" s="19">
        <f t="shared" si="0"/>
        <v>0</v>
      </c>
      <c r="I17" s="46"/>
    </row>
    <row r="18" spans="1:9" s="20" customFormat="1" ht="47.25" customHeight="1" hidden="1">
      <c r="A18" s="437"/>
      <c r="B18" s="436"/>
      <c r="C18" s="436"/>
      <c r="D18" s="5"/>
      <c r="E18" s="4" t="s">
        <v>126</v>
      </c>
      <c r="F18" s="19">
        <v>0</v>
      </c>
      <c r="G18" s="19">
        <f t="shared" si="0"/>
        <v>0</v>
      </c>
      <c r="I18" s="46"/>
    </row>
    <row r="19" spans="1:9" s="20" customFormat="1" ht="15.75" hidden="1">
      <c r="A19" s="437"/>
      <c r="B19" s="436"/>
      <c r="C19" s="436"/>
      <c r="D19" s="5"/>
      <c r="E19" s="4"/>
      <c r="F19" s="19">
        <v>0</v>
      </c>
      <c r="G19" s="19">
        <f t="shared" si="0"/>
        <v>0</v>
      </c>
      <c r="I19" s="46"/>
    </row>
    <row r="20" spans="1:9" s="20" customFormat="1" ht="222" customHeight="1">
      <c r="A20" s="18" t="s">
        <v>210</v>
      </c>
      <c r="B20" s="40" t="s">
        <v>211</v>
      </c>
      <c r="C20" s="4"/>
      <c r="D20" s="5"/>
      <c r="E20" s="4" t="s">
        <v>253</v>
      </c>
      <c r="F20" s="19"/>
      <c r="G20" s="19">
        <f t="shared" si="0"/>
        <v>0</v>
      </c>
      <c r="I20" s="46"/>
    </row>
    <row r="21" spans="1:9" s="20" customFormat="1" ht="46.5" customHeight="1">
      <c r="A21" s="26">
        <v>240900</v>
      </c>
      <c r="B21" s="4" t="s">
        <v>104</v>
      </c>
      <c r="C21" s="16"/>
      <c r="D21" s="15"/>
      <c r="E21" s="4" t="s">
        <v>314</v>
      </c>
      <c r="F21" s="19"/>
      <c r="G21" s="19">
        <f t="shared" si="0"/>
        <v>0</v>
      </c>
      <c r="I21" s="46"/>
    </row>
    <row r="22" spans="1:9" s="20" customFormat="1" ht="75" customHeight="1" hidden="1">
      <c r="A22" s="26">
        <v>250203</v>
      </c>
      <c r="B22" s="4" t="s">
        <v>191</v>
      </c>
      <c r="C22" s="4"/>
      <c r="D22" s="21">
        <v>0</v>
      </c>
      <c r="E22" s="4"/>
      <c r="F22" s="9"/>
      <c r="G22" s="19">
        <f t="shared" si="0"/>
        <v>0</v>
      </c>
      <c r="I22" s="46"/>
    </row>
    <row r="23" spans="1:9" s="20" customFormat="1" ht="94.5">
      <c r="A23" s="435">
        <v>250404</v>
      </c>
      <c r="B23" s="436" t="s">
        <v>91</v>
      </c>
      <c r="C23" s="4" t="s">
        <v>295</v>
      </c>
      <c r="D23" s="21">
        <v>0</v>
      </c>
      <c r="E23" s="9"/>
      <c r="F23" s="12"/>
      <c r="G23" s="19">
        <f t="shared" si="0"/>
        <v>0</v>
      </c>
      <c r="I23" s="46"/>
    </row>
    <row r="24" spans="1:9" s="20" customFormat="1" ht="63">
      <c r="A24" s="435"/>
      <c r="B24" s="436"/>
      <c r="C24" s="4" t="s">
        <v>311</v>
      </c>
      <c r="D24" s="17">
        <v>0</v>
      </c>
      <c r="E24" s="4"/>
      <c r="F24" s="19">
        <v>0</v>
      </c>
      <c r="G24" s="19">
        <f t="shared" si="0"/>
        <v>0</v>
      </c>
      <c r="I24" s="46"/>
    </row>
    <row r="25" spans="1:9" s="20" customFormat="1" ht="32.25" customHeight="1" hidden="1">
      <c r="A25" s="435"/>
      <c r="B25" s="436"/>
      <c r="C25" s="4" t="s">
        <v>128</v>
      </c>
      <c r="D25" s="17">
        <v>120000</v>
      </c>
      <c r="E25" s="4" t="s">
        <v>128</v>
      </c>
      <c r="F25" s="19">
        <v>0</v>
      </c>
      <c r="G25" s="19">
        <f t="shared" si="0"/>
        <v>120000</v>
      </c>
      <c r="I25" s="46"/>
    </row>
    <row r="26" spans="1:9" s="20" customFormat="1" ht="65.25" customHeight="1">
      <c r="A26" s="435"/>
      <c r="B26" s="436"/>
      <c r="C26" s="4" t="s">
        <v>315</v>
      </c>
      <c r="D26" s="17">
        <v>0</v>
      </c>
      <c r="E26" s="4"/>
      <c r="F26" s="19">
        <v>0</v>
      </c>
      <c r="G26" s="19">
        <f aca="true" t="shared" si="1" ref="G26:G31">D26+F26</f>
        <v>0</v>
      </c>
      <c r="I26" s="46"/>
    </row>
    <row r="27" spans="1:9" s="20" customFormat="1" ht="38.25" customHeight="1" hidden="1">
      <c r="A27" s="435"/>
      <c r="B27" s="436"/>
      <c r="C27" s="4" t="s">
        <v>195</v>
      </c>
      <c r="D27" s="17">
        <v>0</v>
      </c>
      <c r="E27" s="4"/>
      <c r="F27" s="19"/>
      <c r="G27" s="19">
        <f t="shared" si="1"/>
        <v>0</v>
      </c>
      <c r="I27" s="46"/>
    </row>
    <row r="28" spans="1:9" s="20" customFormat="1" ht="46.5" customHeight="1">
      <c r="A28" s="435"/>
      <c r="B28" s="436"/>
      <c r="C28" s="35" t="s">
        <v>312</v>
      </c>
      <c r="D28" s="38">
        <v>0</v>
      </c>
      <c r="E28" s="35"/>
      <c r="F28" s="36"/>
      <c r="G28" s="59">
        <f t="shared" si="1"/>
        <v>0</v>
      </c>
      <c r="I28" s="46"/>
    </row>
    <row r="29" spans="1:9" s="20" customFormat="1" ht="62.25" customHeight="1">
      <c r="A29" s="435"/>
      <c r="B29" s="436"/>
      <c r="C29" s="4" t="s">
        <v>309</v>
      </c>
      <c r="D29" s="17"/>
      <c r="E29" s="35"/>
      <c r="F29" s="36"/>
      <c r="G29" s="19">
        <f t="shared" si="1"/>
        <v>0</v>
      </c>
      <c r="I29" s="46"/>
    </row>
    <row r="30" spans="1:9" s="20" customFormat="1" ht="63">
      <c r="A30" s="435"/>
      <c r="B30" s="436"/>
      <c r="C30" s="4" t="s">
        <v>253</v>
      </c>
      <c r="D30" s="17"/>
      <c r="E30" s="4"/>
      <c r="F30" s="19"/>
      <c r="G30" s="19">
        <f t="shared" si="1"/>
        <v>0</v>
      </c>
      <c r="I30" s="46"/>
    </row>
    <row r="31" spans="1:9" s="20" customFormat="1" ht="47.25">
      <c r="A31" s="22" t="s">
        <v>140</v>
      </c>
      <c r="B31" s="23" t="s">
        <v>48</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164</v>
      </c>
      <c r="B32" s="4" t="s">
        <v>165</v>
      </c>
      <c r="C32" s="4" t="s">
        <v>189</v>
      </c>
      <c r="D32" s="17"/>
      <c r="E32" s="4"/>
      <c r="F32" s="19"/>
      <c r="G32" s="9">
        <v>0</v>
      </c>
      <c r="I32" s="46"/>
    </row>
    <row r="33" spans="1:9" s="20" customFormat="1" ht="66" customHeight="1">
      <c r="A33" s="18" t="s">
        <v>164</v>
      </c>
      <c r="B33" s="4" t="s">
        <v>165</v>
      </c>
      <c r="C33" s="58" t="s">
        <v>279</v>
      </c>
      <c r="D33" s="17">
        <v>0</v>
      </c>
      <c r="E33" s="4"/>
      <c r="F33" s="19"/>
      <c r="G33" s="19">
        <f>D33+F33</f>
        <v>0</v>
      </c>
      <c r="I33" s="46"/>
    </row>
    <row r="34" spans="1:9" s="20" customFormat="1" ht="33" customHeight="1">
      <c r="A34" s="437" t="s">
        <v>66</v>
      </c>
      <c r="B34" s="436" t="s">
        <v>106</v>
      </c>
      <c r="C34" s="58" t="s">
        <v>271</v>
      </c>
      <c r="D34" s="17">
        <v>0</v>
      </c>
      <c r="E34" s="4" t="s">
        <v>316</v>
      </c>
      <c r="F34" s="19">
        <v>0</v>
      </c>
      <c r="G34" s="19">
        <f>D34+F34</f>
        <v>0</v>
      </c>
      <c r="H34" s="47"/>
      <c r="I34" s="46"/>
    </row>
    <row r="35" spans="1:9" s="20" customFormat="1" ht="47.25">
      <c r="A35" s="437"/>
      <c r="B35" s="436"/>
      <c r="C35" s="35" t="s">
        <v>263</v>
      </c>
      <c r="D35" s="38">
        <v>0</v>
      </c>
      <c r="E35" s="35" t="s">
        <v>263</v>
      </c>
      <c r="F35" s="36">
        <v>0</v>
      </c>
      <c r="G35" s="19">
        <f>D35+F35</f>
        <v>0</v>
      </c>
      <c r="I35" s="46"/>
    </row>
    <row r="36" spans="1:9" s="20" customFormat="1" ht="71.25" customHeight="1">
      <c r="A36" s="437"/>
      <c r="B36" s="436"/>
      <c r="C36" s="58" t="s">
        <v>279</v>
      </c>
      <c r="D36" s="17">
        <v>0</v>
      </c>
      <c r="E36" s="35"/>
      <c r="F36" s="36"/>
      <c r="G36" s="19">
        <f>D36+F36</f>
        <v>0</v>
      </c>
      <c r="I36" s="46"/>
    </row>
    <row r="37" spans="1:9" s="20" customFormat="1" ht="35.25" customHeight="1">
      <c r="A37" s="437" t="s">
        <v>67</v>
      </c>
      <c r="B37" s="437" t="s">
        <v>107</v>
      </c>
      <c r="C37" s="58" t="s">
        <v>271</v>
      </c>
      <c r="D37" s="17">
        <v>0</v>
      </c>
      <c r="E37" s="4" t="s">
        <v>316</v>
      </c>
      <c r="F37" s="19">
        <v>0</v>
      </c>
      <c r="G37" s="19">
        <f>D37+F37</f>
        <v>0</v>
      </c>
      <c r="H37" s="47"/>
      <c r="I37" s="46"/>
    </row>
    <row r="38" spans="1:9" s="20" customFormat="1" ht="32.25" customHeight="1" hidden="1">
      <c r="A38" s="437"/>
      <c r="B38" s="437"/>
      <c r="C38" s="58" t="s">
        <v>226</v>
      </c>
      <c r="D38" s="17"/>
      <c r="E38" s="4" t="s">
        <v>226</v>
      </c>
      <c r="F38" s="19"/>
      <c r="G38" s="19">
        <f aca="true" t="shared" si="2" ref="G38:G48">D38+F38</f>
        <v>0</v>
      </c>
      <c r="I38" s="46"/>
    </row>
    <row r="39" spans="1:9" s="20" customFormat="1" ht="66" customHeight="1" hidden="1">
      <c r="A39" s="437"/>
      <c r="B39" s="437"/>
      <c r="C39" s="58" t="s">
        <v>226</v>
      </c>
      <c r="D39" s="17"/>
      <c r="E39" s="4" t="s">
        <v>226</v>
      </c>
      <c r="F39" s="19"/>
      <c r="G39" s="19">
        <f t="shared" si="2"/>
        <v>0</v>
      </c>
      <c r="I39" s="46"/>
    </row>
    <row r="40" spans="1:9" s="20" customFormat="1" ht="35.25" customHeight="1">
      <c r="A40" s="437"/>
      <c r="B40" s="437"/>
      <c r="C40" s="58" t="s">
        <v>276</v>
      </c>
      <c r="D40" s="17">
        <v>0</v>
      </c>
      <c r="E40" s="4"/>
      <c r="F40" s="19"/>
      <c r="G40" s="19">
        <f t="shared" si="2"/>
        <v>0</v>
      </c>
      <c r="I40" s="46"/>
    </row>
    <row r="41" spans="1:9" s="20" customFormat="1" ht="47.25">
      <c r="A41" s="437"/>
      <c r="B41" s="437"/>
      <c r="C41" s="35" t="s">
        <v>263</v>
      </c>
      <c r="D41" s="38">
        <v>0</v>
      </c>
      <c r="E41" s="35" t="s">
        <v>263</v>
      </c>
      <c r="F41" s="36">
        <v>0</v>
      </c>
      <c r="G41" s="19">
        <f t="shared" si="2"/>
        <v>0</v>
      </c>
      <c r="I41" s="46"/>
    </row>
    <row r="42" spans="1:9" s="20" customFormat="1" ht="66" customHeight="1">
      <c r="A42" s="437"/>
      <c r="B42" s="437"/>
      <c r="C42" s="58" t="s">
        <v>279</v>
      </c>
      <c r="D42" s="17">
        <v>0</v>
      </c>
      <c r="E42" s="35"/>
      <c r="F42" s="36"/>
      <c r="G42" s="19">
        <f t="shared" si="2"/>
        <v>0</v>
      </c>
      <c r="I42" s="46"/>
    </row>
    <row r="43" spans="1:9" s="20" customFormat="1" ht="35.25" customHeight="1">
      <c r="A43" s="437" t="s">
        <v>68</v>
      </c>
      <c r="B43" s="436" t="s">
        <v>108</v>
      </c>
      <c r="C43" s="58" t="s">
        <v>271</v>
      </c>
      <c r="D43" s="17">
        <v>0</v>
      </c>
      <c r="E43" s="4"/>
      <c r="F43" s="19"/>
      <c r="G43" s="19">
        <f t="shared" si="2"/>
        <v>0</v>
      </c>
      <c r="I43" s="46"/>
    </row>
    <row r="44" spans="1:9" s="20" customFormat="1" ht="70.5" customHeight="1">
      <c r="A44" s="437"/>
      <c r="B44" s="436"/>
      <c r="C44" s="58" t="s">
        <v>279</v>
      </c>
      <c r="D44" s="17">
        <v>0</v>
      </c>
      <c r="E44" s="4"/>
      <c r="F44" s="19"/>
      <c r="G44" s="19">
        <f t="shared" si="2"/>
        <v>0</v>
      </c>
      <c r="I44" s="46"/>
    </row>
    <row r="45" spans="1:9" s="20" customFormat="1" ht="31.5">
      <c r="A45" s="437"/>
      <c r="B45" s="436"/>
      <c r="C45" s="4"/>
      <c r="D45" s="17"/>
      <c r="E45" s="35" t="s">
        <v>312</v>
      </c>
      <c r="F45" s="36">
        <v>0</v>
      </c>
      <c r="G45" s="19">
        <f t="shared" si="2"/>
        <v>0</v>
      </c>
      <c r="H45" s="47"/>
      <c r="I45" s="46"/>
    </row>
    <row r="46" spans="1:9" s="20" customFormat="1" ht="39" customHeight="1">
      <c r="A46" s="437" t="s">
        <v>25</v>
      </c>
      <c r="B46" s="436" t="s">
        <v>26</v>
      </c>
      <c r="C46" s="58" t="s">
        <v>262</v>
      </c>
      <c r="D46" s="17">
        <v>0</v>
      </c>
      <c r="E46" s="4" t="s">
        <v>317</v>
      </c>
      <c r="F46" s="19">
        <v>0</v>
      </c>
      <c r="G46" s="19">
        <f t="shared" si="2"/>
        <v>0</v>
      </c>
      <c r="H46" s="47"/>
      <c r="I46" s="46"/>
    </row>
    <row r="47" spans="1:9" s="20" customFormat="1" ht="46.5" customHeight="1" hidden="1">
      <c r="A47" s="437"/>
      <c r="B47" s="436"/>
      <c r="C47" s="4" t="s">
        <v>302</v>
      </c>
      <c r="D47" s="17">
        <v>0</v>
      </c>
      <c r="E47" s="4" t="s">
        <v>302</v>
      </c>
      <c r="F47" s="19">
        <v>0</v>
      </c>
      <c r="G47" s="19">
        <f t="shared" si="2"/>
        <v>0</v>
      </c>
      <c r="I47" s="46"/>
    </row>
    <row r="48" spans="1:9" s="20" customFormat="1" ht="51.75" customHeight="1" hidden="1">
      <c r="A48" s="437"/>
      <c r="B48" s="436"/>
      <c r="C48" s="4"/>
      <c r="D48" s="21">
        <v>0</v>
      </c>
      <c r="E48" s="26"/>
      <c r="F48" s="16"/>
      <c r="G48" s="19">
        <f t="shared" si="2"/>
        <v>0</v>
      </c>
      <c r="I48" s="46"/>
    </row>
    <row r="49" spans="1:9" s="20" customFormat="1" ht="47.25">
      <c r="A49" s="437"/>
      <c r="B49" s="436"/>
      <c r="C49" s="35" t="s">
        <v>263</v>
      </c>
      <c r="D49" s="36">
        <v>0</v>
      </c>
      <c r="E49" s="35" t="s">
        <v>263</v>
      </c>
      <c r="F49" s="36">
        <v>0</v>
      </c>
      <c r="G49" s="19">
        <f>D49+F49</f>
        <v>0</v>
      </c>
      <c r="I49" s="46"/>
    </row>
    <row r="50" spans="1:9" s="20" customFormat="1" ht="66.75" customHeight="1">
      <c r="A50" s="437"/>
      <c r="B50" s="436"/>
      <c r="C50" s="58" t="s">
        <v>279</v>
      </c>
      <c r="D50" s="19">
        <v>0</v>
      </c>
      <c r="E50" s="35"/>
      <c r="F50" s="36"/>
      <c r="G50" s="19">
        <f aca="true" t="shared" si="3" ref="G50:G67">D50+F50</f>
        <v>0</v>
      </c>
      <c r="I50" s="46"/>
    </row>
    <row r="51" spans="1:9" s="20" customFormat="1" ht="63.75" customHeight="1">
      <c r="A51" s="18" t="s">
        <v>273</v>
      </c>
      <c r="B51" s="4" t="s">
        <v>272</v>
      </c>
      <c r="C51" s="58" t="s">
        <v>279</v>
      </c>
      <c r="D51" s="19">
        <v>0</v>
      </c>
      <c r="E51" s="35"/>
      <c r="F51" s="36"/>
      <c r="G51" s="19">
        <f t="shared" si="3"/>
        <v>0</v>
      </c>
      <c r="I51" s="46"/>
    </row>
    <row r="52" spans="1:9" s="51" customFormat="1" ht="46.5" customHeight="1">
      <c r="A52" s="18" t="s">
        <v>280</v>
      </c>
      <c r="B52" s="4" t="s">
        <v>281</v>
      </c>
      <c r="C52" s="58" t="s">
        <v>271</v>
      </c>
      <c r="D52" s="19">
        <v>0</v>
      </c>
      <c r="E52" s="4" t="s">
        <v>316</v>
      </c>
      <c r="F52" s="19">
        <v>0</v>
      </c>
      <c r="G52" s="19">
        <f t="shared" si="3"/>
        <v>0</v>
      </c>
      <c r="H52" s="47"/>
      <c r="I52" s="52"/>
    </row>
    <row r="53" spans="1:9" s="20" customFormat="1" ht="60.75" customHeight="1">
      <c r="A53" s="18" t="s">
        <v>274</v>
      </c>
      <c r="B53" s="4" t="s">
        <v>275</v>
      </c>
      <c r="C53" s="60" t="s">
        <v>279</v>
      </c>
      <c r="D53" s="19">
        <v>0</v>
      </c>
      <c r="E53" s="35"/>
      <c r="F53" s="36"/>
      <c r="G53" s="19">
        <f t="shared" si="3"/>
        <v>0</v>
      </c>
      <c r="I53" s="46"/>
    </row>
    <row r="54" spans="1:9" s="20" customFormat="1" ht="47.25">
      <c r="A54" s="25" t="s">
        <v>80</v>
      </c>
      <c r="B54" s="4" t="s">
        <v>27</v>
      </c>
      <c r="C54" s="4" t="s">
        <v>319</v>
      </c>
      <c r="D54" s="21">
        <v>0</v>
      </c>
      <c r="E54" s="4"/>
      <c r="F54" s="16"/>
      <c r="G54" s="19">
        <f t="shared" si="3"/>
        <v>0</v>
      </c>
      <c r="I54" s="46"/>
    </row>
    <row r="55" spans="1:9" s="20" customFormat="1" ht="95.25" customHeight="1">
      <c r="A55" s="18" t="s">
        <v>69</v>
      </c>
      <c r="B55" s="4" t="s">
        <v>102</v>
      </c>
      <c r="C55" s="60" t="s">
        <v>276</v>
      </c>
      <c r="D55" s="17">
        <v>0</v>
      </c>
      <c r="E55" s="4"/>
      <c r="F55" s="9"/>
      <c r="G55" s="19">
        <f t="shared" si="3"/>
        <v>0</v>
      </c>
      <c r="I55" s="46"/>
    </row>
    <row r="56" spans="1:9" s="20" customFormat="1" ht="35.25" customHeight="1">
      <c r="A56" s="18" t="s">
        <v>156</v>
      </c>
      <c r="B56" s="4" t="s">
        <v>157</v>
      </c>
      <c r="C56" s="60" t="s">
        <v>240</v>
      </c>
      <c r="D56" s="17">
        <v>0</v>
      </c>
      <c r="E56" s="4"/>
      <c r="F56" s="9"/>
      <c r="G56" s="19">
        <f t="shared" si="3"/>
        <v>0</v>
      </c>
      <c r="I56" s="46"/>
    </row>
    <row r="57" spans="1:9" s="20" customFormat="1" ht="47.25">
      <c r="A57" s="18" t="s">
        <v>237</v>
      </c>
      <c r="B57" s="4" t="s">
        <v>238</v>
      </c>
      <c r="C57" s="60" t="s">
        <v>240</v>
      </c>
      <c r="D57" s="17">
        <v>0</v>
      </c>
      <c r="E57" s="4"/>
      <c r="F57" s="19"/>
      <c r="G57" s="19">
        <f t="shared" si="3"/>
        <v>0</v>
      </c>
      <c r="I57" s="46"/>
    </row>
    <row r="58" spans="1:9" s="20" customFormat="1" ht="31.5" customHeight="1">
      <c r="A58" s="437" t="s">
        <v>109</v>
      </c>
      <c r="B58" s="436" t="s">
        <v>190</v>
      </c>
      <c r="C58" s="60" t="s">
        <v>240</v>
      </c>
      <c r="D58" s="17">
        <v>0</v>
      </c>
      <c r="E58" s="4"/>
      <c r="F58" s="19"/>
      <c r="G58" s="19">
        <f t="shared" si="3"/>
        <v>0</v>
      </c>
      <c r="I58" s="46"/>
    </row>
    <row r="59" spans="1:9" s="20" customFormat="1" ht="47.25">
      <c r="A59" s="437"/>
      <c r="B59" s="436"/>
      <c r="C59" s="35" t="s">
        <v>263</v>
      </c>
      <c r="D59" s="36">
        <v>0</v>
      </c>
      <c r="E59" s="35" t="s">
        <v>312</v>
      </c>
      <c r="F59" s="36">
        <v>0</v>
      </c>
      <c r="G59" s="19">
        <f t="shared" si="3"/>
        <v>0</v>
      </c>
      <c r="H59" s="47"/>
      <c r="I59" s="46"/>
    </row>
    <row r="60" spans="1:9" s="20" customFormat="1" ht="65.25" customHeight="1">
      <c r="A60" s="437"/>
      <c r="B60" s="436"/>
      <c r="C60" s="4" t="s">
        <v>279</v>
      </c>
      <c r="D60" s="19">
        <v>0</v>
      </c>
      <c r="E60" s="35"/>
      <c r="F60" s="36"/>
      <c r="G60" s="19">
        <f t="shared" si="3"/>
        <v>0</v>
      </c>
      <c r="I60" s="46"/>
    </row>
    <row r="61" spans="1:9" s="20" customFormat="1" ht="47.25">
      <c r="A61" s="18" t="s">
        <v>154</v>
      </c>
      <c r="B61" s="4" t="s">
        <v>155</v>
      </c>
      <c r="C61" s="4" t="s">
        <v>254</v>
      </c>
      <c r="D61" s="17">
        <v>0</v>
      </c>
      <c r="E61" s="4"/>
      <c r="F61" s="19"/>
      <c r="G61" s="19">
        <f t="shared" si="3"/>
        <v>0</v>
      </c>
      <c r="I61" s="46"/>
    </row>
    <row r="62" spans="1:9" s="20" customFormat="1" ht="63">
      <c r="A62" s="435">
        <v>130112</v>
      </c>
      <c r="B62" s="436" t="s">
        <v>91</v>
      </c>
      <c r="C62" s="58" t="s">
        <v>279</v>
      </c>
      <c r="D62" s="17">
        <v>0</v>
      </c>
      <c r="E62" s="4"/>
      <c r="F62" s="19"/>
      <c r="G62" s="19">
        <f t="shared" si="3"/>
        <v>0</v>
      </c>
      <c r="I62" s="46"/>
    </row>
    <row r="63" spans="1:9" s="20" customFormat="1" ht="37.5" customHeight="1">
      <c r="A63" s="435"/>
      <c r="B63" s="436"/>
      <c r="C63" s="4" t="s">
        <v>318</v>
      </c>
      <c r="D63" s="21">
        <v>0</v>
      </c>
      <c r="E63" s="60" t="s">
        <v>240</v>
      </c>
      <c r="F63" s="12">
        <v>0</v>
      </c>
      <c r="G63" s="19">
        <f t="shared" si="3"/>
        <v>0</v>
      </c>
      <c r="H63" s="47"/>
      <c r="I63" s="46"/>
    </row>
    <row r="64" spans="1:9" s="20" customFormat="1" ht="31.5">
      <c r="A64" s="437" t="s">
        <v>83</v>
      </c>
      <c r="B64" s="436" t="s">
        <v>84</v>
      </c>
      <c r="C64" s="4"/>
      <c r="D64" s="5"/>
      <c r="E64" s="4" t="s">
        <v>316</v>
      </c>
      <c r="F64" s="12">
        <v>0</v>
      </c>
      <c r="G64" s="19">
        <f t="shared" si="3"/>
        <v>0</v>
      </c>
      <c r="H64" s="47"/>
      <c r="I64" s="46"/>
    </row>
    <row r="65" spans="1:9" s="20" customFormat="1" ht="31.5">
      <c r="A65" s="437"/>
      <c r="B65" s="436"/>
      <c r="C65" s="4"/>
      <c r="D65" s="5"/>
      <c r="E65" s="4" t="s">
        <v>317</v>
      </c>
      <c r="F65" s="12">
        <v>0</v>
      </c>
      <c r="G65" s="19">
        <f t="shared" si="3"/>
        <v>0</v>
      </c>
      <c r="I65" s="46"/>
    </row>
    <row r="66" spans="1:9" s="20" customFormat="1" ht="31.5">
      <c r="A66" s="437"/>
      <c r="B66" s="436"/>
      <c r="C66" s="4"/>
      <c r="D66" s="5"/>
      <c r="E66" s="4" t="s">
        <v>320</v>
      </c>
      <c r="F66" s="12">
        <v>0</v>
      </c>
      <c r="G66" s="19">
        <f t="shared" si="3"/>
        <v>0</v>
      </c>
      <c r="I66" s="46"/>
    </row>
    <row r="67" spans="1:9" s="20" customFormat="1" ht="47.25">
      <c r="A67" s="4">
        <v>240601</v>
      </c>
      <c r="B67" s="4" t="s">
        <v>105</v>
      </c>
      <c r="C67" s="4"/>
      <c r="D67" s="5"/>
      <c r="E67" s="4" t="s">
        <v>321</v>
      </c>
      <c r="F67" s="19">
        <v>0</v>
      </c>
      <c r="G67" s="19">
        <f t="shared" si="3"/>
        <v>0</v>
      </c>
      <c r="H67" s="47"/>
      <c r="I67" s="46"/>
    </row>
    <row r="68" spans="1:9" s="20" customFormat="1" ht="77.25" customHeight="1">
      <c r="A68" s="25" t="s">
        <v>23</v>
      </c>
      <c r="B68" s="4" t="s">
        <v>24</v>
      </c>
      <c r="C68" s="439" t="s">
        <v>319</v>
      </c>
      <c r="D68" s="15">
        <v>0</v>
      </c>
      <c r="E68" s="60" t="s">
        <v>239</v>
      </c>
      <c r="F68" s="16">
        <v>0</v>
      </c>
      <c r="G68" s="19">
        <f>D68+F68</f>
        <v>0</v>
      </c>
      <c r="I68" s="46"/>
    </row>
    <row r="69" spans="1:9" s="20" customFormat="1" ht="94.5">
      <c r="A69" s="25" t="s">
        <v>299</v>
      </c>
      <c r="B69" s="4" t="s">
        <v>300</v>
      </c>
      <c r="C69" s="440"/>
      <c r="D69" s="15">
        <v>0</v>
      </c>
      <c r="E69" s="4"/>
      <c r="F69" s="16"/>
      <c r="G69" s="19">
        <f>D69+F69</f>
        <v>0</v>
      </c>
      <c r="I69" s="46"/>
    </row>
    <row r="70" spans="1:9" s="20" customFormat="1" ht="46.5" customHeight="1">
      <c r="A70" s="22" t="s">
        <v>141</v>
      </c>
      <c r="B70" s="23" t="s">
        <v>49</v>
      </c>
      <c r="C70" s="4"/>
      <c r="D70" s="24">
        <f>D72+D73+D74+D75+D76+D77+D78+D79+D80+D81+D83+D82+D85+D86+D87+D89</f>
        <v>0</v>
      </c>
      <c r="E70" s="5"/>
      <c r="F70" s="24">
        <f>F72+F73+F75+F77+F78+F80+F81+F83+F84+F86+F90</f>
        <v>0</v>
      </c>
      <c r="G70" s="28">
        <f>D70+F70</f>
        <v>0</v>
      </c>
      <c r="H70" s="47"/>
      <c r="I70" s="46"/>
    </row>
    <row r="71" spans="1:9" s="20" customFormat="1" ht="34.5" customHeight="1" hidden="1">
      <c r="A71" s="18" t="s">
        <v>164</v>
      </c>
      <c r="B71" s="4" t="s">
        <v>165</v>
      </c>
      <c r="C71" s="4" t="s">
        <v>173</v>
      </c>
      <c r="D71" s="17"/>
      <c r="E71" s="4"/>
      <c r="F71" s="19"/>
      <c r="G71" s="19">
        <v>0</v>
      </c>
      <c r="I71" s="46"/>
    </row>
    <row r="72" spans="1:9" s="20" customFormat="1" ht="52.5" customHeight="1">
      <c r="A72" s="437" t="s">
        <v>71</v>
      </c>
      <c r="B72" s="436" t="s">
        <v>18</v>
      </c>
      <c r="C72" s="60" t="s">
        <v>289</v>
      </c>
      <c r="D72" s="17">
        <v>0</v>
      </c>
      <c r="E72" s="4" t="s">
        <v>322</v>
      </c>
      <c r="F72" s="19">
        <v>0</v>
      </c>
      <c r="G72" s="19">
        <f>D72+F72</f>
        <v>0</v>
      </c>
      <c r="H72" s="47"/>
      <c r="I72" s="46"/>
    </row>
    <row r="73" spans="1:9" s="20" customFormat="1" ht="51.75" customHeight="1">
      <c r="A73" s="437"/>
      <c r="B73" s="436"/>
      <c r="C73" s="4" t="s">
        <v>302</v>
      </c>
      <c r="D73" s="17">
        <v>0</v>
      </c>
      <c r="E73" s="4" t="s">
        <v>302</v>
      </c>
      <c r="F73" s="19">
        <v>0</v>
      </c>
      <c r="G73" s="19">
        <f aca="true" t="shared" si="4" ref="G73:G90">D73+F73</f>
        <v>0</v>
      </c>
      <c r="I73" s="46"/>
    </row>
    <row r="74" spans="1:9" s="20" customFormat="1" ht="54.75" customHeight="1">
      <c r="A74" s="437"/>
      <c r="B74" s="436"/>
      <c r="C74" s="60" t="s">
        <v>290</v>
      </c>
      <c r="D74" s="17">
        <v>0</v>
      </c>
      <c r="E74" s="4"/>
      <c r="F74" s="19"/>
      <c r="G74" s="19">
        <f t="shared" si="4"/>
        <v>0</v>
      </c>
      <c r="I74" s="46"/>
    </row>
    <row r="75" spans="1:9" s="20" customFormat="1" ht="47.25">
      <c r="A75" s="437"/>
      <c r="B75" s="436"/>
      <c r="C75" s="60" t="s">
        <v>263</v>
      </c>
      <c r="D75" s="38">
        <v>0</v>
      </c>
      <c r="E75" s="35" t="s">
        <v>312</v>
      </c>
      <c r="F75" s="36">
        <v>0</v>
      </c>
      <c r="G75" s="19">
        <f t="shared" si="4"/>
        <v>0</v>
      </c>
      <c r="I75" s="46"/>
    </row>
    <row r="76" spans="1:9" s="20" customFormat="1" ht="63">
      <c r="A76" s="437"/>
      <c r="B76" s="436"/>
      <c r="C76" s="60" t="s">
        <v>279</v>
      </c>
      <c r="D76" s="17">
        <v>0</v>
      </c>
      <c r="E76" s="35"/>
      <c r="F76" s="36"/>
      <c r="G76" s="19">
        <f t="shared" si="4"/>
        <v>0</v>
      </c>
      <c r="I76" s="46"/>
    </row>
    <row r="77" spans="1:9" s="20" customFormat="1" ht="50.25" customHeight="1">
      <c r="A77" s="437" t="s">
        <v>110</v>
      </c>
      <c r="B77" s="436" t="s">
        <v>228</v>
      </c>
      <c r="C77" s="60" t="s">
        <v>289</v>
      </c>
      <c r="D77" s="17">
        <v>0</v>
      </c>
      <c r="E77" s="4" t="s">
        <v>322</v>
      </c>
      <c r="F77" s="19">
        <v>0</v>
      </c>
      <c r="G77" s="19">
        <f t="shared" si="4"/>
        <v>0</v>
      </c>
      <c r="H77" s="47"/>
      <c r="I77" s="46"/>
    </row>
    <row r="78" spans="1:9" s="20" customFormat="1" ht="47.25">
      <c r="A78" s="437"/>
      <c r="B78" s="436"/>
      <c r="C78" s="35" t="s">
        <v>263</v>
      </c>
      <c r="D78" s="36">
        <v>0</v>
      </c>
      <c r="E78" s="35" t="s">
        <v>312</v>
      </c>
      <c r="F78" s="36">
        <v>0</v>
      </c>
      <c r="G78" s="19">
        <f t="shared" si="4"/>
        <v>0</v>
      </c>
      <c r="I78" s="46"/>
    </row>
    <row r="79" spans="1:9" s="20" customFormat="1" ht="63">
      <c r="A79" s="437"/>
      <c r="B79" s="436"/>
      <c r="C79" s="61" t="s">
        <v>279</v>
      </c>
      <c r="D79" s="19">
        <v>0</v>
      </c>
      <c r="E79" s="35"/>
      <c r="F79" s="36"/>
      <c r="G79" s="19">
        <f t="shared" si="4"/>
        <v>0</v>
      </c>
      <c r="I79" s="46"/>
    </row>
    <row r="80" spans="1:9" s="20" customFormat="1" ht="47.25">
      <c r="A80" s="437" t="s">
        <v>72</v>
      </c>
      <c r="B80" s="436" t="s">
        <v>19</v>
      </c>
      <c r="C80" s="61" t="s">
        <v>289</v>
      </c>
      <c r="D80" s="17">
        <v>0</v>
      </c>
      <c r="E80" s="4" t="s">
        <v>322</v>
      </c>
      <c r="F80" s="19">
        <v>0</v>
      </c>
      <c r="G80" s="19">
        <f t="shared" si="4"/>
        <v>0</v>
      </c>
      <c r="H80" s="47"/>
      <c r="I80" s="46"/>
    </row>
    <row r="81" spans="1:9" s="20" customFormat="1" ht="47.25">
      <c r="A81" s="437"/>
      <c r="B81" s="436"/>
      <c r="C81" s="35" t="s">
        <v>263</v>
      </c>
      <c r="D81" s="36">
        <v>0</v>
      </c>
      <c r="E81" s="35" t="s">
        <v>312</v>
      </c>
      <c r="F81" s="36">
        <v>0</v>
      </c>
      <c r="G81" s="19">
        <f t="shared" si="4"/>
        <v>0</v>
      </c>
      <c r="I81" s="46"/>
    </row>
    <row r="82" spans="1:9" s="20" customFormat="1" ht="63">
      <c r="A82" s="437"/>
      <c r="B82" s="436"/>
      <c r="C82" s="61" t="s">
        <v>279</v>
      </c>
      <c r="D82" s="19">
        <v>0</v>
      </c>
      <c r="E82" s="35"/>
      <c r="F82" s="36"/>
      <c r="G82" s="19">
        <f t="shared" si="4"/>
        <v>0</v>
      </c>
      <c r="I82" s="46"/>
    </row>
    <row r="83" spans="1:9" s="20" customFormat="1" ht="47.25" customHeight="1">
      <c r="A83" s="437" t="s">
        <v>73</v>
      </c>
      <c r="B83" s="436" t="s">
        <v>20</v>
      </c>
      <c r="C83" s="61" t="s">
        <v>289</v>
      </c>
      <c r="D83" s="17">
        <v>0</v>
      </c>
      <c r="E83" s="4" t="s">
        <v>322</v>
      </c>
      <c r="F83" s="19">
        <v>0</v>
      </c>
      <c r="G83" s="19">
        <f t="shared" si="4"/>
        <v>0</v>
      </c>
      <c r="H83" s="47"/>
      <c r="I83" s="46"/>
    </row>
    <row r="84" spans="1:9" s="20" customFormat="1" ht="31.5">
      <c r="A84" s="437"/>
      <c r="B84" s="436"/>
      <c r="C84" s="4"/>
      <c r="D84" s="17"/>
      <c r="E84" s="35" t="s">
        <v>312</v>
      </c>
      <c r="F84" s="36">
        <v>0</v>
      </c>
      <c r="G84" s="19">
        <f t="shared" si="4"/>
        <v>0</v>
      </c>
      <c r="I84" s="46"/>
    </row>
    <row r="85" spans="1:9" s="20" customFormat="1" ht="66" customHeight="1">
      <c r="A85" s="437"/>
      <c r="B85" s="436"/>
      <c r="C85" s="61" t="s">
        <v>279</v>
      </c>
      <c r="D85" s="17">
        <v>0</v>
      </c>
      <c r="E85" s="35"/>
      <c r="F85" s="36"/>
      <c r="G85" s="19">
        <f t="shared" si="4"/>
        <v>0</v>
      </c>
      <c r="I85" s="46"/>
    </row>
    <row r="86" spans="1:9" s="53" customFormat="1" ht="50.25" customHeight="1">
      <c r="A86" s="18" t="s">
        <v>282</v>
      </c>
      <c r="B86" s="4" t="s">
        <v>283</v>
      </c>
      <c r="C86" s="61" t="s">
        <v>289</v>
      </c>
      <c r="D86" s="17">
        <v>0</v>
      </c>
      <c r="E86" s="4" t="s">
        <v>322</v>
      </c>
      <c r="F86" s="19">
        <v>0</v>
      </c>
      <c r="G86" s="19">
        <f t="shared" si="4"/>
        <v>0</v>
      </c>
      <c r="H86" s="47"/>
      <c r="I86" s="46"/>
    </row>
    <row r="87" spans="1:9" s="20" customFormat="1" ht="47.25">
      <c r="A87" s="18" t="s">
        <v>111</v>
      </c>
      <c r="B87" s="4" t="s">
        <v>112</v>
      </c>
      <c r="C87" s="61" t="s">
        <v>241</v>
      </c>
      <c r="D87" s="17">
        <v>0</v>
      </c>
      <c r="E87" s="4"/>
      <c r="F87" s="9"/>
      <c r="G87" s="19">
        <f t="shared" si="4"/>
        <v>0</v>
      </c>
      <c r="I87" s="46"/>
    </row>
    <row r="88" spans="1:9" s="20" customFormat="1" ht="15.75" customHeight="1" hidden="1">
      <c r="A88" s="18" t="s">
        <v>74</v>
      </c>
      <c r="B88" s="4" t="s">
        <v>21</v>
      </c>
      <c r="C88" s="61"/>
      <c r="D88" s="17"/>
      <c r="E88" s="4"/>
      <c r="F88" s="19">
        <v>0</v>
      </c>
      <c r="G88" s="19">
        <f t="shared" si="4"/>
        <v>0</v>
      </c>
      <c r="I88" s="46"/>
    </row>
    <row r="89" spans="1:9" s="20" customFormat="1" ht="46.5" customHeight="1">
      <c r="A89" s="18" t="s">
        <v>75</v>
      </c>
      <c r="B89" s="4" t="s">
        <v>229</v>
      </c>
      <c r="C89" s="61" t="s">
        <v>242</v>
      </c>
      <c r="D89" s="17">
        <v>0</v>
      </c>
      <c r="E89" s="4"/>
      <c r="F89" s="9"/>
      <c r="G89" s="19">
        <f t="shared" si="4"/>
        <v>0</v>
      </c>
      <c r="I89" s="46"/>
    </row>
    <row r="90" spans="1:9" s="20" customFormat="1" ht="52.5" customHeight="1">
      <c r="A90" s="18" t="s">
        <v>83</v>
      </c>
      <c r="B90" s="4" t="s">
        <v>84</v>
      </c>
      <c r="C90" s="4"/>
      <c r="D90" s="5"/>
      <c r="E90" s="4" t="s">
        <v>322</v>
      </c>
      <c r="F90" s="19">
        <v>0</v>
      </c>
      <c r="G90" s="19">
        <f t="shared" si="4"/>
        <v>0</v>
      </c>
      <c r="H90" s="47"/>
      <c r="I90" s="46"/>
    </row>
    <row r="91" spans="1:9" s="20" customFormat="1" ht="36" customHeight="1" hidden="1">
      <c r="A91" s="437" t="s">
        <v>70</v>
      </c>
      <c r="B91" s="436" t="s">
        <v>104</v>
      </c>
      <c r="C91" s="4"/>
      <c r="D91" s="5"/>
      <c r="E91" s="4" t="s">
        <v>129</v>
      </c>
      <c r="F91" s="12"/>
      <c r="G91" s="9">
        <v>0</v>
      </c>
      <c r="I91" s="46"/>
    </row>
    <row r="92" spans="1:9" s="20" customFormat="1" ht="33" customHeight="1" hidden="1">
      <c r="A92" s="437"/>
      <c r="B92" s="436"/>
      <c r="C92" s="4"/>
      <c r="D92" s="5"/>
      <c r="E92" s="4" t="s">
        <v>130</v>
      </c>
      <c r="F92" s="12"/>
      <c r="G92" s="9">
        <v>0</v>
      </c>
      <c r="I92" s="46"/>
    </row>
    <row r="93" spans="1:9" s="20" customFormat="1" ht="49.5" customHeight="1">
      <c r="A93" s="22" t="s">
        <v>142</v>
      </c>
      <c r="B93" s="23" t="s">
        <v>50</v>
      </c>
      <c r="C93" s="4"/>
      <c r="D93" s="28">
        <f>D96+D99+D101+D102+D104+D105+D106+D107+D108+D109+D113+D115+D116</f>
        <v>0</v>
      </c>
      <c r="E93" s="9"/>
      <c r="F93" s="28">
        <f>F94+F97+F101+F102+F104+F107+F110+F111</f>
        <v>0</v>
      </c>
      <c r="G93" s="28">
        <f>D93+F93</f>
        <v>0</v>
      </c>
      <c r="H93" s="47"/>
      <c r="I93" s="46"/>
    </row>
    <row r="94" spans="1:9" s="20" customFormat="1" ht="47.25">
      <c r="A94" s="437" t="s">
        <v>164</v>
      </c>
      <c r="B94" s="436" t="s">
        <v>165</v>
      </c>
      <c r="C94" s="4"/>
      <c r="D94" s="19"/>
      <c r="E94" s="4" t="s">
        <v>310</v>
      </c>
      <c r="F94" s="19">
        <v>0</v>
      </c>
      <c r="G94" s="19">
        <f>D94+F94</f>
        <v>0</v>
      </c>
      <c r="I94" s="46"/>
    </row>
    <row r="95" spans="1:9" s="20" customFormat="1" ht="96.75" customHeight="1" hidden="1">
      <c r="A95" s="437"/>
      <c r="B95" s="436"/>
      <c r="C95" s="4" t="s">
        <v>227</v>
      </c>
      <c r="D95" s="17">
        <v>0</v>
      </c>
      <c r="E95" s="4"/>
      <c r="F95" s="9"/>
      <c r="G95" s="19">
        <f aca="true" t="shared" si="5" ref="G95:G116">D95+F95</f>
        <v>0</v>
      </c>
      <c r="I95" s="46"/>
    </row>
    <row r="96" spans="1:9" s="20" customFormat="1" ht="64.5" customHeight="1">
      <c r="A96" s="437"/>
      <c r="B96" s="436"/>
      <c r="C96" s="61" t="s">
        <v>279</v>
      </c>
      <c r="D96" s="19">
        <v>0</v>
      </c>
      <c r="E96" s="4"/>
      <c r="F96" s="9"/>
      <c r="G96" s="19">
        <f t="shared" si="5"/>
        <v>0</v>
      </c>
      <c r="I96" s="46"/>
    </row>
    <row r="97" spans="1:9" s="20" customFormat="1" ht="51.75" customHeight="1">
      <c r="A97" s="437" t="s">
        <v>78</v>
      </c>
      <c r="B97" s="436" t="s">
        <v>233</v>
      </c>
      <c r="C97" s="4"/>
      <c r="D97" s="19"/>
      <c r="E97" s="4" t="s">
        <v>310</v>
      </c>
      <c r="F97" s="19">
        <v>0</v>
      </c>
      <c r="G97" s="19">
        <f t="shared" si="5"/>
        <v>0</v>
      </c>
      <c r="I97" s="46"/>
    </row>
    <row r="98" spans="1:9" s="20" customFormat="1" ht="63" hidden="1">
      <c r="A98" s="437"/>
      <c r="B98" s="436"/>
      <c r="C98" s="4" t="s">
        <v>279</v>
      </c>
      <c r="D98" s="17">
        <v>0</v>
      </c>
      <c r="E98" s="4"/>
      <c r="F98" s="19"/>
      <c r="G98" s="19">
        <f t="shared" si="5"/>
        <v>0</v>
      </c>
      <c r="I98" s="46"/>
    </row>
    <row r="99" spans="1:9" s="20" customFormat="1" ht="63">
      <c r="A99" s="18" t="s">
        <v>79</v>
      </c>
      <c r="B99" s="4" t="s">
        <v>234</v>
      </c>
      <c r="C99" s="4" t="s">
        <v>324</v>
      </c>
      <c r="D99" s="17">
        <v>0</v>
      </c>
      <c r="E99" s="4"/>
      <c r="F99" s="9"/>
      <c r="G99" s="19">
        <f t="shared" si="5"/>
        <v>0</v>
      </c>
      <c r="I99" s="46"/>
    </row>
    <row r="100" spans="1:9" s="20" customFormat="1" ht="47.25" hidden="1">
      <c r="A100" s="18" t="s">
        <v>80</v>
      </c>
      <c r="B100" s="4" t="s">
        <v>235</v>
      </c>
      <c r="C100" s="4"/>
      <c r="D100" s="17"/>
      <c r="E100" s="4"/>
      <c r="F100" s="9"/>
      <c r="G100" s="19">
        <f t="shared" si="5"/>
        <v>0</v>
      </c>
      <c r="I100" s="46"/>
    </row>
    <row r="101" spans="1:9" s="20" customFormat="1" ht="50.25" customHeight="1">
      <c r="A101" s="437" t="s">
        <v>162</v>
      </c>
      <c r="B101" s="436" t="s">
        <v>163</v>
      </c>
      <c r="C101" s="4" t="s">
        <v>323</v>
      </c>
      <c r="D101" s="17">
        <v>0</v>
      </c>
      <c r="E101" s="4" t="s">
        <v>323</v>
      </c>
      <c r="F101" s="19">
        <v>0</v>
      </c>
      <c r="G101" s="19">
        <f t="shared" si="5"/>
        <v>0</v>
      </c>
      <c r="I101" s="46"/>
    </row>
    <row r="102" spans="1:9" s="20" customFormat="1" ht="50.25" customHeight="1">
      <c r="A102" s="437"/>
      <c r="B102" s="436"/>
      <c r="C102" s="4" t="s">
        <v>302</v>
      </c>
      <c r="D102" s="17">
        <v>0</v>
      </c>
      <c r="E102" s="4" t="s">
        <v>302</v>
      </c>
      <c r="F102" s="19">
        <v>0</v>
      </c>
      <c r="G102" s="19">
        <f t="shared" si="5"/>
        <v>0</v>
      </c>
      <c r="I102" s="46"/>
    </row>
    <row r="103" spans="1:9" s="20" customFormat="1" ht="110.25" customHeight="1" hidden="1">
      <c r="A103" s="437"/>
      <c r="B103" s="436"/>
      <c r="C103" s="4"/>
      <c r="D103" s="17"/>
      <c r="E103" s="4"/>
      <c r="F103" s="9"/>
      <c r="G103" s="19">
        <f t="shared" si="5"/>
        <v>0</v>
      </c>
      <c r="I103" s="46"/>
    </row>
    <row r="104" spans="1:9" s="20" customFormat="1" ht="51" customHeight="1">
      <c r="A104" s="437"/>
      <c r="B104" s="436"/>
      <c r="C104" s="35" t="s">
        <v>263</v>
      </c>
      <c r="D104" s="37">
        <v>0</v>
      </c>
      <c r="E104" s="35" t="s">
        <v>263</v>
      </c>
      <c r="F104" s="37">
        <v>0</v>
      </c>
      <c r="G104" s="19">
        <f t="shared" si="5"/>
        <v>0</v>
      </c>
      <c r="I104" s="46"/>
    </row>
    <row r="105" spans="1:9" s="20" customFormat="1" ht="63">
      <c r="A105" s="437"/>
      <c r="B105" s="436"/>
      <c r="C105" s="61" t="s">
        <v>279</v>
      </c>
      <c r="D105" s="9">
        <v>0</v>
      </c>
      <c r="E105" s="35"/>
      <c r="F105" s="37"/>
      <c r="G105" s="19">
        <f t="shared" si="5"/>
        <v>0</v>
      </c>
      <c r="I105" s="46"/>
    </row>
    <row r="106" spans="1:9" s="20" customFormat="1" ht="49.5" customHeight="1">
      <c r="A106" s="437" t="s">
        <v>22</v>
      </c>
      <c r="B106" s="436" t="s">
        <v>16</v>
      </c>
      <c r="C106" s="4" t="s">
        <v>323</v>
      </c>
      <c r="D106" s="17">
        <v>0</v>
      </c>
      <c r="E106" s="4"/>
      <c r="F106" s="9"/>
      <c r="G106" s="19">
        <f t="shared" si="5"/>
        <v>0</v>
      </c>
      <c r="I106" s="46"/>
    </row>
    <row r="107" spans="1:9" s="20" customFormat="1" ht="47.25">
      <c r="A107" s="437"/>
      <c r="B107" s="436"/>
      <c r="C107" s="35" t="s">
        <v>263</v>
      </c>
      <c r="D107" s="37">
        <v>0</v>
      </c>
      <c r="E107" s="35" t="s">
        <v>312</v>
      </c>
      <c r="F107" s="37">
        <v>0</v>
      </c>
      <c r="G107" s="19">
        <f t="shared" si="5"/>
        <v>0</v>
      </c>
      <c r="I107" s="46"/>
    </row>
    <row r="108" spans="1:9" s="20" customFormat="1" ht="48" customHeight="1">
      <c r="A108" s="437" t="s">
        <v>85</v>
      </c>
      <c r="B108" s="436" t="s">
        <v>92</v>
      </c>
      <c r="C108" s="61" t="s">
        <v>243</v>
      </c>
      <c r="D108" s="17">
        <v>0</v>
      </c>
      <c r="E108" s="4"/>
      <c r="F108" s="9"/>
      <c r="G108" s="19">
        <f>D108+F108</f>
        <v>0</v>
      </c>
      <c r="I108" s="46"/>
    </row>
    <row r="109" spans="1:9" s="20" customFormat="1" ht="47.25">
      <c r="A109" s="437"/>
      <c r="B109" s="436"/>
      <c r="C109" s="35" t="s">
        <v>263</v>
      </c>
      <c r="D109" s="38">
        <v>0</v>
      </c>
      <c r="E109" s="35"/>
      <c r="F109" s="37"/>
      <c r="G109" s="19">
        <f t="shared" si="5"/>
        <v>0</v>
      </c>
      <c r="I109" s="46"/>
    </row>
    <row r="110" spans="1:9" s="20" customFormat="1" ht="48" customHeight="1">
      <c r="A110" s="437" t="s">
        <v>83</v>
      </c>
      <c r="B110" s="436" t="s">
        <v>84</v>
      </c>
      <c r="C110" s="4"/>
      <c r="D110" s="17"/>
      <c r="E110" s="4" t="s">
        <v>266</v>
      </c>
      <c r="F110" s="12">
        <v>0</v>
      </c>
      <c r="G110" s="19">
        <f t="shared" si="5"/>
        <v>0</v>
      </c>
      <c r="I110" s="46"/>
    </row>
    <row r="111" spans="1:9" s="20" customFormat="1" ht="45.75" customHeight="1">
      <c r="A111" s="437"/>
      <c r="B111" s="436"/>
      <c r="C111" s="4"/>
      <c r="D111" s="5"/>
      <c r="E111" s="4" t="s">
        <v>323</v>
      </c>
      <c r="F111" s="12">
        <v>0</v>
      </c>
      <c r="G111" s="19">
        <f t="shared" si="5"/>
        <v>0</v>
      </c>
      <c r="I111" s="46"/>
    </row>
    <row r="112" spans="1:9" s="20" customFormat="1" ht="52.5" customHeight="1" hidden="1">
      <c r="A112" s="18" t="s">
        <v>32</v>
      </c>
      <c r="B112" s="436" t="s">
        <v>231</v>
      </c>
      <c r="C112" s="4" t="s">
        <v>131</v>
      </c>
      <c r="D112" s="17"/>
      <c r="E112" s="4"/>
      <c r="F112" s="16"/>
      <c r="G112" s="19">
        <f t="shared" si="5"/>
        <v>0</v>
      </c>
      <c r="I112" s="46"/>
    </row>
    <row r="113" spans="1:9" s="20" customFormat="1" ht="49.5" customHeight="1">
      <c r="A113" s="437" t="s">
        <v>32</v>
      </c>
      <c r="B113" s="436"/>
      <c r="C113" s="61" t="s">
        <v>244</v>
      </c>
      <c r="D113" s="17">
        <v>0</v>
      </c>
      <c r="E113" s="4"/>
      <c r="F113" s="16"/>
      <c r="G113" s="19">
        <f t="shared" si="5"/>
        <v>0</v>
      </c>
      <c r="I113" s="46"/>
    </row>
    <row r="114" spans="1:9" s="20" customFormat="1" ht="62.25" customHeight="1" hidden="1">
      <c r="A114" s="437"/>
      <c r="B114" s="436"/>
      <c r="C114" s="61" t="s">
        <v>227</v>
      </c>
      <c r="D114" s="17"/>
      <c r="E114" s="4"/>
      <c r="F114" s="16"/>
      <c r="G114" s="19">
        <f t="shared" si="5"/>
        <v>0</v>
      </c>
      <c r="I114" s="46"/>
    </row>
    <row r="115" spans="1:9" s="20" customFormat="1" ht="78.75" customHeight="1">
      <c r="A115" s="18" t="s">
        <v>86</v>
      </c>
      <c r="B115" s="4" t="s">
        <v>232</v>
      </c>
      <c r="C115" s="61" t="s">
        <v>244</v>
      </c>
      <c r="D115" s="17">
        <v>0</v>
      </c>
      <c r="E115" s="4"/>
      <c r="F115" s="16"/>
      <c r="G115" s="19">
        <f t="shared" si="5"/>
        <v>0</v>
      </c>
      <c r="I115" s="46"/>
    </row>
    <row r="116" spans="1:9" s="20" customFormat="1" ht="51" customHeight="1">
      <c r="A116" s="18" t="s">
        <v>116</v>
      </c>
      <c r="B116" s="4" t="s">
        <v>219</v>
      </c>
      <c r="C116" s="61" t="s">
        <v>244</v>
      </c>
      <c r="D116" s="17">
        <v>0</v>
      </c>
      <c r="E116" s="4"/>
      <c r="F116" s="16"/>
      <c r="G116" s="19">
        <f t="shared" si="5"/>
        <v>0</v>
      </c>
      <c r="I116" s="46"/>
    </row>
    <row r="117" spans="1:9" s="20" customFormat="1" ht="68.25" customHeight="1" hidden="1">
      <c r="A117" s="22" t="s">
        <v>175</v>
      </c>
      <c r="B117" s="23" t="s">
        <v>179</v>
      </c>
      <c r="C117" s="4"/>
      <c r="D117" s="24">
        <v>0</v>
      </c>
      <c r="E117" s="4"/>
      <c r="F117" s="24">
        <v>0</v>
      </c>
      <c r="G117" s="24">
        <v>0</v>
      </c>
      <c r="I117" s="46"/>
    </row>
    <row r="118" spans="1:9" s="20" customFormat="1" ht="31.5" hidden="1">
      <c r="A118" s="18" t="s">
        <v>164</v>
      </c>
      <c r="B118" s="4" t="s">
        <v>165</v>
      </c>
      <c r="C118" s="4" t="s">
        <v>176</v>
      </c>
      <c r="D118" s="17"/>
      <c r="E118" s="4" t="s">
        <v>176</v>
      </c>
      <c r="F118" s="12"/>
      <c r="G118" s="9">
        <v>0</v>
      </c>
      <c r="I118" s="46"/>
    </row>
    <row r="119" spans="1:9" s="20" customFormat="1" ht="63" hidden="1">
      <c r="A119" s="22" t="s">
        <v>186</v>
      </c>
      <c r="B119" s="23" t="s">
        <v>187</v>
      </c>
      <c r="C119" s="4"/>
      <c r="D119" s="24">
        <v>0</v>
      </c>
      <c r="E119" s="4"/>
      <c r="F119" s="24">
        <v>0</v>
      </c>
      <c r="G119" s="24">
        <v>0</v>
      </c>
      <c r="I119" s="46"/>
    </row>
    <row r="120" spans="1:9" s="20" customFormat="1" ht="47.25" hidden="1">
      <c r="A120" s="18" t="s">
        <v>164</v>
      </c>
      <c r="B120" s="4" t="s">
        <v>165</v>
      </c>
      <c r="C120" s="4" t="s">
        <v>188</v>
      </c>
      <c r="D120" s="17"/>
      <c r="E120" s="4" t="s">
        <v>188</v>
      </c>
      <c r="F120" s="12"/>
      <c r="G120" s="9">
        <v>0</v>
      </c>
      <c r="I120" s="46"/>
    </row>
    <row r="121" spans="1:9" s="20" customFormat="1" ht="35.25" customHeight="1">
      <c r="A121" s="22" t="s">
        <v>147</v>
      </c>
      <c r="B121" s="23" t="s">
        <v>53</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164</v>
      </c>
      <c r="B122" s="4" t="s">
        <v>165</v>
      </c>
      <c r="C122" s="4" t="s">
        <v>178</v>
      </c>
      <c r="D122" s="17"/>
      <c r="E122" s="4"/>
      <c r="F122" s="19"/>
      <c r="G122" s="16">
        <v>0</v>
      </c>
      <c r="I122" s="46"/>
    </row>
    <row r="123" spans="1:9" s="20" customFormat="1" ht="54" customHeight="1">
      <c r="A123" s="437" t="s">
        <v>158</v>
      </c>
      <c r="B123" s="436" t="s">
        <v>159</v>
      </c>
      <c r="C123" s="61" t="s">
        <v>245</v>
      </c>
      <c r="D123" s="17">
        <v>0</v>
      </c>
      <c r="E123" s="4" t="s">
        <v>326</v>
      </c>
      <c r="F123" s="19">
        <v>0</v>
      </c>
      <c r="G123" s="12">
        <f>D123+F123</f>
        <v>0</v>
      </c>
      <c r="H123" s="47"/>
      <c r="I123" s="46"/>
    </row>
    <row r="124" spans="1:9" s="20" customFormat="1" ht="65.25" customHeight="1" hidden="1">
      <c r="A124" s="437"/>
      <c r="B124" s="436"/>
      <c r="C124" s="61" t="s">
        <v>279</v>
      </c>
      <c r="D124" s="17">
        <v>0</v>
      </c>
      <c r="E124" s="4"/>
      <c r="F124" s="19"/>
      <c r="G124" s="12">
        <f aca="true" t="shared" si="6" ref="G124:G138">D124+F124</f>
        <v>0</v>
      </c>
      <c r="I124" s="46"/>
    </row>
    <row r="125" spans="1:9" s="20" customFormat="1" ht="54" customHeight="1">
      <c r="A125" s="437" t="s">
        <v>160</v>
      </c>
      <c r="B125" s="436" t="s">
        <v>161</v>
      </c>
      <c r="C125" s="61" t="s">
        <v>246</v>
      </c>
      <c r="D125" s="17">
        <v>0</v>
      </c>
      <c r="E125" s="4" t="s">
        <v>326</v>
      </c>
      <c r="F125" s="19">
        <v>0</v>
      </c>
      <c r="G125" s="12">
        <f t="shared" si="6"/>
        <v>0</v>
      </c>
      <c r="H125" s="47"/>
      <c r="I125" s="46"/>
    </row>
    <row r="126" spans="1:9" s="20" customFormat="1" ht="47.25">
      <c r="A126" s="437"/>
      <c r="B126" s="436"/>
      <c r="C126" s="35" t="s">
        <v>263</v>
      </c>
      <c r="D126" s="36">
        <v>0</v>
      </c>
      <c r="E126" s="35" t="s">
        <v>312</v>
      </c>
      <c r="F126" s="36">
        <v>0</v>
      </c>
      <c r="G126" s="12">
        <f t="shared" si="6"/>
        <v>0</v>
      </c>
      <c r="I126" s="46"/>
    </row>
    <row r="127" spans="1:9" s="20" customFormat="1" ht="66.75" customHeight="1">
      <c r="A127" s="437"/>
      <c r="B127" s="436"/>
      <c r="C127" s="61" t="s">
        <v>279</v>
      </c>
      <c r="D127" s="19">
        <v>0</v>
      </c>
      <c r="E127" s="35"/>
      <c r="F127" s="36"/>
      <c r="G127" s="12">
        <f t="shared" si="6"/>
        <v>0</v>
      </c>
      <c r="I127" s="46"/>
    </row>
    <row r="128" spans="1:9" s="20" customFormat="1" ht="54" customHeight="1">
      <c r="A128" s="437" t="s">
        <v>168</v>
      </c>
      <c r="B128" s="436" t="s">
        <v>169</v>
      </c>
      <c r="C128" s="61" t="s">
        <v>246</v>
      </c>
      <c r="D128" s="17">
        <v>0</v>
      </c>
      <c r="E128" s="4" t="s">
        <v>326</v>
      </c>
      <c r="F128" s="19">
        <v>0</v>
      </c>
      <c r="G128" s="12">
        <f t="shared" si="6"/>
        <v>0</v>
      </c>
      <c r="H128" s="69"/>
      <c r="I128" s="46"/>
    </row>
    <row r="129" spans="1:9" s="20" customFormat="1" ht="47.25">
      <c r="A129" s="437"/>
      <c r="B129" s="436"/>
      <c r="C129" s="35" t="s">
        <v>263</v>
      </c>
      <c r="D129" s="36">
        <v>0</v>
      </c>
      <c r="E129" s="35" t="s">
        <v>312</v>
      </c>
      <c r="F129" s="36">
        <v>0</v>
      </c>
      <c r="G129" s="12">
        <f t="shared" si="6"/>
        <v>0</v>
      </c>
      <c r="I129" s="46"/>
    </row>
    <row r="130" spans="1:9" s="20" customFormat="1" ht="51" customHeight="1">
      <c r="A130" s="437" t="s">
        <v>166</v>
      </c>
      <c r="B130" s="436" t="s">
        <v>167</v>
      </c>
      <c r="C130" s="61" t="s">
        <v>246</v>
      </c>
      <c r="D130" s="17">
        <v>0</v>
      </c>
      <c r="E130" s="4" t="s">
        <v>326</v>
      </c>
      <c r="F130" s="19">
        <v>0</v>
      </c>
      <c r="G130" s="12">
        <f t="shared" si="6"/>
        <v>0</v>
      </c>
      <c r="H130" s="47"/>
      <c r="I130" s="46"/>
    </row>
    <row r="131" spans="1:9" s="20" customFormat="1" ht="31.5">
      <c r="A131" s="437"/>
      <c r="B131" s="436"/>
      <c r="C131" s="4"/>
      <c r="D131" s="17"/>
      <c r="E131" s="35" t="s">
        <v>312</v>
      </c>
      <c r="F131" s="36">
        <v>0</v>
      </c>
      <c r="G131" s="12">
        <f t="shared" si="6"/>
        <v>0</v>
      </c>
      <c r="I131" s="46"/>
    </row>
    <row r="132" spans="1:9" s="20" customFormat="1" ht="66" customHeight="1">
      <c r="A132" s="437"/>
      <c r="B132" s="436"/>
      <c r="C132" s="61" t="s">
        <v>279</v>
      </c>
      <c r="D132" s="17">
        <v>0</v>
      </c>
      <c r="E132" s="35"/>
      <c r="F132" s="36"/>
      <c r="G132" s="12">
        <f t="shared" si="6"/>
        <v>0</v>
      </c>
      <c r="I132" s="46"/>
    </row>
    <row r="133" spans="1:9" s="20" customFormat="1" ht="47.25">
      <c r="A133" s="26">
        <v>110300</v>
      </c>
      <c r="B133" s="4" t="s">
        <v>29</v>
      </c>
      <c r="C133" s="61" t="s">
        <v>247</v>
      </c>
      <c r="D133" s="21">
        <v>0</v>
      </c>
      <c r="E133" s="4"/>
      <c r="F133" s="36"/>
      <c r="G133" s="12">
        <f t="shared" si="6"/>
        <v>0</v>
      </c>
      <c r="I133" s="46"/>
    </row>
    <row r="134" spans="1:9" s="20" customFormat="1" ht="47.25">
      <c r="A134" s="435">
        <v>110502</v>
      </c>
      <c r="B134" s="436" t="s">
        <v>17</v>
      </c>
      <c r="C134" s="61" t="s">
        <v>296</v>
      </c>
      <c r="D134" s="15">
        <v>0</v>
      </c>
      <c r="E134" s="61" t="s">
        <v>296</v>
      </c>
      <c r="F134" s="16">
        <v>0</v>
      </c>
      <c r="G134" s="12">
        <f t="shared" si="6"/>
        <v>0</v>
      </c>
      <c r="H134" s="47"/>
      <c r="I134" s="46"/>
    </row>
    <row r="135" spans="1:9" s="20" customFormat="1" ht="51" customHeight="1">
      <c r="A135" s="435"/>
      <c r="B135" s="436"/>
      <c r="C135" s="61" t="s">
        <v>246</v>
      </c>
      <c r="D135" s="15">
        <v>0</v>
      </c>
      <c r="E135" s="4" t="s">
        <v>326</v>
      </c>
      <c r="F135" s="12">
        <v>0</v>
      </c>
      <c r="G135" s="12">
        <f t="shared" si="6"/>
        <v>0</v>
      </c>
      <c r="I135" s="46"/>
    </row>
    <row r="136" spans="1:9" s="20" customFormat="1" ht="55.5" customHeight="1">
      <c r="A136" s="435"/>
      <c r="B136" s="436"/>
      <c r="C136" s="61" t="s">
        <v>248</v>
      </c>
      <c r="D136" s="15">
        <v>0</v>
      </c>
      <c r="E136" s="26"/>
      <c r="F136" s="16"/>
      <c r="G136" s="12">
        <f t="shared" si="6"/>
        <v>0</v>
      </c>
      <c r="I136" s="46"/>
    </row>
    <row r="137" spans="1:9" s="20" customFormat="1" ht="68.25" customHeight="1" hidden="1">
      <c r="A137" s="435"/>
      <c r="B137" s="436"/>
      <c r="C137" s="4" t="s">
        <v>279</v>
      </c>
      <c r="D137" s="15">
        <v>0</v>
      </c>
      <c r="E137" s="4"/>
      <c r="F137" s="16"/>
      <c r="G137" s="12">
        <f t="shared" si="6"/>
        <v>0</v>
      </c>
      <c r="I137" s="46"/>
    </row>
    <row r="138" spans="1:9" s="20" customFormat="1" ht="47.25">
      <c r="A138" s="435"/>
      <c r="B138" s="436"/>
      <c r="C138" s="4"/>
      <c r="D138" s="15"/>
      <c r="E138" s="35" t="s">
        <v>263</v>
      </c>
      <c r="F138" s="36">
        <v>0</v>
      </c>
      <c r="G138" s="12">
        <f t="shared" si="6"/>
        <v>0</v>
      </c>
      <c r="I138" s="46"/>
    </row>
    <row r="139" spans="1:9" s="20" customFormat="1" ht="47.25">
      <c r="A139" s="18" t="s">
        <v>83</v>
      </c>
      <c r="B139" s="4" t="s">
        <v>84</v>
      </c>
      <c r="C139" s="4"/>
      <c r="D139" s="5"/>
      <c r="E139" s="4" t="s">
        <v>325</v>
      </c>
      <c r="F139" s="19">
        <v>0</v>
      </c>
      <c r="G139" s="12">
        <f>D139+F139</f>
        <v>0</v>
      </c>
      <c r="H139" s="47"/>
      <c r="I139" s="46"/>
    </row>
    <row r="140" spans="1:9" s="20" customFormat="1" ht="47.25" hidden="1">
      <c r="A140" s="22" t="s">
        <v>291</v>
      </c>
      <c r="B140" s="23" t="s">
        <v>292</v>
      </c>
      <c r="C140" s="4"/>
      <c r="D140" s="24">
        <v>0</v>
      </c>
      <c r="E140" s="5"/>
      <c r="F140" s="28">
        <v>0</v>
      </c>
      <c r="G140" s="27">
        <v>0</v>
      </c>
      <c r="H140" s="47"/>
      <c r="I140" s="46"/>
    </row>
    <row r="141" spans="1:9" s="20" customFormat="1" ht="47.25" hidden="1">
      <c r="A141" s="18" t="s">
        <v>164</v>
      </c>
      <c r="B141" s="4" t="s">
        <v>165</v>
      </c>
      <c r="C141" s="4"/>
      <c r="D141" s="5"/>
      <c r="E141" s="55" t="s">
        <v>264</v>
      </c>
      <c r="F141" s="56">
        <v>0</v>
      </c>
      <c r="G141" s="9">
        <v>0</v>
      </c>
      <c r="H141" s="47"/>
      <c r="I141" s="46"/>
    </row>
    <row r="142" spans="1:9" s="20" customFormat="1" ht="54" customHeight="1">
      <c r="A142" s="22" t="s">
        <v>146</v>
      </c>
      <c r="B142" s="23" t="s">
        <v>172</v>
      </c>
      <c r="C142" s="4"/>
      <c r="D142" s="24">
        <f>D143+D144+D145+D146</f>
        <v>0</v>
      </c>
      <c r="E142" s="5"/>
      <c r="F142" s="28">
        <f>F143+F144</f>
        <v>0</v>
      </c>
      <c r="G142" s="28">
        <f aca="true" t="shared" si="7" ref="G142:G150">D142+F142</f>
        <v>0</v>
      </c>
      <c r="H142" s="47"/>
      <c r="I142" s="46"/>
    </row>
    <row r="143" spans="1:9" s="20" customFormat="1" ht="47.25">
      <c r="A143" s="18" t="s">
        <v>164</v>
      </c>
      <c r="B143" s="4" t="s">
        <v>165</v>
      </c>
      <c r="C143" s="4"/>
      <c r="D143" s="17"/>
      <c r="E143" s="61" t="s">
        <v>264</v>
      </c>
      <c r="F143" s="19">
        <v>0</v>
      </c>
      <c r="G143" s="19">
        <f t="shared" si="7"/>
        <v>0</v>
      </c>
      <c r="I143" s="46"/>
    </row>
    <row r="144" spans="1:9" s="20" customFormat="1" ht="47.25">
      <c r="A144" s="18" t="s">
        <v>83</v>
      </c>
      <c r="B144" s="4" t="s">
        <v>84</v>
      </c>
      <c r="C144" s="4"/>
      <c r="D144" s="5"/>
      <c r="E144" s="4" t="s">
        <v>327</v>
      </c>
      <c r="F144" s="19">
        <v>0</v>
      </c>
      <c r="G144" s="19">
        <f t="shared" si="7"/>
        <v>0</v>
      </c>
      <c r="I144" s="46"/>
    </row>
    <row r="145" spans="1:9" s="20" customFormat="1" ht="31.5" customHeight="1">
      <c r="A145" s="18" t="s">
        <v>76</v>
      </c>
      <c r="B145" s="4" t="s">
        <v>91</v>
      </c>
      <c r="C145" s="61" t="s">
        <v>249</v>
      </c>
      <c r="D145" s="17">
        <v>0</v>
      </c>
      <c r="E145" s="4"/>
      <c r="F145" s="9"/>
      <c r="G145" s="19">
        <f t="shared" si="7"/>
        <v>0</v>
      </c>
      <c r="I145" s="46"/>
    </row>
    <row r="146" spans="1:9" s="20" customFormat="1" ht="47.25">
      <c r="A146" s="18" t="s">
        <v>101</v>
      </c>
      <c r="B146" s="4" t="s">
        <v>217</v>
      </c>
      <c r="C146" s="4" t="s">
        <v>328</v>
      </c>
      <c r="D146" s="17">
        <v>0</v>
      </c>
      <c r="E146" s="4"/>
      <c r="F146" s="9"/>
      <c r="G146" s="19">
        <f t="shared" si="7"/>
        <v>0</v>
      </c>
      <c r="I146" s="46"/>
    </row>
    <row r="147" spans="1:9" s="20" customFormat="1" ht="47.25">
      <c r="A147" s="22" t="s">
        <v>181</v>
      </c>
      <c r="B147" s="23" t="s">
        <v>182</v>
      </c>
      <c r="C147" s="4"/>
      <c r="D147" s="24">
        <f>D148</f>
        <v>0</v>
      </c>
      <c r="E147" s="5"/>
      <c r="F147" s="24">
        <f>F148</f>
        <v>0</v>
      </c>
      <c r="G147" s="24">
        <f t="shared" si="7"/>
        <v>0</v>
      </c>
      <c r="H147" s="47"/>
      <c r="I147" s="46"/>
    </row>
    <row r="148" spans="1:9" s="20" customFormat="1" ht="48.75" customHeight="1">
      <c r="A148" s="18" t="s">
        <v>164</v>
      </c>
      <c r="B148" s="4" t="s">
        <v>165</v>
      </c>
      <c r="C148" s="4"/>
      <c r="D148" s="17"/>
      <c r="E148" s="4" t="s">
        <v>264</v>
      </c>
      <c r="F148" s="19">
        <v>0</v>
      </c>
      <c r="G148" s="24">
        <f t="shared" si="7"/>
        <v>0</v>
      </c>
      <c r="I148" s="46"/>
    </row>
    <row r="149" spans="1:9" s="20" customFormat="1" ht="45.75" customHeight="1">
      <c r="A149" s="22" t="s">
        <v>144</v>
      </c>
      <c r="B149" s="23" t="s">
        <v>224</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437" t="s">
        <v>164</v>
      </c>
      <c r="B150" s="436" t="s">
        <v>165</v>
      </c>
      <c r="C150" s="4"/>
      <c r="D150" s="24"/>
      <c r="E150" s="61" t="s">
        <v>264</v>
      </c>
      <c r="F150" s="19"/>
      <c r="G150" s="19">
        <f t="shared" si="7"/>
        <v>0</v>
      </c>
      <c r="H150" s="47"/>
      <c r="I150" s="46"/>
    </row>
    <row r="151" spans="1:9" s="20" customFormat="1" ht="61.5" customHeight="1">
      <c r="A151" s="437"/>
      <c r="B151" s="436"/>
      <c r="C151" s="61" t="s">
        <v>279</v>
      </c>
      <c r="D151" s="17">
        <v>0</v>
      </c>
      <c r="E151" s="4"/>
      <c r="F151" s="19"/>
      <c r="G151" s="19">
        <f aca="true" t="shared" si="8" ref="G151:G172">D151+F151</f>
        <v>0</v>
      </c>
      <c r="I151" s="46"/>
    </row>
    <row r="152" spans="1:9" s="20" customFormat="1" ht="47.25">
      <c r="A152" s="18" t="s">
        <v>85</v>
      </c>
      <c r="B152" s="4" t="s">
        <v>92</v>
      </c>
      <c r="C152" s="61" t="s">
        <v>267</v>
      </c>
      <c r="D152" s="17">
        <v>0</v>
      </c>
      <c r="E152" s="4"/>
      <c r="F152" s="9"/>
      <c r="G152" s="19">
        <f t="shared" si="8"/>
        <v>0</v>
      </c>
      <c r="I152" s="46"/>
    </row>
    <row r="153" spans="1:9" s="20" customFormat="1" ht="47.25">
      <c r="A153" s="437" t="s">
        <v>215</v>
      </c>
      <c r="B153" s="436" t="s">
        <v>216</v>
      </c>
      <c r="C153" s="61" t="s">
        <v>267</v>
      </c>
      <c r="D153" s="17">
        <v>0</v>
      </c>
      <c r="E153" s="4"/>
      <c r="F153" s="9"/>
      <c r="G153" s="19">
        <f t="shared" si="8"/>
        <v>0</v>
      </c>
      <c r="I153" s="46"/>
    </row>
    <row r="154" spans="1:9" s="20" customFormat="1" ht="47.25">
      <c r="A154" s="437"/>
      <c r="B154" s="436"/>
      <c r="C154" s="61" t="s">
        <v>263</v>
      </c>
      <c r="D154" s="37">
        <v>0</v>
      </c>
      <c r="E154" s="4"/>
      <c r="F154" s="9"/>
      <c r="G154" s="19">
        <f t="shared" si="8"/>
        <v>0</v>
      </c>
      <c r="I154" s="46"/>
    </row>
    <row r="155" spans="1:9" s="20" customFormat="1" ht="47.25">
      <c r="A155" s="437" t="s">
        <v>113</v>
      </c>
      <c r="B155" s="436" t="s">
        <v>114</v>
      </c>
      <c r="C155" s="4"/>
      <c r="D155" s="17"/>
      <c r="E155" s="4" t="s">
        <v>230</v>
      </c>
      <c r="F155" s="19">
        <v>0</v>
      </c>
      <c r="G155" s="19">
        <f t="shared" si="8"/>
        <v>0</v>
      </c>
      <c r="I155" s="46"/>
    </row>
    <row r="156" spans="1:9" s="20" customFormat="1" ht="47.25" customHeight="1" hidden="1">
      <c r="A156" s="437"/>
      <c r="B156" s="436"/>
      <c r="C156" s="4" t="s">
        <v>225</v>
      </c>
      <c r="D156" s="17">
        <v>0</v>
      </c>
      <c r="E156" s="4" t="s">
        <v>230</v>
      </c>
      <c r="F156" s="9"/>
      <c r="G156" s="19">
        <f t="shared" si="8"/>
        <v>0</v>
      </c>
      <c r="I156" s="46"/>
    </row>
    <row r="157" spans="1:9" s="20" customFormat="1" ht="47.25">
      <c r="A157" s="437"/>
      <c r="B157" s="436"/>
      <c r="C157" s="4"/>
      <c r="D157" s="17"/>
      <c r="E157" s="61" t="s">
        <v>263</v>
      </c>
      <c r="F157" s="37">
        <v>0</v>
      </c>
      <c r="G157" s="19">
        <f t="shared" si="8"/>
        <v>0</v>
      </c>
      <c r="I157" s="46"/>
    </row>
    <row r="158" spans="1:9" s="20" customFormat="1" ht="56.25" customHeight="1">
      <c r="A158" s="18" t="s">
        <v>259</v>
      </c>
      <c r="B158" s="4" t="s">
        <v>260</v>
      </c>
      <c r="C158" s="4"/>
      <c r="D158" s="17"/>
      <c r="E158" s="4" t="s">
        <v>230</v>
      </c>
      <c r="F158" s="19">
        <v>0</v>
      </c>
      <c r="G158" s="19">
        <f t="shared" si="8"/>
        <v>0</v>
      </c>
      <c r="I158" s="46"/>
    </row>
    <row r="159" spans="1:9" s="20" customFormat="1" ht="51.75" customHeight="1">
      <c r="A159" s="437" t="s">
        <v>93</v>
      </c>
      <c r="B159" s="436" t="s">
        <v>115</v>
      </c>
      <c r="C159" s="61" t="s">
        <v>267</v>
      </c>
      <c r="D159" s="62">
        <v>0</v>
      </c>
      <c r="E159" s="4" t="s">
        <v>230</v>
      </c>
      <c r="F159" s="19">
        <v>0</v>
      </c>
      <c r="G159" s="19">
        <f t="shared" si="8"/>
        <v>0</v>
      </c>
      <c r="I159" s="46"/>
    </row>
    <row r="160" spans="1:9" s="20" customFormat="1" ht="47.25">
      <c r="A160" s="437"/>
      <c r="B160" s="436"/>
      <c r="C160" s="61" t="s">
        <v>263</v>
      </c>
      <c r="D160" s="37">
        <v>0</v>
      </c>
      <c r="E160" s="35" t="s">
        <v>312</v>
      </c>
      <c r="F160" s="37">
        <v>0</v>
      </c>
      <c r="G160" s="19">
        <f t="shared" si="8"/>
        <v>0</v>
      </c>
      <c r="I160" s="46"/>
    </row>
    <row r="161" spans="1:9" s="20" customFormat="1" ht="47.25" hidden="1">
      <c r="A161" s="18" t="s">
        <v>284</v>
      </c>
      <c r="B161" s="4" t="s">
        <v>285</v>
      </c>
      <c r="C161" s="35"/>
      <c r="D161" s="37"/>
      <c r="E161" s="4" t="s">
        <v>267</v>
      </c>
      <c r="F161" s="36">
        <v>0</v>
      </c>
      <c r="G161" s="19">
        <f t="shared" si="8"/>
        <v>0</v>
      </c>
      <c r="I161" s="46"/>
    </row>
    <row r="162" spans="1:9" s="20" customFormat="1" ht="51" customHeight="1">
      <c r="A162" s="437" t="s">
        <v>83</v>
      </c>
      <c r="B162" s="436" t="s">
        <v>84</v>
      </c>
      <c r="C162" s="4"/>
      <c r="D162" s="5"/>
      <c r="E162" s="4" t="s">
        <v>230</v>
      </c>
      <c r="F162" s="12">
        <v>0</v>
      </c>
      <c r="G162" s="19">
        <f t="shared" si="8"/>
        <v>0</v>
      </c>
      <c r="I162" s="46"/>
    </row>
    <row r="163" spans="1:9" s="20" customFormat="1" ht="31.5">
      <c r="A163" s="437"/>
      <c r="B163" s="436"/>
      <c r="C163" s="4"/>
      <c r="D163" s="5"/>
      <c r="E163" s="35" t="s">
        <v>312</v>
      </c>
      <c r="F163" s="37">
        <v>0</v>
      </c>
      <c r="G163" s="19">
        <f t="shared" si="8"/>
        <v>0</v>
      </c>
      <c r="I163" s="46"/>
    </row>
    <row r="164" spans="1:9" s="51" customFormat="1" ht="46.5" customHeight="1" hidden="1">
      <c r="A164" s="441" t="s">
        <v>38</v>
      </c>
      <c r="B164" s="439" t="s">
        <v>203</v>
      </c>
      <c r="C164" s="4"/>
      <c r="D164" s="5"/>
      <c r="E164" s="4" t="s">
        <v>267</v>
      </c>
      <c r="F164" s="19">
        <v>0</v>
      </c>
      <c r="G164" s="19">
        <f t="shared" si="8"/>
        <v>0</v>
      </c>
      <c r="H164" s="20"/>
      <c r="I164" s="52"/>
    </row>
    <row r="165" spans="1:9" s="51" customFormat="1" ht="69.75" customHeight="1">
      <c r="A165" s="443"/>
      <c r="B165" s="444"/>
      <c r="C165" s="4"/>
      <c r="D165" s="5"/>
      <c r="E165" s="4" t="s">
        <v>329</v>
      </c>
      <c r="F165" s="19">
        <v>0</v>
      </c>
      <c r="G165" s="19">
        <f t="shared" si="8"/>
        <v>0</v>
      </c>
      <c r="H165" s="20"/>
      <c r="I165" s="52"/>
    </row>
    <row r="166" spans="1:9" s="51" customFormat="1" ht="87" customHeight="1">
      <c r="A166" s="442"/>
      <c r="B166" s="440"/>
      <c r="C166" s="4"/>
      <c r="D166" s="5"/>
      <c r="E166" s="4" t="s">
        <v>330</v>
      </c>
      <c r="F166" s="19">
        <v>0</v>
      </c>
      <c r="G166" s="19">
        <f t="shared" si="8"/>
        <v>0</v>
      </c>
      <c r="H166" s="20"/>
      <c r="I166" s="52"/>
    </row>
    <row r="167" spans="1:9" s="20" customFormat="1" ht="69.75" customHeight="1">
      <c r="A167" s="18" t="s">
        <v>95</v>
      </c>
      <c r="B167" s="4" t="s">
        <v>96</v>
      </c>
      <c r="C167" s="4"/>
      <c r="D167" s="5"/>
      <c r="E167" s="61" t="s">
        <v>267</v>
      </c>
      <c r="F167" s="19">
        <v>0</v>
      </c>
      <c r="G167" s="19">
        <f t="shared" si="8"/>
        <v>0</v>
      </c>
      <c r="I167" s="46"/>
    </row>
    <row r="168" spans="1:9" s="20" customFormat="1" ht="27.75" customHeight="1" hidden="1">
      <c r="A168" s="4">
        <v>180107</v>
      </c>
      <c r="B168" s="4" t="s">
        <v>212</v>
      </c>
      <c r="C168" s="4"/>
      <c r="D168" s="17"/>
      <c r="E168" s="4" t="s">
        <v>230</v>
      </c>
      <c r="F168" s="19">
        <v>0</v>
      </c>
      <c r="G168" s="19">
        <f t="shared" si="8"/>
        <v>0</v>
      </c>
      <c r="I168" s="46"/>
    </row>
    <row r="169" spans="1:9" s="20" customFormat="1" ht="63" customHeight="1">
      <c r="A169" s="436">
        <v>180409</v>
      </c>
      <c r="B169" s="436" t="s">
        <v>223</v>
      </c>
      <c r="C169" s="4"/>
      <c r="D169" s="17"/>
      <c r="E169" s="4" t="s">
        <v>230</v>
      </c>
      <c r="F169" s="19">
        <v>0</v>
      </c>
      <c r="G169" s="19">
        <f t="shared" si="8"/>
        <v>0</v>
      </c>
      <c r="I169" s="46"/>
    </row>
    <row r="170" spans="1:9" s="20" customFormat="1" ht="47.25">
      <c r="A170" s="436"/>
      <c r="B170" s="436"/>
      <c r="C170" s="4"/>
      <c r="D170" s="17"/>
      <c r="E170" s="4" t="s">
        <v>331</v>
      </c>
      <c r="F170" s="19">
        <v>0</v>
      </c>
      <c r="G170" s="19">
        <f t="shared" si="8"/>
        <v>0</v>
      </c>
      <c r="I170" s="46"/>
    </row>
    <row r="171" spans="1:9" s="20" customFormat="1" ht="47.25">
      <c r="A171" s="18" t="s">
        <v>28</v>
      </c>
      <c r="B171" s="4" t="s">
        <v>105</v>
      </c>
      <c r="C171" s="4"/>
      <c r="D171" s="5"/>
      <c r="E171" s="4" t="s">
        <v>321</v>
      </c>
      <c r="F171" s="19">
        <v>0</v>
      </c>
      <c r="G171" s="19">
        <f t="shared" si="8"/>
        <v>0</v>
      </c>
      <c r="I171" s="46"/>
    </row>
    <row r="172" spans="1:9" s="20" customFormat="1" ht="45.75" customHeight="1">
      <c r="A172" s="18" t="s">
        <v>76</v>
      </c>
      <c r="B172" s="4" t="s">
        <v>91</v>
      </c>
      <c r="C172" s="61" t="s">
        <v>267</v>
      </c>
      <c r="D172" s="17">
        <v>0</v>
      </c>
      <c r="E172" s="4" t="s">
        <v>230</v>
      </c>
      <c r="F172" s="12">
        <v>0</v>
      </c>
      <c r="G172" s="19">
        <f t="shared" si="8"/>
        <v>0</v>
      </c>
      <c r="I172" s="46"/>
    </row>
    <row r="173" spans="1:9" s="20" customFormat="1" ht="38.25" hidden="1">
      <c r="A173" s="18" t="s">
        <v>38</v>
      </c>
      <c r="B173" s="29" t="s">
        <v>203</v>
      </c>
      <c r="C173" s="4"/>
      <c r="D173" s="5"/>
      <c r="E173" s="4" t="s">
        <v>208</v>
      </c>
      <c r="F173" s="12">
        <v>0</v>
      </c>
      <c r="G173" s="9">
        <v>0</v>
      </c>
      <c r="I173" s="46"/>
    </row>
    <row r="174" spans="1:9" s="20" customFormat="1" ht="70.5" customHeight="1" hidden="1">
      <c r="A174" s="22" t="s">
        <v>222</v>
      </c>
      <c r="B174" s="23" t="s">
        <v>221</v>
      </c>
      <c r="C174" s="23"/>
      <c r="D174" s="24">
        <v>0</v>
      </c>
      <c r="E174" s="23"/>
      <c r="F174" s="30"/>
      <c r="G174" s="27">
        <v>0</v>
      </c>
      <c r="I174" s="46"/>
    </row>
    <row r="175" spans="1:9" s="20" customFormat="1" ht="36" customHeight="1" hidden="1">
      <c r="A175" s="18" t="s">
        <v>85</v>
      </c>
      <c r="B175" s="4" t="s">
        <v>92</v>
      </c>
      <c r="C175" s="4" t="s">
        <v>117</v>
      </c>
      <c r="D175" s="17">
        <v>0</v>
      </c>
      <c r="E175" s="4"/>
      <c r="F175" s="12"/>
      <c r="G175" s="9">
        <v>0</v>
      </c>
      <c r="I175" s="46"/>
    </row>
    <row r="176" spans="1:9" s="20" customFormat="1" ht="47.25" customHeight="1" hidden="1">
      <c r="A176" s="18" t="s">
        <v>93</v>
      </c>
      <c r="B176" s="4" t="s">
        <v>115</v>
      </c>
      <c r="C176" s="4" t="s">
        <v>201</v>
      </c>
      <c r="D176" s="17">
        <v>0</v>
      </c>
      <c r="E176" s="4"/>
      <c r="F176" s="12"/>
      <c r="G176" s="9">
        <v>0</v>
      </c>
      <c r="I176" s="46"/>
    </row>
    <row r="177" spans="1:9" s="20" customFormat="1" ht="47.25">
      <c r="A177" s="22" t="s">
        <v>145</v>
      </c>
      <c r="B177" s="23" t="s">
        <v>52</v>
      </c>
      <c r="C177" s="4"/>
      <c r="D177" s="24">
        <f>D179</f>
        <v>0</v>
      </c>
      <c r="E177" s="5"/>
      <c r="F177" s="24">
        <f>F178</f>
        <v>0</v>
      </c>
      <c r="G177" s="28">
        <f aca="true" t="shared" si="9" ref="G177:G184">D177+F177</f>
        <v>0</v>
      </c>
      <c r="H177" s="47"/>
      <c r="I177" s="46"/>
    </row>
    <row r="178" spans="1:9" s="20" customFormat="1" ht="48" customHeight="1">
      <c r="A178" s="18" t="s">
        <v>164</v>
      </c>
      <c r="B178" s="4" t="s">
        <v>165</v>
      </c>
      <c r="C178" s="4"/>
      <c r="D178" s="17"/>
      <c r="E178" s="4" t="s">
        <v>310</v>
      </c>
      <c r="F178" s="19">
        <v>0</v>
      </c>
      <c r="G178" s="19">
        <f t="shared" si="9"/>
        <v>0</v>
      </c>
      <c r="I178" s="46"/>
    </row>
    <row r="179" spans="1:9" s="20" customFormat="1" ht="63">
      <c r="A179" s="18" t="s">
        <v>76</v>
      </c>
      <c r="B179" s="4" t="s">
        <v>91</v>
      </c>
      <c r="C179" s="61" t="s">
        <v>279</v>
      </c>
      <c r="D179" s="17">
        <v>0</v>
      </c>
      <c r="E179" s="4"/>
      <c r="F179" s="9"/>
      <c r="G179" s="19">
        <f t="shared" si="9"/>
        <v>0</v>
      </c>
      <c r="I179" s="46"/>
    </row>
    <row r="180" spans="1:9" s="20" customFormat="1" ht="47.25">
      <c r="A180" s="22" t="s">
        <v>149</v>
      </c>
      <c r="B180" s="23" t="s">
        <v>54</v>
      </c>
      <c r="C180" s="4"/>
      <c r="D180" s="24">
        <f>D181+D182+D183+D184</f>
        <v>0</v>
      </c>
      <c r="E180" s="5"/>
      <c r="F180" s="28">
        <f>F181</f>
        <v>0</v>
      </c>
      <c r="G180" s="28">
        <f t="shared" si="9"/>
        <v>0</v>
      </c>
      <c r="I180" s="46"/>
    </row>
    <row r="181" spans="1:9" s="20" customFormat="1" ht="60" customHeight="1">
      <c r="A181" s="18" t="s">
        <v>164</v>
      </c>
      <c r="B181" s="4" t="s">
        <v>165</v>
      </c>
      <c r="C181" s="4"/>
      <c r="D181" s="17"/>
      <c r="E181" s="4" t="s">
        <v>264</v>
      </c>
      <c r="F181" s="19">
        <v>0</v>
      </c>
      <c r="G181" s="19">
        <f t="shared" si="9"/>
        <v>0</v>
      </c>
      <c r="I181" s="46"/>
    </row>
    <row r="182" spans="1:9" s="20" customFormat="1" ht="63">
      <c r="A182" s="435">
        <v>250404</v>
      </c>
      <c r="B182" s="435" t="s">
        <v>91</v>
      </c>
      <c r="C182" s="4" t="s">
        <v>288</v>
      </c>
      <c r="D182" s="21">
        <v>0</v>
      </c>
      <c r="E182" s="9"/>
      <c r="F182" s="31"/>
      <c r="G182" s="19">
        <f t="shared" si="9"/>
        <v>0</v>
      </c>
      <c r="I182" s="46"/>
    </row>
    <row r="183" spans="1:9" s="20" customFormat="1" ht="51" customHeight="1">
      <c r="A183" s="435"/>
      <c r="B183" s="435"/>
      <c r="C183" s="4" t="s">
        <v>306</v>
      </c>
      <c r="D183" s="21">
        <v>0</v>
      </c>
      <c r="E183" s="9"/>
      <c r="F183" s="31"/>
      <c r="G183" s="19">
        <f t="shared" si="9"/>
        <v>0</v>
      </c>
      <c r="I183" s="46"/>
    </row>
    <row r="184" spans="1:9" s="20" customFormat="1" ht="66" customHeight="1">
      <c r="A184" s="447"/>
      <c r="B184" s="435"/>
      <c r="C184" s="4" t="s">
        <v>307</v>
      </c>
      <c r="D184" s="21">
        <v>0</v>
      </c>
      <c r="E184" s="4"/>
      <c r="F184" s="9"/>
      <c r="G184" s="19">
        <f t="shared" si="9"/>
        <v>0</v>
      </c>
      <c r="I184" s="46"/>
    </row>
    <row r="185" spans="1:9" s="20" customFormat="1" ht="31.5" hidden="1">
      <c r="A185" s="22">
        <v>50</v>
      </c>
      <c r="B185" s="23" t="s">
        <v>185</v>
      </c>
      <c r="C185" s="4"/>
      <c r="D185" s="24">
        <v>0</v>
      </c>
      <c r="E185" s="5"/>
      <c r="F185" s="27">
        <v>0</v>
      </c>
      <c r="G185" s="27">
        <v>0</v>
      </c>
      <c r="I185" s="46"/>
    </row>
    <row r="186" spans="1:9" s="20" customFormat="1" ht="48.75" customHeight="1" hidden="1">
      <c r="A186" s="18" t="s">
        <v>164</v>
      </c>
      <c r="B186" s="4" t="s">
        <v>165</v>
      </c>
      <c r="C186" s="4" t="s">
        <v>177</v>
      </c>
      <c r="D186" s="21"/>
      <c r="E186" s="4"/>
      <c r="F186" s="9"/>
      <c r="G186" s="9">
        <v>0</v>
      </c>
      <c r="I186" s="46"/>
    </row>
    <row r="187" spans="1:9" s="20" customFormat="1" ht="47.25">
      <c r="A187" s="22" t="s">
        <v>153</v>
      </c>
      <c r="B187" s="23" t="s">
        <v>58</v>
      </c>
      <c r="C187" s="23"/>
      <c r="D187" s="24">
        <v>0</v>
      </c>
      <c r="E187" s="32"/>
      <c r="F187" s="24">
        <f>F188+F189</f>
        <v>0</v>
      </c>
      <c r="G187" s="24">
        <f aca="true" t="shared" si="10" ref="G187:G195">D187+F187</f>
        <v>0</v>
      </c>
      <c r="H187" s="47"/>
      <c r="I187" s="46"/>
    </row>
    <row r="188" spans="1:9" s="20" customFormat="1" ht="47.25">
      <c r="A188" s="18" t="s">
        <v>164</v>
      </c>
      <c r="B188" s="4" t="s">
        <v>165</v>
      </c>
      <c r="C188" s="4"/>
      <c r="D188" s="17"/>
      <c r="E188" s="4" t="s">
        <v>297</v>
      </c>
      <c r="F188" s="17">
        <v>0</v>
      </c>
      <c r="G188" s="17">
        <f t="shared" si="10"/>
        <v>0</v>
      </c>
      <c r="I188" s="46"/>
    </row>
    <row r="189" spans="1:9" s="20" customFormat="1" ht="47.25">
      <c r="A189" s="18" t="s">
        <v>40</v>
      </c>
      <c r="B189" s="4" t="s">
        <v>41</v>
      </c>
      <c r="C189" s="4"/>
      <c r="D189" s="17"/>
      <c r="E189" s="4" t="s">
        <v>298</v>
      </c>
      <c r="F189" s="19">
        <v>0</v>
      </c>
      <c r="G189" s="17">
        <f t="shared" si="10"/>
        <v>0</v>
      </c>
      <c r="I189" s="46"/>
    </row>
    <row r="190" spans="1:9" s="20" customFormat="1" ht="50.25" customHeight="1">
      <c r="A190" s="22" t="s">
        <v>150</v>
      </c>
      <c r="B190" s="23" t="s">
        <v>55</v>
      </c>
      <c r="C190" s="4"/>
      <c r="D190" s="24">
        <f>D194</f>
        <v>0</v>
      </c>
      <c r="E190" s="5"/>
      <c r="F190" s="24">
        <f>F192+F193</f>
        <v>0</v>
      </c>
      <c r="G190" s="24">
        <f t="shared" si="10"/>
        <v>0</v>
      </c>
      <c r="H190" s="47"/>
      <c r="I190" s="46"/>
    </row>
    <row r="191" spans="1:9" s="20" customFormat="1" ht="33" customHeight="1" hidden="1">
      <c r="A191" s="18" t="s">
        <v>164</v>
      </c>
      <c r="B191" s="4" t="s">
        <v>165</v>
      </c>
      <c r="C191" s="4" t="s">
        <v>180</v>
      </c>
      <c r="D191" s="17"/>
      <c r="E191" s="4"/>
      <c r="F191" s="19"/>
      <c r="G191" s="24">
        <f t="shared" si="10"/>
        <v>0</v>
      </c>
      <c r="I191" s="46"/>
    </row>
    <row r="192" spans="1:9" s="20" customFormat="1" ht="47.25">
      <c r="A192" s="4">
        <v>240601</v>
      </c>
      <c r="B192" s="4" t="s">
        <v>105</v>
      </c>
      <c r="C192" s="4"/>
      <c r="D192" s="5"/>
      <c r="E192" s="4" t="s">
        <v>287</v>
      </c>
      <c r="F192" s="19">
        <v>0</v>
      </c>
      <c r="G192" s="17">
        <f t="shared" si="10"/>
        <v>0</v>
      </c>
      <c r="I192" s="46"/>
    </row>
    <row r="193" spans="1:9" s="20" customFormat="1" ht="72" customHeight="1">
      <c r="A193" s="4">
        <v>240900</v>
      </c>
      <c r="B193" s="4" t="s">
        <v>220</v>
      </c>
      <c r="C193" s="4"/>
      <c r="D193" s="5"/>
      <c r="E193" s="4" t="s">
        <v>277</v>
      </c>
      <c r="F193" s="19">
        <v>0</v>
      </c>
      <c r="G193" s="17">
        <f t="shared" si="10"/>
        <v>0</v>
      </c>
      <c r="I193" s="46"/>
    </row>
    <row r="194" spans="1:9" s="20" customFormat="1" ht="54" customHeight="1">
      <c r="A194" s="4">
        <v>250404</v>
      </c>
      <c r="B194" s="4" t="s">
        <v>209</v>
      </c>
      <c r="C194" s="4" t="s">
        <v>305</v>
      </c>
      <c r="D194" s="17">
        <v>0</v>
      </c>
      <c r="E194" s="4"/>
      <c r="F194" s="19"/>
      <c r="G194" s="17">
        <f t="shared" si="10"/>
        <v>0</v>
      </c>
      <c r="I194" s="46"/>
    </row>
    <row r="195" spans="1:9" s="20" customFormat="1" ht="47.25">
      <c r="A195" s="22" t="s">
        <v>148</v>
      </c>
      <c r="B195" s="23" t="s">
        <v>56</v>
      </c>
      <c r="C195" s="4"/>
      <c r="D195" s="24">
        <f>D197+D198+D204+D206</f>
        <v>0</v>
      </c>
      <c r="E195" s="5"/>
      <c r="F195" s="24">
        <f>F200+F201+F202+F204+F206</f>
        <v>0</v>
      </c>
      <c r="G195" s="24">
        <f t="shared" si="10"/>
        <v>0</v>
      </c>
      <c r="H195" s="47"/>
      <c r="I195" s="46"/>
    </row>
    <row r="196" spans="1:9" s="20" customFormat="1" ht="69" customHeight="1" hidden="1">
      <c r="A196" s="18" t="s">
        <v>164</v>
      </c>
      <c r="B196" s="4" t="s">
        <v>165</v>
      </c>
      <c r="C196" s="4" t="s">
        <v>183</v>
      </c>
      <c r="D196" s="17"/>
      <c r="E196" s="5"/>
      <c r="F196" s="9"/>
      <c r="G196" s="24">
        <f aca="true" t="shared" si="11" ref="G196:G206">D196+F196</f>
        <v>0</v>
      </c>
      <c r="I196" s="46"/>
    </row>
    <row r="197" spans="1:9" s="20" customFormat="1" ht="84.75" customHeight="1">
      <c r="A197" s="18" t="s">
        <v>30</v>
      </c>
      <c r="B197" s="4" t="s">
        <v>31</v>
      </c>
      <c r="C197" s="4" t="s">
        <v>293</v>
      </c>
      <c r="D197" s="17">
        <v>0</v>
      </c>
      <c r="E197" s="4"/>
      <c r="F197" s="19"/>
      <c r="G197" s="17">
        <f t="shared" si="11"/>
        <v>0</v>
      </c>
      <c r="I197" s="46"/>
    </row>
    <row r="198" spans="1:9" s="20" customFormat="1" ht="72.75" customHeight="1">
      <c r="A198" s="18" t="s">
        <v>81</v>
      </c>
      <c r="B198" s="4" t="s">
        <v>82</v>
      </c>
      <c r="C198" s="4" t="s">
        <v>251</v>
      </c>
      <c r="D198" s="17">
        <v>0</v>
      </c>
      <c r="E198" s="4"/>
      <c r="F198" s="9"/>
      <c r="G198" s="17">
        <f t="shared" si="11"/>
        <v>0</v>
      </c>
      <c r="I198" s="46"/>
    </row>
    <row r="199" spans="1:9" s="20" customFormat="1" ht="78.75" hidden="1">
      <c r="A199" s="441" t="s">
        <v>83</v>
      </c>
      <c r="B199" s="439" t="s">
        <v>84</v>
      </c>
      <c r="C199" s="4"/>
      <c r="D199" s="17"/>
      <c r="E199" s="4" t="s">
        <v>251</v>
      </c>
      <c r="F199" s="19">
        <v>0</v>
      </c>
      <c r="G199" s="24">
        <f t="shared" si="11"/>
        <v>0</v>
      </c>
      <c r="I199" s="46"/>
    </row>
    <row r="200" spans="1:9" s="20" customFormat="1" ht="63">
      <c r="A200" s="442"/>
      <c r="B200" s="440"/>
      <c r="C200" s="4"/>
      <c r="D200" s="17"/>
      <c r="E200" s="4" t="s">
        <v>265</v>
      </c>
      <c r="F200" s="19">
        <v>0</v>
      </c>
      <c r="G200" s="17">
        <f t="shared" si="11"/>
        <v>0</v>
      </c>
      <c r="I200" s="46"/>
    </row>
    <row r="201" spans="1:9" s="20" customFormat="1" ht="62.25" customHeight="1">
      <c r="A201" s="437" t="s">
        <v>97</v>
      </c>
      <c r="B201" s="436" t="s">
        <v>223</v>
      </c>
      <c r="C201" s="436"/>
      <c r="D201" s="17"/>
      <c r="E201" s="4" t="s">
        <v>251</v>
      </c>
      <c r="F201" s="19">
        <v>0</v>
      </c>
      <c r="G201" s="17">
        <f t="shared" si="11"/>
        <v>0</v>
      </c>
      <c r="I201" s="46"/>
    </row>
    <row r="202" spans="1:9" s="20" customFormat="1" ht="63">
      <c r="A202" s="437"/>
      <c r="B202" s="436"/>
      <c r="C202" s="436"/>
      <c r="D202" s="448"/>
      <c r="E202" s="4" t="s">
        <v>278</v>
      </c>
      <c r="F202" s="19">
        <v>0</v>
      </c>
      <c r="G202" s="17">
        <f t="shared" si="11"/>
        <v>0</v>
      </c>
      <c r="I202" s="46"/>
    </row>
    <row r="203" spans="1:9" s="20" customFormat="1" ht="47.25" hidden="1">
      <c r="A203" s="437"/>
      <c r="B203" s="436"/>
      <c r="C203" s="436"/>
      <c r="D203" s="448"/>
      <c r="E203" s="4" t="s">
        <v>301</v>
      </c>
      <c r="F203" s="9">
        <v>0</v>
      </c>
      <c r="G203" s="17">
        <f t="shared" si="11"/>
        <v>0</v>
      </c>
      <c r="I203" s="46"/>
    </row>
    <row r="204" spans="1:9" s="20" customFormat="1" ht="69" customHeight="1">
      <c r="A204" s="18" t="s">
        <v>213</v>
      </c>
      <c r="B204" s="4" t="s">
        <v>214</v>
      </c>
      <c r="C204" s="4" t="s">
        <v>251</v>
      </c>
      <c r="D204" s="17">
        <v>0</v>
      </c>
      <c r="E204" s="4" t="s">
        <v>278</v>
      </c>
      <c r="F204" s="19">
        <v>0</v>
      </c>
      <c r="G204" s="17">
        <f t="shared" si="11"/>
        <v>0</v>
      </c>
      <c r="I204" s="46"/>
    </row>
    <row r="205" spans="1:9" s="20" customFormat="1" ht="63">
      <c r="A205" s="437" t="s">
        <v>76</v>
      </c>
      <c r="B205" s="436" t="s">
        <v>91</v>
      </c>
      <c r="C205" s="4" t="s">
        <v>278</v>
      </c>
      <c r="D205" s="17">
        <v>0</v>
      </c>
      <c r="E205" s="4"/>
      <c r="F205" s="9"/>
      <c r="G205" s="17">
        <f t="shared" si="11"/>
        <v>0</v>
      </c>
      <c r="I205" s="46"/>
    </row>
    <row r="206" spans="1:9" s="20" customFormat="1" ht="63">
      <c r="A206" s="437"/>
      <c r="B206" s="436"/>
      <c r="C206" s="4" t="s">
        <v>303</v>
      </c>
      <c r="D206" s="17">
        <v>0</v>
      </c>
      <c r="E206" s="4" t="s">
        <v>303</v>
      </c>
      <c r="F206" s="19">
        <v>0</v>
      </c>
      <c r="G206" s="17">
        <f t="shared" si="11"/>
        <v>0</v>
      </c>
      <c r="I206" s="46"/>
    </row>
    <row r="207" spans="1:9" s="20" customFormat="1" ht="78.75" customHeight="1">
      <c r="A207" s="22" t="s">
        <v>143</v>
      </c>
      <c r="B207" s="23" t="s">
        <v>51</v>
      </c>
      <c r="C207" s="4"/>
      <c r="D207" s="24">
        <f>D209+D210+D211</f>
        <v>0</v>
      </c>
      <c r="E207" s="5"/>
      <c r="F207" s="28">
        <f>F209+F210</f>
        <v>0</v>
      </c>
      <c r="G207" s="28">
        <f aca="true" t="shared" si="12" ref="G207:G224">D207+F207</f>
        <v>0</v>
      </c>
      <c r="H207" s="47"/>
      <c r="I207" s="46"/>
    </row>
    <row r="208" spans="1:9" s="20" customFormat="1" ht="65.25" customHeight="1" hidden="1">
      <c r="A208" s="18" t="s">
        <v>164</v>
      </c>
      <c r="B208" s="4" t="s">
        <v>165</v>
      </c>
      <c r="C208" s="4" t="s">
        <v>174</v>
      </c>
      <c r="D208" s="17"/>
      <c r="E208" s="4"/>
      <c r="F208" s="12"/>
      <c r="G208" s="28">
        <f t="shared" si="12"/>
        <v>0</v>
      </c>
      <c r="I208" s="46"/>
    </row>
    <row r="209" spans="1:9" s="20" customFormat="1" ht="78.75" customHeight="1">
      <c r="A209" s="18" t="s">
        <v>87</v>
      </c>
      <c r="B209" s="4" t="s">
        <v>88</v>
      </c>
      <c r="C209" s="4" t="s">
        <v>268</v>
      </c>
      <c r="D209" s="17">
        <v>0</v>
      </c>
      <c r="E209" s="4" t="s">
        <v>268</v>
      </c>
      <c r="F209" s="12">
        <v>0</v>
      </c>
      <c r="G209" s="19">
        <f t="shared" si="12"/>
        <v>0</v>
      </c>
      <c r="H209" s="47"/>
      <c r="I209" s="46"/>
    </row>
    <row r="210" spans="1:9" s="20" customFormat="1" ht="78.75">
      <c r="A210" s="437" t="s">
        <v>89</v>
      </c>
      <c r="B210" s="436" t="s">
        <v>90</v>
      </c>
      <c r="C210" s="4" t="s">
        <v>268</v>
      </c>
      <c r="D210" s="17">
        <v>0</v>
      </c>
      <c r="E210" s="4" t="s">
        <v>268</v>
      </c>
      <c r="F210" s="12">
        <v>0</v>
      </c>
      <c r="G210" s="19">
        <f t="shared" si="12"/>
        <v>0</v>
      </c>
      <c r="H210" s="47"/>
      <c r="I210" s="46"/>
    </row>
    <row r="211" spans="1:9" s="20" customFormat="1" ht="68.25" customHeight="1">
      <c r="A211" s="437"/>
      <c r="B211" s="436"/>
      <c r="C211" s="4" t="s">
        <v>294</v>
      </c>
      <c r="D211" s="17">
        <v>0</v>
      </c>
      <c r="E211" s="4"/>
      <c r="F211" s="12"/>
      <c r="G211" s="19">
        <f t="shared" si="12"/>
        <v>0</v>
      </c>
      <c r="I211" s="46"/>
    </row>
    <row r="212" spans="1:9" s="20" customFormat="1" ht="47.25">
      <c r="A212" s="22" t="s">
        <v>152</v>
      </c>
      <c r="B212" s="23" t="s">
        <v>57</v>
      </c>
      <c r="C212" s="4"/>
      <c r="D212" s="24">
        <f>D217</f>
        <v>0</v>
      </c>
      <c r="E212" s="5"/>
      <c r="F212" s="24">
        <f>F213+F214+F215</f>
        <v>0</v>
      </c>
      <c r="G212" s="24">
        <f t="shared" si="12"/>
        <v>0</v>
      </c>
      <c r="H212" s="47"/>
      <c r="I212" s="46"/>
    </row>
    <row r="213" spans="1:9" s="20" customFormat="1" ht="47.25">
      <c r="A213" s="18" t="s">
        <v>164</v>
      </c>
      <c r="B213" s="4" t="s">
        <v>165</v>
      </c>
      <c r="C213" s="4"/>
      <c r="D213" s="17"/>
      <c r="E213" s="4" t="s">
        <v>250</v>
      </c>
      <c r="F213" s="17">
        <v>0</v>
      </c>
      <c r="G213" s="17">
        <f t="shared" si="12"/>
        <v>0</v>
      </c>
      <c r="I213" s="46"/>
    </row>
    <row r="214" spans="1:9" s="20" customFormat="1" ht="63">
      <c r="A214" s="18" t="s">
        <v>83</v>
      </c>
      <c r="B214" s="4" t="s">
        <v>84</v>
      </c>
      <c r="C214" s="4"/>
      <c r="D214" s="5"/>
      <c r="E214" s="4" t="s">
        <v>269</v>
      </c>
      <c r="F214" s="12">
        <v>0</v>
      </c>
      <c r="G214" s="17">
        <f t="shared" si="12"/>
        <v>0</v>
      </c>
      <c r="I214" s="46"/>
    </row>
    <row r="215" spans="1:9" s="20" customFormat="1" ht="79.5" customHeight="1">
      <c r="A215" s="18" t="s">
        <v>98</v>
      </c>
      <c r="B215" s="4" t="s">
        <v>99</v>
      </c>
      <c r="C215" s="4"/>
      <c r="D215" s="5"/>
      <c r="E215" s="4" t="s">
        <v>269</v>
      </c>
      <c r="F215" s="19">
        <v>0</v>
      </c>
      <c r="G215" s="17">
        <f t="shared" si="12"/>
        <v>0</v>
      </c>
      <c r="I215" s="46"/>
    </row>
    <row r="216" spans="1:9" s="20" customFormat="1" ht="78.75" hidden="1">
      <c r="A216" s="18" t="s">
        <v>87</v>
      </c>
      <c r="B216" s="4" t="s">
        <v>218</v>
      </c>
      <c r="C216" s="4"/>
      <c r="D216" s="17"/>
      <c r="E216" s="4" t="s">
        <v>268</v>
      </c>
      <c r="F216" s="19">
        <v>0</v>
      </c>
      <c r="G216" s="24">
        <f t="shared" si="12"/>
        <v>0</v>
      </c>
      <c r="I216" s="46"/>
    </row>
    <row r="217" spans="1:9" s="20" customFormat="1" ht="53.25" customHeight="1">
      <c r="A217" s="18" t="s">
        <v>76</v>
      </c>
      <c r="B217" s="4" t="s">
        <v>91</v>
      </c>
      <c r="C217" s="4" t="s">
        <v>255</v>
      </c>
      <c r="D217" s="17">
        <v>0</v>
      </c>
      <c r="E217" s="4"/>
      <c r="F217" s="19"/>
      <c r="G217" s="17">
        <f t="shared" si="12"/>
        <v>0</v>
      </c>
      <c r="I217" s="46"/>
    </row>
    <row r="218" spans="1:9" s="20" customFormat="1" ht="46.5" customHeight="1">
      <c r="A218" s="22" t="s">
        <v>151</v>
      </c>
      <c r="B218" s="23" t="s">
        <v>36</v>
      </c>
      <c r="C218" s="4"/>
      <c r="D218" s="24">
        <f>D220+D221+D223</f>
        <v>0</v>
      </c>
      <c r="E218" s="5"/>
      <c r="F218" s="27"/>
      <c r="G218" s="28">
        <f t="shared" si="12"/>
        <v>0</v>
      </c>
      <c r="I218" s="46"/>
    </row>
    <row r="219" spans="1:9" s="20" customFormat="1" ht="46.5" customHeight="1" hidden="1">
      <c r="A219" s="26" t="s">
        <v>164</v>
      </c>
      <c r="B219" s="4" t="s">
        <v>165</v>
      </c>
      <c r="C219" s="4" t="s">
        <v>184</v>
      </c>
      <c r="D219" s="21"/>
      <c r="E219" s="5"/>
      <c r="F219" s="19"/>
      <c r="G219" s="28">
        <f t="shared" si="12"/>
        <v>0</v>
      </c>
      <c r="I219" s="46"/>
    </row>
    <row r="220" spans="1:9" s="20" customFormat="1" ht="70.5" customHeight="1">
      <c r="A220" s="18" t="s">
        <v>164</v>
      </c>
      <c r="B220" s="4" t="s">
        <v>165</v>
      </c>
      <c r="C220" s="4" t="s">
        <v>279</v>
      </c>
      <c r="D220" s="21">
        <v>0</v>
      </c>
      <c r="E220" s="5"/>
      <c r="F220" s="19"/>
      <c r="G220" s="19">
        <f t="shared" si="12"/>
        <v>0</v>
      </c>
      <c r="I220" s="46"/>
    </row>
    <row r="221" spans="1:9" s="20" customFormat="1" ht="15.75">
      <c r="A221" s="26">
        <v>230000</v>
      </c>
      <c r="B221" s="4" t="s">
        <v>193</v>
      </c>
      <c r="C221" s="436" t="s">
        <v>308</v>
      </c>
      <c r="D221" s="21">
        <v>0</v>
      </c>
      <c r="E221" s="5"/>
      <c r="F221" s="27"/>
      <c r="G221" s="19">
        <f t="shared" si="12"/>
        <v>0</v>
      </c>
      <c r="I221" s="46"/>
    </row>
    <row r="222" spans="1:9" s="20" customFormat="1" ht="48" customHeight="1" hidden="1">
      <c r="A222" s="26">
        <v>210105</v>
      </c>
      <c r="B222" s="4"/>
      <c r="C222" s="436"/>
      <c r="D222" s="21">
        <v>0</v>
      </c>
      <c r="E222" s="5"/>
      <c r="F222" s="19">
        <v>0</v>
      </c>
      <c r="G222" s="19">
        <f t="shared" si="12"/>
        <v>0</v>
      </c>
      <c r="I222" s="46"/>
    </row>
    <row r="223" spans="1:9" s="20" customFormat="1" ht="33" customHeight="1">
      <c r="A223" s="18" t="s">
        <v>76</v>
      </c>
      <c r="B223" s="4" t="s">
        <v>91</v>
      </c>
      <c r="C223" s="436"/>
      <c r="D223" s="17">
        <v>0</v>
      </c>
      <c r="E223" s="4"/>
      <c r="F223" s="9"/>
      <c r="G223" s="19">
        <f t="shared" si="12"/>
        <v>0</v>
      </c>
      <c r="I223" s="46"/>
    </row>
    <row r="224" spans="1:9" s="20" customFormat="1" ht="47.25">
      <c r="A224" s="22" t="s">
        <v>192</v>
      </c>
      <c r="B224" s="23" t="s">
        <v>36</v>
      </c>
      <c r="C224" s="4"/>
      <c r="D224" s="32">
        <v>0</v>
      </c>
      <c r="E224" s="4"/>
      <c r="F224" s="24">
        <f>F226+F227</f>
        <v>0</v>
      </c>
      <c r="G224" s="24">
        <f t="shared" si="12"/>
        <v>0</v>
      </c>
      <c r="H224" s="47"/>
      <c r="I224" s="46"/>
    </row>
    <row r="225" spans="1:9" s="20" customFormat="1" ht="45" customHeight="1" hidden="1">
      <c r="A225" s="18" t="s">
        <v>100</v>
      </c>
      <c r="B225" s="4" t="s">
        <v>194</v>
      </c>
      <c r="C225" s="4"/>
      <c r="D225" s="5"/>
      <c r="E225" s="4" t="s">
        <v>202</v>
      </c>
      <c r="F225" s="12">
        <v>0</v>
      </c>
      <c r="G225" s="9">
        <v>0</v>
      </c>
      <c r="I225" s="46"/>
    </row>
    <row r="226" spans="1:9" s="20" customFormat="1" ht="51.75" customHeight="1">
      <c r="A226" s="445">
        <v>250380</v>
      </c>
      <c r="B226" s="439" t="s">
        <v>286</v>
      </c>
      <c r="C226" s="4"/>
      <c r="D226" s="5"/>
      <c r="E226" s="4" t="s">
        <v>267</v>
      </c>
      <c r="F226" s="19">
        <v>0</v>
      </c>
      <c r="G226" s="19">
        <f>F226</f>
        <v>0</v>
      </c>
      <c r="I226" s="46"/>
    </row>
    <row r="227" spans="1:9" s="20" customFormat="1" ht="51.75" customHeight="1">
      <c r="A227" s="446"/>
      <c r="B227" s="440"/>
      <c r="C227" s="4"/>
      <c r="D227" s="5"/>
      <c r="E227" s="4" t="s">
        <v>289</v>
      </c>
      <c r="F227" s="19">
        <v>0</v>
      </c>
      <c r="G227" s="19">
        <f>F227</f>
        <v>0</v>
      </c>
      <c r="I227" s="46"/>
    </row>
    <row r="228" spans="1:9" s="20" customFormat="1" ht="47.25">
      <c r="A228" s="22" t="s">
        <v>133</v>
      </c>
      <c r="B228" s="23" t="s">
        <v>39</v>
      </c>
      <c r="C228" s="4"/>
      <c r="D228" s="24">
        <f>D232+D235+D236+D237+D238+D241+D242</f>
        <v>0</v>
      </c>
      <c r="E228" s="4"/>
      <c r="F228" s="24">
        <f>F231+F234</f>
        <v>0</v>
      </c>
      <c r="G228" s="24">
        <f>D228+F228</f>
        <v>0</v>
      </c>
      <c r="H228" s="47"/>
      <c r="I228" s="46"/>
    </row>
    <row r="229" spans="1:9" s="20" customFormat="1" ht="49.5" customHeight="1" hidden="1">
      <c r="A229" s="18" t="s">
        <v>164</v>
      </c>
      <c r="B229" s="4" t="s">
        <v>165</v>
      </c>
      <c r="C229" s="4" t="s">
        <v>170</v>
      </c>
      <c r="D229" s="17"/>
      <c r="E229" s="4" t="s">
        <v>170</v>
      </c>
      <c r="F229" s="19"/>
      <c r="G229" s="9">
        <v>0</v>
      </c>
      <c r="I229" s="46"/>
    </row>
    <row r="230" spans="1:9" s="20" customFormat="1" ht="72" customHeight="1" hidden="1">
      <c r="A230" s="437" t="s">
        <v>164</v>
      </c>
      <c r="B230" s="436" t="s">
        <v>165</v>
      </c>
      <c r="C230" s="4" t="s">
        <v>279</v>
      </c>
      <c r="D230" s="17">
        <v>0</v>
      </c>
      <c r="E230" s="4"/>
      <c r="F230" s="19"/>
      <c r="G230" s="19">
        <v>0</v>
      </c>
      <c r="I230" s="46"/>
    </row>
    <row r="231" spans="1:9" s="20" customFormat="1" ht="63" customHeight="1">
      <c r="A231" s="437"/>
      <c r="B231" s="436"/>
      <c r="C231" s="4"/>
      <c r="D231" s="17"/>
      <c r="E231" s="4" t="s">
        <v>264</v>
      </c>
      <c r="F231" s="19">
        <v>0</v>
      </c>
      <c r="G231" s="19">
        <f>F231</f>
        <v>0</v>
      </c>
      <c r="I231" s="46"/>
    </row>
    <row r="232" spans="1:9" s="20" customFormat="1" ht="47.25" customHeight="1">
      <c r="A232" s="18" t="s">
        <v>93</v>
      </c>
      <c r="B232" s="4" t="s">
        <v>94</v>
      </c>
      <c r="C232" s="4" t="s">
        <v>267</v>
      </c>
      <c r="D232" s="17">
        <v>0</v>
      </c>
      <c r="E232" s="4"/>
      <c r="F232" s="19"/>
      <c r="G232" s="19">
        <f>D232</f>
        <v>0</v>
      </c>
      <c r="I232" s="46"/>
    </row>
    <row r="233" spans="1:9" s="20" customFormat="1" ht="42.75" customHeight="1" hidden="1">
      <c r="A233" s="18" t="s">
        <v>83</v>
      </c>
      <c r="B233" s="4" t="s">
        <v>84</v>
      </c>
      <c r="C233" s="4"/>
      <c r="D233" s="17"/>
      <c r="E233" s="4" t="s">
        <v>198</v>
      </c>
      <c r="F233" s="19">
        <v>0</v>
      </c>
      <c r="G233" s="9">
        <v>0</v>
      </c>
      <c r="I233" s="46"/>
    </row>
    <row r="234" spans="1:9" s="20" customFormat="1" ht="95.25" customHeight="1">
      <c r="A234" s="18" t="s">
        <v>70</v>
      </c>
      <c r="B234" s="4" t="s">
        <v>220</v>
      </c>
      <c r="C234" s="4"/>
      <c r="D234" s="17"/>
      <c r="E234" s="4" t="s">
        <v>277</v>
      </c>
      <c r="F234" s="19">
        <v>0</v>
      </c>
      <c r="G234" s="19">
        <f>F234</f>
        <v>0</v>
      </c>
      <c r="I234" s="46"/>
    </row>
    <row r="235" spans="1:9" s="20" customFormat="1" ht="47.25">
      <c r="A235" s="437" t="s">
        <v>76</v>
      </c>
      <c r="B235" s="436" t="s">
        <v>91</v>
      </c>
      <c r="C235" s="4" t="s">
        <v>252</v>
      </c>
      <c r="D235" s="17">
        <v>0</v>
      </c>
      <c r="E235" s="4"/>
      <c r="F235" s="9"/>
      <c r="G235" s="19">
        <f>D235</f>
        <v>0</v>
      </c>
      <c r="I235" s="46"/>
    </row>
    <row r="236" spans="1:9" s="20" customFormat="1" ht="47.25">
      <c r="A236" s="437"/>
      <c r="B236" s="436"/>
      <c r="C236" s="4" t="s">
        <v>267</v>
      </c>
      <c r="D236" s="17">
        <v>0</v>
      </c>
      <c r="E236" s="4"/>
      <c r="F236" s="9"/>
      <c r="G236" s="19">
        <f aca="true" t="shared" si="13" ref="G236:G242">D236</f>
        <v>0</v>
      </c>
      <c r="I236" s="46"/>
    </row>
    <row r="237" spans="1:9" s="20" customFormat="1" ht="63">
      <c r="A237" s="437"/>
      <c r="B237" s="436"/>
      <c r="C237" s="4" t="s">
        <v>256</v>
      </c>
      <c r="D237" s="17">
        <v>0</v>
      </c>
      <c r="E237" s="4"/>
      <c r="F237" s="9"/>
      <c r="G237" s="19">
        <f t="shared" si="13"/>
        <v>0</v>
      </c>
      <c r="I237" s="46"/>
    </row>
    <row r="238" spans="1:9" s="20" customFormat="1" ht="47.25">
      <c r="A238" s="437"/>
      <c r="B238" s="436"/>
      <c r="C238" s="4" t="s">
        <v>261</v>
      </c>
      <c r="D238" s="17">
        <v>0</v>
      </c>
      <c r="E238" s="4"/>
      <c r="F238" s="9"/>
      <c r="G238" s="19">
        <f t="shared" si="13"/>
        <v>0</v>
      </c>
      <c r="I238" s="46"/>
    </row>
    <row r="239" spans="1:9" s="20" customFormat="1" ht="45.75" customHeight="1" hidden="1">
      <c r="A239" s="437"/>
      <c r="B239" s="436"/>
      <c r="C239" s="4"/>
      <c r="D239" s="5"/>
      <c r="E239" s="4"/>
      <c r="F239" s="9"/>
      <c r="G239" s="19">
        <f t="shared" si="13"/>
        <v>0</v>
      </c>
      <c r="I239" s="46"/>
    </row>
    <row r="240" spans="1:9" s="20" customFormat="1" ht="56.25" customHeight="1" hidden="1">
      <c r="A240" s="437"/>
      <c r="B240" s="436"/>
      <c r="C240" s="4"/>
      <c r="D240" s="5"/>
      <c r="E240" s="4"/>
      <c r="F240" s="9"/>
      <c r="G240" s="19">
        <f t="shared" si="13"/>
        <v>0</v>
      </c>
      <c r="I240" s="46"/>
    </row>
    <row r="241" spans="1:9" s="20" customFormat="1" ht="63">
      <c r="A241" s="437"/>
      <c r="B241" s="436"/>
      <c r="C241" s="4" t="s">
        <v>270</v>
      </c>
      <c r="D241" s="17">
        <v>0</v>
      </c>
      <c r="E241" s="4"/>
      <c r="F241" s="9"/>
      <c r="G241" s="19">
        <f t="shared" si="13"/>
        <v>0</v>
      </c>
      <c r="I241" s="46"/>
    </row>
    <row r="242" spans="1:9" s="20" customFormat="1" ht="63.75" customHeight="1">
      <c r="A242" s="437"/>
      <c r="B242" s="436"/>
      <c r="C242" s="4" t="s">
        <v>279</v>
      </c>
      <c r="D242" s="17">
        <v>0</v>
      </c>
      <c r="E242" s="4"/>
      <c r="F242" s="9"/>
      <c r="G242" s="19">
        <f t="shared" si="13"/>
        <v>0</v>
      </c>
      <c r="I242" s="46"/>
    </row>
    <row r="243" spans="1:9" s="20" customFormat="1" ht="47.25">
      <c r="A243" s="22" t="s">
        <v>134</v>
      </c>
      <c r="B243" s="23" t="s">
        <v>42</v>
      </c>
      <c r="C243" s="4"/>
      <c r="D243" s="24">
        <f>D245+D249+D251+D252+D253+D254</f>
        <v>0</v>
      </c>
      <c r="E243" s="23"/>
      <c r="F243" s="24">
        <f>F244+F245+F246+F248</f>
        <v>0</v>
      </c>
      <c r="G243" s="24">
        <f>D243+F243</f>
        <v>0</v>
      </c>
      <c r="H243" s="47"/>
      <c r="I243" s="46"/>
    </row>
    <row r="244" spans="1:9" s="20" customFormat="1" ht="43.5" customHeight="1">
      <c r="A244" s="18" t="s">
        <v>164</v>
      </c>
      <c r="B244" s="4" t="s">
        <v>165</v>
      </c>
      <c r="C244" s="4"/>
      <c r="D244" s="17"/>
      <c r="E244" s="4" t="s">
        <v>264</v>
      </c>
      <c r="F244" s="19">
        <v>0</v>
      </c>
      <c r="G244" s="19">
        <f>F244</f>
        <v>0</v>
      </c>
      <c r="I244" s="46"/>
    </row>
    <row r="245" spans="1:9" s="20" customFormat="1" ht="50.25" customHeight="1">
      <c r="A245" s="437" t="s">
        <v>93</v>
      </c>
      <c r="B245" s="436" t="s">
        <v>94</v>
      </c>
      <c r="C245" s="4" t="s">
        <v>267</v>
      </c>
      <c r="D245" s="17">
        <v>0</v>
      </c>
      <c r="E245" s="4" t="s">
        <v>267</v>
      </c>
      <c r="F245" s="19">
        <v>0</v>
      </c>
      <c r="G245" s="19">
        <f>D245+F245</f>
        <v>0</v>
      </c>
      <c r="I245" s="46"/>
    </row>
    <row r="246" spans="1:9" s="20" customFormat="1" ht="47.25">
      <c r="A246" s="437"/>
      <c r="B246" s="436"/>
      <c r="C246" s="4"/>
      <c r="D246" s="17"/>
      <c r="E246" s="35" t="s">
        <v>263</v>
      </c>
      <c r="F246" s="39">
        <v>0</v>
      </c>
      <c r="G246" s="39">
        <f>F246</f>
        <v>0</v>
      </c>
      <c r="I246" s="46"/>
    </row>
    <row r="247" spans="1:9" s="20" customFormat="1" ht="21.75" customHeight="1" hidden="1">
      <c r="A247" s="18" t="s">
        <v>83</v>
      </c>
      <c r="B247" s="4" t="s">
        <v>84</v>
      </c>
      <c r="C247" s="4"/>
      <c r="D247" s="17"/>
      <c r="E247" s="4"/>
      <c r="F247" s="19"/>
      <c r="G247" s="19">
        <v>0</v>
      </c>
      <c r="I247" s="46"/>
    </row>
    <row r="248" spans="1:9" s="20" customFormat="1" ht="99.75" customHeight="1">
      <c r="A248" s="18" t="s">
        <v>70</v>
      </c>
      <c r="B248" s="4" t="s">
        <v>220</v>
      </c>
      <c r="C248" s="4"/>
      <c r="D248" s="17"/>
      <c r="E248" s="4" t="s">
        <v>277</v>
      </c>
      <c r="F248" s="19">
        <v>0</v>
      </c>
      <c r="G248" s="19">
        <f>F248</f>
        <v>0</v>
      </c>
      <c r="I248" s="46"/>
    </row>
    <row r="249" spans="1:9" s="20" customFormat="1" ht="47.25">
      <c r="A249" s="437" t="s">
        <v>76</v>
      </c>
      <c r="B249" s="436" t="s">
        <v>91</v>
      </c>
      <c r="C249" s="4" t="s">
        <v>252</v>
      </c>
      <c r="D249" s="17">
        <v>0</v>
      </c>
      <c r="E249" s="4"/>
      <c r="F249" s="9"/>
      <c r="G249" s="19">
        <f aca="true" t="shared" si="14" ref="G249:G254">D249</f>
        <v>0</v>
      </c>
      <c r="I249" s="46"/>
    </row>
    <row r="250" spans="1:9" s="20" customFormat="1" ht="34.5" customHeight="1" hidden="1">
      <c r="A250" s="437"/>
      <c r="B250" s="436"/>
      <c r="C250" s="4"/>
      <c r="D250" s="17"/>
      <c r="E250" s="4"/>
      <c r="F250" s="9"/>
      <c r="G250" s="19">
        <f t="shared" si="14"/>
        <v>0</v>
      </c>
      <c r="I250" s="46"/>
    </row>
    <row r="251" spans="1:9" s="20" customFormat="1" ht="63">
      <c r="A251" s="437"/>
      <c r="B251" s="436"/>
      <c r="C251" s="4" t="s">
        <v>256</v>
      </c>
      <c r="D251" s="17">
        <v>0</v>
      </c>
      <c r="E251" s="4"/>
      <c r="F251" s="9"/>
      <c r="G251" s="19">
        <f t="shared" si="14"/>
        <v>0</v>
      </c>
      <c r="I251" s="46"/>
    </row>
    <row r="252" spans="1:9" s="20" customFormat="1" ht="47.25">
      <c r="A252" s="437"/>
      <c r="B252" s="436"/>
      <c r="C252" s="4" t="s">
        <v>261</v>
      </c>
      <c r="D252" s="17">
        <v>0</v>
      </c>
      <c r="E252" s="4"/>
      <c r="F252" s="9"/>
      <c r="G252" s="19">
        <f t="shared" si="14"/>
        <v>0</v>
      </c>
      <c r="I252" s="46"/>
    </row>
    <row r="253" spans="1:9" s="20" customFormat="1" ht="47.25">
      <c r="A253" s="437"/>
      <c r="B253" s="436"/>
      <c r="C253" s="4" t="s">
        <v>267</v>
      </c>
      <c r="D253" s="17">
        <v>0</v>
      </c>
      <c r="E253" s="4"/>
      <c r="F253" s="9"/>
      <c r="G253" s="19">
        <f t="shared" si="14"/>
        <v>0</v>
      </c>
      <c r="I253" s="46"/>
    </row>
    <row r="254" spans="1:9" s="20" customFormat="1" ht="63">
      <c r="A254" s="437"/>
      <c r="B254" s="436"/>
      <c r="C254" s="4" t="s">
        <v>270</v>
      </c>
      <c r="D254" s="17">
        <v>0</v>
      </c>
      <c r="E254" s="4"/>
      <c r="F254" s="9"/>
      <c r="G254" s="19">
        <f t="shared" si="14"/>
        <v>0</v>
      </c>
      <c r="I254" s="46"/>
    </row>
    <row r="255" spans="1:9" s="20" customFormat="1" ht="47.25">
      <c r="A255" s="22" t="s">
        <v>135</v>
      </c>
      <c r="B255" s="23" t="s">
        <v>43</v>
      </c>
      <c r="C255" s="4"/>
      <c r="D255" s="24">
        <f>D257+D260+D261+D262+D263+D265+D266</f>
        <v>0</v>
      </c>
      <c r="E255" s="23"/>
      <c r="F255" s="24">
        <f>F256+F257+F258+F259</f>
        <v>0</v>
      </c>
      <c r="G255" s="24">
        <f>D255+F255</f>
        <v>0</v>
      </c>
      <c r="H255" s="47"/>
      <c r="I255" s="46"/>
    </row>
    <row r="256" spans="1:9" s="20" customFormat="1" ht="52.5" customHeight="1">
      <c r="A256" s="18" t="s">
        <v>164</v>
      </c>
      <c r="B256" s="4" t="s">
        <v>165</v>
      </c>
      <c r="C256" s="4"/>
      <c r="D256" s="17"/>
      <c r="E256" s="4" t="s">
        <v>264</v>
      </c>
      <c r="F256" s="19">
        <v>0</v>
      </c>
      <c r="G256" s="19">
        <f>F256</f>
        <v>0</v>
      </c>
      <c r="I256" s="46"/>
    </row>
    <row r="257" spans="1:9" s="20" customFormat="1" ht="56.25" customHeight="1">
      <c r="A257" s="18" t="s">
        <v>93</v>
      </c>
      <c r="B257" s="4" t="s">
        <v>94</v>
      </c>
      <c r="C257" s="4" t="s">
        <v>267</v>
      </c>
      <c r="D257" s="17">
        <v>0</v>
      </c>
      <c r="E257" s="4" t="s">
        <v>267</v>
      </c>
      <c r="F257" s="19">
        <v>0</v>
      </c>
      <c r="G257" s="19">
        <f>D257+F257</f>
        <v>0</v>
      </c>
      <c r="I257" s="46"/>
    </row>
    <row r="258" spans="1:9" s="20" customFormat="1" ht="47.25">
      <c r="A258" s="18" t="s">
        <v>83</v>
      </c>
      <c r="B258" s="4" t="s">
        <v>84</v>
      </c>
      <c r="C258" s="4"/>
      <c r="D258" s="17"/>
      <c r="E258" s="4" t="s">
        <v>267</v>
      </c>
      <c r="F258" s="19">
        <v>0</v>
      </c>
      <c r="G258" s="19">
        <f>F258</f>
        <v>0</v>
      </c>
      <c r="I258" s="46"/>
    </row>
    <row r="259" spans="1:9" s="20" customFormat="1" ht="99.75" customHeight="1">
      <c r="A259" s="18" t="s">
        <v>70</v>
      </c>
      <c r="B259" s="4" t="s">
        <v>220</v>
      </c>
      <c r="C259" s="4"/>
      <c r="D259" s="17"/>
      <c r="E259" s="4" t="s">
        <v>277</v>
      </c>
      <c r="F259" s="19">
        <v>0</v>
      </c>
      <c r="G259" s="19">
        <f>F259</f>
        <v>0</v>
      </c>
      <c r="I259" s="46"/>
    </row>
    <row r="260" spans="1:9" s="20" customFormat="1" ht="47.25">
      <c r="A260" s="437" t="s">
        <v>76</v>
      </c>
      <c r="B260" s="436" t="s">
        <v>91</v>
      </c>
      <c r="C260" s="4" t="s">
        <v>252</v>
      </c>
      <c r="D260" s="17">
        <v>0</v>
      </c>
      <c r="E260" s="4"/>
      <c r="F260" s="9"/>
      <c r="G260" s="19">
        <f>D260</f>
        <v>0</v>
      </c>
      <c r="I260" s="46"/>
    </row>
    <row r="261" spans="1:9" s="20" customFormat="1" ht="47.25">
      <c r="A261" s="437"/>
      <c r="B261" s="436"/>
      <c r="C261" s="4" t="s">
        <v>267</v>
      </c>
      <c r="D261" s="17">
        <v>0</v>
      </c>
      <c r="E261" s="4"/>
      <c r="F261" s="9"/>
      <c r="G261" s="19">
        <f aca="true" t="shared" si="15" ref="G261:G266">D261</f>
        <v>0</v>
      </c>
      <c r="I261" s="46"/>
    </row>
    <row r="262" spans="1:9" s="20" customFormat="1" ht="63">
      <c r="A262" s="437"/>
      <c r="B262" s="436"/>
      <c r="C262" s="4" t="s">
        <v>256</v>
      </c>
      <c r="D262" s="17">
        <v>0</v>
      </c>
      <c r="E262" s="4"/>
      <c r="F262" s="9"/>
      <c r="G262" s="19">
        <f t="shared" si="15"/>
        <v>0</v>
      </c>
      <c r="I262" s="46"/>
    </row>
    <row r="263" spans="1:9" s="20" customFormat="1" ht="47.25">
      <c r="A263" s="437"/>
      <c r="B263" s="436"/>
      <c r="C263" s="4" t="s">
        <v>261</v>
      </c>
      <c r="D263" s="17">
        <v>0</v>
      </c>
      <c r="E263" s="4"/>
      <c r="F263" s="9"/>
      <c r="G263" s="19">
        <f t="shared" si="15"/>
        <v>0</v>
      </c>
      <c r="I263" s="46"/>
    </row>
    <row r="264" spans="1:9" s="20" customFormat="1" ht="21.75" customHeight="1" hidden="1">
      <c r="A264" s="437"/>
      <c r="B264" s="436"/>
      <c r="C264" s="4"/>
      <c r="D264" s="5"/>
      <c r="E264" s="4"/>
      <c r="F264" s="9"/>
      <c r="G264" s="19">
        <f t="shared" si="15"/>
        <v>0</v>
      </c>
      <c r="I264" s="46"/>
    </row>
    <row r="265" spans="1:9" s="20" customFormat="1" ht="63">
      <c r="A265" s="437"/>
      <c r="B265" s="436"/>
      <c r="C265" s="4" t="s">
        <v>270</v>
      </c>
      <c r="D265" s="17">
        <v>0</v>
      </c>
      <c r="E265" s="4"/>
      <c r="F265" s="9"/>
      <c r="G265" s="19">
        <f t="shared" si="15"/>
        <v>0</v>
      </c>
      <c r="I265" s="46"/>
    </row>
    <row r="266" spans="1:9" s="20" customFormat="1" ht="66.75" customHeight="1">
      <c r="A266" s="437"/>
      <c r="B266" s="436"/>
      <c r="C266" s="4" t="s">
        <v>279</v>
      </c>
      <c r="D266" s="17">
        <v>0</v>
      </c>
      <c r="E266" s="4"/>
      <c r="F266" s="9"/>
      <c r="G266" s="19">
        <f t="shared" si="15"/>
        <v>0</v>
      </c>
      <c r="I266" s="46"/>
    </row>
    <row r="267" spans="1:9" s="20" customFormat="1" ht="47.25">
      <c r="A267" s="22" t="s">
        <v>136</v>
      </c>
      <c r="B267" s="23" t="s">
        <v>44</v>
      </c>
      <c r="C267" s="4"/>
      <c r="D267" s="24">
        <f>D269+D271+D272+D273+D274+D275+D276</f>
        <v>0</v>
      </c>
      <c r="E267" s="23"/>
      <c r="F267" s="24">
        <f>F268+F269+F270</f>
        <v>0</v>
      </c>
      <c r="G267" s="28">
        <f>D267+F267</f>
        <v>0</v>
      </c>
      <c r="H267" s="48"/>
      <c r="I267" s="46"/>
    </row>
    <row r="268" spans="1:9" s="20" customFormat="1" ht="47.25">
      <c r="A268" s="18" t="s">
        <v>164</v>
      </c>
      <c r="B268" s="4" t="s">
        <v>165</v>
      </c>
      <c r="C268" s="4"/>
      <c r="D268" s="17"/>
      <c r="E268" s="4" t="s">
        <v>264</v>
      </c>
      <c r="F268" s="19">
        <v>0</v>
      </c>
      <c r="G268" s="19">
        <f>F268</f>
        <v>0</v>
      </c>
      <c r="H268" s="33"/>
      <c r="I268" s="46"/>
    </row>
    <row r="269" spans="1:9" s="20" customFormat="1" ht="66" customHeight="1">
      <c r="A269" s="18" t="s">
        <v>93</v>
      </c>
      <c r="B269" s="4" t="s">
        <v>94</v>
      </c>
      <c r="C269" s="4" t="s">
        <v>267</v>
      </c>
      <c r="D269" s="17">
        <v>0</v>
      </c>
      <c r="E269" s="4" t="s">
        <v>267</v>
      </c>
      <c r="F269" s="19">
        <v>0</v>
      </c>
      <c r="G269" s="19">
        <f>D269+F269</f>
        <v>0</v>
      </c>
      <c r="I269" s="46"/>
    </row>
    <row r="270" spans="1:9" s="20" customFormat="1" ht="55.5" customHeight="1">
      <c r="A270" s="18" t="s">
        <v>83</v>
      </c>
      <c r="B270" s="4" t="s">
        <v>84</v>
      </c>
      <c r="C270" s="4"/>
      <c r="D270" s="17"/>
      <c r="E270" s="4" t="s">
        <v>267</v>
      </c>
      <c r="F270" s="19">
        <v>0</v>
      </c>
      <c r="G270" s="19">
        <f>F270</f>
        <v>0</v>
      </c>
      <c r="I270" s="46"/>
    </row>
    <row r="271" spans="1:9" s="20" customFormat="1" ht="47.25">
      <c r="A271" s="437" t="s">
        <v>76</v>
      </c>
      <c r="B271" s="436" t="s">
        <v>91</v>
      </c>
      <c r="C271" s="4" t="s">
        <v>252</v>
      </c>
      <c r="D271" s="17">
        <v>0</v>
      </c>
      <c r="E271" s="4"/>
      <c r="F271" s="9"/>
      <c r="G271" s="19">
        <f aca="true" t="shared" si="16" ref="G271:G276">D271</f>
        <v>0</v>
      </c>
      <c r="I271" s="46"/>
    </row>
    <row r="272" spans="1:9" s="20" customFormat="1" ht="47.25">
      <c r="A272" s="437"/>
      <c r="B272" s="436"/>
      <c r="C272" s="4" t="s">
        <v>267</v>
      </c>
      <c r="D272" s="17">
        <v>0</v>
      </c>
      <c r="E272" s="4"/>
      <c r="F272" s="9"/>
      <c r="G272" s="19">
        <f t="shared" si="16"/>
        <v>0</v>
      </c>
      <c r="I272" s="46"/>
    </row>
    <row r="273" spans="1:9" s="20" customFormat="1" ht="63">
      <c r="A273" s="437"/>
      <c r="B273" s="436"/>
      <c r="C273" s="4" t="s">
        <v>256</v>
      </c>
      <c r="D273" s="17">
        <v>0</v>
      </c>
      <c r="E273" s="4"/>
      <c r="F273" s="9"/>
      <c r="G273" s="19">
        <f t="shared" si="16"/>
        <v>0</v>
      </c>
      <c r="I273" s="46"/>
    </row>
    <row r="274" spans="1:9" s="20" customFormat="1" ht="47.25">
      <c r="A274" s="437"/>
      <c r="B274" s="436"/>
      <c r="C274" s="4" t="s">
        <v>261</v>
      </c>
      <c r="D274" s="17">
        <v>0</v>
      </c>
      <c r="E274" s="4"/>
      <c r="F274" s="9"/>
      <c r="G274" s="19">
        <f t="shared" si="16"/>
        <v>0</v>
      </c>
      <c r="I274" s="46"/>
    </row>
    <row r="275" spans="1:9" s="20" customFormat="1" ht="63">
      <c r="A275" s="437"/>
      <c r="B275" s="436"/>
      <c r="C275" s="4" t="s">
        <v>270</v>
      </c>
      <c r="D275" s="17">
        <v>0</v>
      </c>
      <c r="E275" s="4"/>
      <c r="F275" s="9"/>
      <c r="G275" s="19">
        <f t="shared" si="16"/>
        <v>0</v>
      </c>
      <c r="I275" s="46"/>
    </row>
    <row r="276" spans="1:9" s="20" customFormat="1" ht="63.75" customHeight="1">
      <c r="A276" s="437"/>
      <c r="B276" s="436"/>
      <c r="C276" s="4" t="s">
        <v>279</v>
      </c>
      <c r="D276" s="17">
        <v>0</v>
      </c>
      <c r="E276" s="4"/>
      <c r="F276" s="9"/>
      <c r="G276" s="19">
        <f t="shared" si="16"/>
        <v>0</v>
      </c>
      <c r="I276" s="46"/>
    </row>
    <row r="277" spans="1:9" s="33" customFormat="1" ht="47.25">
      <c r="A277" s="22" t="s">
        <v>137</v>
      </c>
      <c r="B277" s="23" t="s">
        <v>45</v>
      </c>
      <c r="C277" s="23"/>
      <c r="D277" s="24">
        <f>D279+D281+D283+D285+D287+D288+D289+D290+D291+D292</f>
        <v>0</v>
      </c>
      <c r="E277" s="23"/>
      <c r="F277" s="24">
        <f>F280+F284</f>
        <v>0</v>
      </c>
      <c r="G277" s="24">
        <f>D277+F277</f>
        <v>0</v>
      </c>
      <c r="H277" s="48"/>
      <c r="I277" s="46"/>
    </row>
    <row r="278" spans="1:9" s="33" customFormat="1" ht="55.5" customHeight="1" hidden="1">
      <c r="A278" s="18" t="s">
        <v>164</v>
      </c>
      <c r="B278" s="4" t="s">
        <v>165</v>
      </c>
      <c r="C278" s="4" t="s">
        <v>171</v>
      </c>
      <c r="D278" s="17"/>
      <c r="E278" s="4" t="s">
        <v>171</v>
      </c>
      <c r="F278" s="19"/>
      <c r="G278" s="19">
        <v>0</v>
      </c>
      <c r="I278" s="46"/>
    </row>
    <row r="279" spans="1:9" s="33" customFormat="1" ht="69" customHeight="1">
      <c r="A279" s="441" t="s">
        <v>164</v>
      </c>
      <c r="B279" s="439" t="s">
        <v>165</v>
      </c>
      <c r="C279" s="4" t="s">
        <v>279</v>
      </c>
      <c r="D279" s="17">
        <v>0</v>
      </c>
      <c r="E279" s="4"/>
      <c r="F279" s="19"/>
      <c r="G279" s="19">
        <f>D279</f>
        <v>0</v>
      </c>
      <c r="I279" s="46"/>
    </row>
    <row r="280" spans="1:9" s="33" customFormat="1" ht="54.75" customHeight="1">
      <c r="A280" s="442"/>
      <c r="B280" s="440"/>
      <c r="C280" s="4"/>
      <c r="D280" s="17"/>
      <c r="E280" s="4" t="s">
        <v>264</v>
      </c>
      <c r="F280" s="19">
        <v>0</v>
      </c>
      <c r="G280" s="19">
        <f>F280</f>
        <v>0</v>
      </c>
      <c r="I280" s="46"/>
    </row>
    <row r="281" spans="1:9" s="20" customFormat="1" ht="49.5" customHeight="1">
      <c r="A281" s="437" t="s">
        <v>93</v>
      </c>
      <c r="B281" s="436" t="s">
        <v>94</v>
      </c>
      <c r="C281" s="4" t="s">
        <v>267</v>
      </c>
      <c r="D281" s="17">
        <v>0</v>
      </c>
      <c r="E281" s="4"/>
      <c r="F281" s="19"/>
      <c r="G281" s="19">
        <f>D281</f>
        <v>0</v>
      </c>
      <c r="I281" s="46"/>
    </row>
    <row r="282" spans="1:9" s="20" customFormat="1" ht="47.25" hidden="1">
      <c r="A282" s="437"/>
      <c r="B282" s="436"/>
      <c r="C282" s="4"/>
      <c r="D282" s="17"/>
      <c r="E282" s="35" t="s">
        <v>263</v>
      </c>
      <c r="F282" s="39">
        <v>0</v>
      </c>
      <c r="G282" s="39">
        <v>0</v>
      </c>
      <c r="I282" s="46"/>
    </row>
    <row r="283" spans="1:9" s="20" customFormat="1" ht="47.25">
      <c r="A283" s="18" t="s">
        <v>236</v>
      </c>
      <c r="B283" s="4" t="s">
        <v>91</v>
      </c>
      <c r="C283" s="4" t="s">
        <v>258</v>
      </c>
      <c r="D283" s="17">
        <v>0</v>
      </c>
      <c r="E283" s="4"/>
      <c r="F283" s="19"/>
      <c r="G283" s="19">
        <f>D283</f>
        <v>0</v>
      </c>
      <c r="I283" s="46"/>
    </row>
    <row r="284" spans="1:9" s="20" customFormat="1" ht="93.75" customHeight="1">
      <c r="A284" s="18" t="s">
        <v>70</v>
      </c>
      <c r="B284" s="4" t="s">
        <v>220</v>
      </c>
      <c r="C284" s="4"/>
      <c r="D284" s="17"/>
      <c r="E284" s="4" t="s">
        <v>277</v>
      </c>
      <c r="F284" s="19">
        <v>0</v>
      </c>
      <c r="G284" s="19">
        <f>F284</f>
        <v>0</v>
      </c>
      <c r="I284" s="46"/>
    </row>
    <row r="285" spans="1:9" s="20" customFormat="1" ht="47.25">
      <c r="A285" s="437" t="s">
        <v>76</v>
      </c>
      <c r="B285" s="436" t="s">
        <v>91</v>
      </c>
      <c r="C285" s="4" t="s">
        <v>252</v>
      </c>
      <c r="D285" s="17">
        <v>0</v>
      </c>
      <c r="E285" s="4"/>
      <c r="F285" s="9"/>
      <c r="G285" s="19">
        <f>D285</f>
        <v>0</v>
      </c>
      <c r="I285" s="46"/>
    </row>
    <row r="286" spans="1:9" s="20" customFormat="1" ht="21" customHeight="1" hidden="1">
      <c r="A286" s="437"/>
      <c r="B286" s="436"/>
      <c r="C286" s="4"/>
      <c r="D286" s="17"/>
      <c r="E286" s="4"/>
      <c r="F286" s="9"/>
      <c r="G286" s="19">
        <f aca="true" t="shared" si="17" ref="G286:G292">D286</f>
        <v>0</v>
      </c>
      <c r="I286" s="46"/>
    </row>
    <row r="287" spans="1:9" s="20" customFormat="1" ht="63">
      <c r="A287" s="437"/>
      <c r="B287" s="436"/>
      <c r="C287" s="4" t="s">
        <v>257</v>
      </c>
      <c r="D287" s="17">
        <v>0</v>
      </c>
      <c r="E287" s="4"/>
      <c r="F287" s="9"/>
      <c r="G287" s="19">
        <f t="shared" si="17"/>
        <v>0</v>
      </c>
      <c r="I287" s="46"/>
    </row>
    <row r="288" spans="1:9" s="20" customFormat="1" ht="63">
      <c r="A288" s="437"/>
      <c r="B288" s="436"/>
      <c r="C288" s="4" t="s">
        <v>256</v>
      </c>
      <c r="D288" s="17">
        <v>0</v>
      </c>
      <c r="E288" s="4"/>
      <c r="F288" s="9"/>
      <c r="G288" s="19">
        <f t="shared" si="17"/>
        <v>0</v>
      </c>
      <c r="I288" s="46"/>
    </row>
    <row r="289" spans="1:9" s="20" customFormat="1" ht="47.25">
      <c r="A289" s="437"/>
      <c r="B289" s="436"/>
      <c r="C289" s="4" t="s">
        <v>261</v>
      </c>
      <c r="D289" s="17">
        <v>0</v>
      </c>
      <c r="E289" s="4"/>
      <c r="F289" s="9"/>
      <c r="G289" s="19">
        <f t="shared" si="17"/>
        <v>0</v>
      </c>
      <c r="I289" s="46"/>
    </row>
    <row r="290" spans="1:9" s="20" customFormat="1" ht="63">
      <c r="A290" s="437"/>
      <c r="B290" s="436"/>
      <c r="C290" s="4" t="s">
        <v>270</v>
      </c>
      <c r="D290" s="17">
        <v>0</v>
      </c>
      <c r="E290" s="4"/>
      <c r="F290" s="9"/>
      <c r="G290" s="19">
        <f t="shared" si="17"/>
        <v>0</v>
      </c>
      <c r="I290" s="46"/>
    </row>
    <row r="291" spans="1:9" s="20" customFormat="1" ht="47.25">
      <c r="A291" s="437"/>
      <c r="B291" s="436"/>
      <c r="C291" s="4" t="s">
        <v>267</v>
      </c>
      <c r="D291" s="17">
        <v>0</v>
      </c>
      <c r="E291" s="4"/>
      <c r="F291" s="9"/>
      <c r="G291" s="19">
        <f t="shared" si="17"/>
        <v>0</v>
      </c>
      <c r="I291" s="46"/>
    </row>
    <row r="292" spans="1:9" s="20" customFormat="1" ht="65.25" customHeight="1">
      <c r="A292" s="437"/>
      <c r="B292" s="436"/>
      <c r="C292" s="4" t="s">
        <v>279</v>
      </c>
      <c r="D292" s="17">
        <v>0</v>
      </c>
      <c r="E292" s="4"/>
      <c r="F292" s="9"/>
      <c r="G292" s="19">
        <f t="shared" si="17"/>
        <v>0</v>
      </c>
      <c r="I292" s="46"/>
    </row>
    <row r="293" spans="1:9" s="33" customFormat="1" ht="47.25">
      <c r="A293" s="22" t="s">
        <v>138</v>
      </c>
      <c r="B293" s="23" t="s">
        <v>46</v>
      </c>
      <c r="C293" s="23"/>
      <c r="D293" s="24">
        <f>D296+D298+D300+D301+D302+D303+D304</f>
        <v>0</v>
      </c>
      <c r="E293" s="23"/>
      <c r="F293" s="24">
        <f>F294+F295+F296+F297</f>
        <v>0</v>
      </c>
      <c r="G293" s="28">
        <f>D293+F293</f>
        <v>0</v>
      </c>
      <c r="H293" s="48"/>
      <c r="I293" s="46"/>
    </row>
    <row r="294" spans="1:9" s="33" customFormat="1" ht="49.5" customHeight="1">
      <c r="A294" s="18" t="s">
        <v>164</v>
      </c>
      <c r="B294" s="4" t="s">
        <v>165</v>
      </c>
      <c r="C294" s="4"/>
      <c r="D294" s="17"/>
      <c r="E294" s="4" t="s">
        <v>264</v>
      </c>
      <c r="F294" s="19">
        <v>0</v>
      </c>
      <c r="G294" s="19">
        <f>F294</f>
        <v>0</v>
      </c>
      <c r="I294" s="46"/>
    </row>
    <row r="295" spans="1:9" s="33" customFormat="1" ht="49.5" customHeight="1">
      <c r="A295" s="18" t="s">
        <v>83</v>
      </c>
      <c r="B295" s="4" t="s">
        <v>84</v>
      </c>
      <c r="C295" s="4"/>
      <c r="D295" s="17"/>
      <c r="E295" s="4" t="s">
        <v>267</v>
      </c>
      <c r="F295" s="19">
        <v>0</v>
      </c>
      <c r="G295" s="19">
        <f>F295</f>
        <v>0</v>
      </c>
      <c r="I295" s="46"/>
    </row>
    <row r="296" spans="1:9" s="20" customFormat="1" ht="48" customHeight="1">
      <c r="A296" s="18" t="s">
        <v>93</v>
      </c>
      <c r="B296" s="4" t="s">
        <v>94</v>
      </c>
      <c r="C296" s="4" t="s">
        <v>267</v>
      </c>
      <c r="D296" s="17">
        <v>0</v>
      </c>
      <c r="E296" s="4" t="s">
        <v>267</v>
      </c>
      <c r="F296" s="19">
        <v>0</v>
      </c>
      <c r="G296" s="19">
        <f>D296+F296</f>
        <v>0</v>
      </c>
      <c r="I296" s="46"/>
    </row>
    <row r="297" spans="1:9" s="20" customFormat="1" ht="100.5" customHeight="1">
      <c r="A297" s="18" t="s">
        <v>70</v>
      </c>
      <c r="B297" s="4" t="s">
        <v>220</v>
      </c>
      <c r="C297" s="4"/>
      <c r="D297" s="17"/>
      <c r="E297" s="4" t="s">
        <v>277</v>
      </c>
      <c r="F297" s="19">
        <v>0</v>
      </c>
      <c r="G297" s="19">
        <f>F297</f>
        <v>0</v>
      </c>
      <c r="I297" s="46"/>
    </row>
    <row r="298" spans="1:9" s="20" customFormat="1" ht="47.25">
      <c r="A298" s="437" t="s">
        <v>76</v>
      </c>
      <c r="B298" s="436" t="s">
        <v>91</v>
      </c>
      <c r="C298" s="4" t="s">
        <v>252</v>
      </c>
      <c r="D298" s="17">
        <v>0</v>
      </c>
      <c r="E298" s="4"/>
      <c r="F298" s="9"/>
      <c r="G298" s="19">
        <f aca="true" t="shared" si="18" ref="G298:G304">D298</f>
        <v>0</v>
      </c>
      <c r="I298" s="46"/>
    </row>
    <row r="299" spans="1:9" s="20" customFormat="1" ht="30.75" customHeight="1" hidden="1">
      <c r="A299" s="437"/>
      <c r="B299" s="436"/>
      <c r="C299" s="4"/>
      <c r="D299" s="17"/>
      <c r="E299" s="4"/>
      <c r="F299" s="9"/>
      <c r="G299" s="19">
        <f t="shared" si="18"/>
        <v>0</v>
      </c>
      <c r="I299" s="46"/>
    </row>
    <row r="300" spans="1:9" s="20" customFormat="1" ht="63">
      <c r="A300" s="437"/>
      <c r="B300" s="436"/>
      <c r="C300" s="4" t="s">
        <v>256</v>
      </c>
      <c r="D300" s="17">
        <v>0</v>
      </c>
      <c r="E300" s="4"/>
      <c r="F300" s="9"/>
      <c r="G300" s="19">
        <f t="shared" si="18"/>
        <v>0</v>
      </c>
      <c r="I300" s="46"/>
    </row>
    <row r="301" spans="1:9" s="20" customFormat="1" ht="47.25">
      <c r="A301" s="437"/>
      <c r="B301" s="436"/>
      <c r="C301" s="4" t="s">
        <v>261</v>
      </c>
      <c r="D301" s="17">
        <v>0</v>
      </c>
      <c r="E301" s="4"/>
      <c r="F301" s="9"/>
      <c r="G301" s="19">
        <f t="shared" si="18"/>
        <v>0</v>
      </c>
      <c r="I301" s="46"/>
    </row>
    <row r="302" spans="1:9" s="20" customFormat="1" ht="63">
      <c r="A302" s="437"/>
      <c r="B302" s="436"/>
      <c r="C302" s="4" t="s">
        <v>270</v>
      </c>
      <c r="D302" s="17">
        <v>0</v>
      </c>
      <c r="E302" s="4"/>
      <c r="F302" s="9"/>
      <c r="G302" s="19">
        <f t="shared" si="18"/>
        <v>0</v>
      </c>
      <c r="I302" s="46"/>
    </row>
    <row r="303" spans="1:9" s="20" customFormat="1" ht="47.25">
      <c r="A303" s="437"/>
      <c r="B303" s="436"/>
      <c r="C303" s="4" t="s">
        <v>267</v>
      </c>
      <c r="D303" s="17">
        <v>0</v>
      </c>
      <c r="E303" s="4"/>
      <c r="F303" s="9"/>
      <c r="G303" s="19">
        <f t="shared" si="18"/>
        <v>0</v>
      </c>
      <c r="I303" s="46"/>
    </row>
    <row r="304" spans="1:9" s="20" customFormat="1" ht="69" customHeight="1">
      <c r="A304" s="437"/>
      <c r="B304" s="436"/>
      <c r="C304" s="4" t="s">
        <v>279</v>
      </c>
      <c r="D304" s="17">
        <v>0</v>
      </c>
      <c r="E304" s="4"/>
      <c r="F304" s="9"/>
      <c r="G304" s="19">
        <f t="shared" si="18"/>
        <v>0</v>
      </c>
      <c r="I304" s="46"/>
    </row>
    <row r="305" spans="1:9" s="20" customFormat="1" ht="46.5" customHeight="1">
      <c r="A305" s="22" t="s">
        <v>139</v>
      </c>
      <c r="B305" s="23" t="s">
        <v>47</v>
      </c>
      <c r="C305" s="4"/>
      <c r="D305" s="24">
        <f>D306+D308+D309+D311+D312+D314+D315+D316</f>
        <v>0</v>
      </c>
      <c r="E305" s="4"/>
      <c r="F305" s="24">
        <f>F307</f>
        <v>0</v>
      </c>
      <c r="G305" s="24">
        <f>D305+F305</f>
        <v>0</v>
      </c>
      <c r="H305" s="47"/>
      <c r="I305" s="46"/>
    </row>
    <row r="306" spans="1:9" s="20" customFormat="1" ht="67.5" customHeight="1">
      <c r="A306" s="437" t="s">
        <v>164</v>
      </c>
      <c r="B306" s="436" t="s">
        <v>165</v>
      </c>
      <c r="C306" s="4" t="s">
        <v>279</v>
      </c>
      <c r="D306" s="17">
        <v>0</v>
      </c>
      <c r="E306" s="4"/>
      <c r="F306" s="24"/>
      <c r="G306" s="19">
        <f>D306</f>
        <v>0</v>
      </c>
      <c r="H306" s="47"/>
      <c r="I306" s="46"/>
    </row>
    <row r="307" spans="1:9" s="20" customFormat="1" ht="64.5" customHeight="1">
      <c r="A307" s="437"/>
      <c r="B307" s="436"/>
      <c r="C307" s="4"/>
      <c r="D307" s="17"/>
      <c r="E307" s="4" t="s">
        <v>264</v>
      </c>
      <c r="F307" s="19">
        <v>0</v>
      </c>
      <c r="G307" s="19">
        <f>F307</f>
        <v>0</v>
      </c>
      <c r="I307" s="46"/>
    </row>
    <row r="308" spans="1:9" s="20" customFormat="1" ht="45.75" customHeight="1">
      <c r="A308" s="18" t="s">
        <v>93</v>
      </c>
      <c r="B308" s="4" t="s">
        <v>94</v>
      </c>
      <c r="C308" s="4" t="s">
        <v>267</v>
      </c>
      <c r="D308" s="17">
        <v>0</v>
      </c>
      <c r="E308" s="4"/>
      <c r="F308" s="19"/>
      <c r="G308" s="19">
        <f>D308</f>
        <v>0</v>
      </c>
      <c r="I308" s="46"/>
    </row>
    <row r="309" spans="1:9" s="20" customFormat="1" ht="47.25">
      <c r="A309" s="437" t="s">
        <v>76</v>
      </c>
      <c r="B309" s="436" t="s">
        <v>91</v>
      </c>
      <c r="C309" s="4" t="s">
        <v>252</v>
      </c>
      <c r="D309" s="17">
        <v>0</v>
      </c>
      <c r="E309" s="4"/>
      <c r="F309" s="9"/>
      <c r="G309" s="19">
        <f aca="true" t="shared" si="19" ref="G309:G316">D309</f>
        <v>0</v>
      </c>
      <c r="I309" s="46"/>
    </row>
    <row r="310" spans="1:9" s="20" customFormat="1" ht="15.75" customHeight="1" hidden="1">
      <c r="A310" s="437"/>
      <c r="B310" s="436"/>
      <c r="C310" s="4"/>
      <c r="D310" s="17"/>
      <c r="E310" s="4"/>
      <c r="F310" s="19">
        <v>0</v>
      </c>
      <c r="G310" s="19">
        <f t="shared" si="19"/>
        <v>0</v>
      </c>
      <c r="I310" s="46"/>
    </row>
    <row r="311" spans="1:9" s="20" customFormat="1" ht="63">
      <c r="A311" s="437"/>
      <c r="B311" s="436"/>
      <c r="C311" s="4" t="s">
        <v>256</v>
      </c>
      <c r="D311" s="17">
        <v>0</v>
      </c>
      <c r="E311" s="4"/>
      <c r="F311" s="9"/>
      <c r="G311" s="19">
        <f t="shared" si="19"/>
        <v>0</v>
      </c>
      <c r="I311" s="46"/>
    </row>
    <row r="312" spans="1:9" s="20" customFormat="1" ht="47.25">
      <c r="A312" s="437"/>
      <c r="B312" s="436"/>
      <c r="C312" s="4" t="s">
        <v>261</v>
      </c>
      <c r="D312" s="17">
        <v>0</v>
      </c>
      <c r="E312" s="4"/>
      <c r="F312" s="9"/>
      <c r="G312" s="19">
        <f t="shared" si="19"/>
        <v>0</v>
      </c>
      <c r="I312" s="46"/>
    </row>
    <row r="313" spans="1:9" s="20" customFormat="1" ht="24.75" customHeight="1" hidden="1">
      <c r="A313" s="437"/>
      <c r="B313" s="436"/>
      <c r="C313" s="4"/>
      <c r="D313" s="5"/>
      <c r="E313" s="4"/>
      <c r="F313" s="9"/>
      <c r="G313" s="19">
        <f t="shared" si="19"/>
        <v>0</v>
      </c>
      <c r="I313" s="46"/>
    </row>
    <row r="314" spans="1:9" s="20" customFormat="1" ht="63">
      <c r="A314" s="437"/>
      <c r="B314" s="436"/>
      <c r="C314" s="4" t="s">
        <v>270</v>
      </c>
      <c r="D314" s="17">
        <v>0</v>
      </c>
      <c r="E314" s="4"/>
      <c r="F314" s="9"/>
      <c r="G314" s="19">
        <f t="shared" si="19"/>
        <v>0</v>
      </c>
      <c r="I314" s="46"/>
    </row>
    <row r="315" spans="1:9" s="20" customFormat="1" ht="47.25">
      <c r="A315" s="437"/>
      <c r="B315" s="436"/>
      <c r="C315" s="4" t="s">
        <v>267</v>
      </c>
      <c r="D315" s="17">
        <v>0</v>
      </c>
      <c r="E315" s="4"/>
      <c r="F315" s="9"/>
      <c r="G315" s="19">
        <f t="shared" si="19"/>
        <v>0</v>
      </c>
      <c r="I315" s="46"/>
    </row>
    <row r="316" spans="1:9" s="20" customFormat="1" ht="68.25" customHeight="1">
      <c r="A316" s="437"/>
      <c r="B316" s="436"/>
      <c r="C316" s="4" t="s">
        <v>279</v>
      </c>
      <c r="D316" s="17">
        <v>0</v>
      </c>
      <c r="E316" s="4"/>
      <c r="F316" s="9"/>
      <c r="G316" s="19">
        <f t="shared" si="19"/>
        <v>0</v>
      </c>
      <c r="I316" s="46"/>
    </row>
    <row r="317" spans="1:11" s="34" customFormat="1" ht="15.75">
      <c r="A317" s="23"/>
      <c r="B317" s="23" t="s">
        <v>65</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449" t="s">
        <v>199</v>
      </c>
      <c r="B319" s="449"/>
      <c r="C319" s="66"/>
      <c r="D319" s="67"/>
      <c r="E319" s="54"/>
      <c r="F319" s="57" t="s">
        <v>200</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C16:C19"/>
    <mergeCell ref="A5:G5"/>
    <mergeCell ref="B8:B9"/>
    <mergeCell ref="C8:D8"/>
    <mergeCell ref="E8:F8"/>
    <mergeCell ref="A12:A13"/>
    <mergeCell ref="B12:B13"/>
    <mergeCell ref="A14:A15"/>
    <mergeCell ref="A37:A42"/>
    <mergeCell ref="B37:B42"/>
    <mergeCell ref="A23:A30"/>
    <mergeCell ref="B23:B30"/>
    <mergeCell ref="B14:B15"/>
    <mergeCell ref="A16:A19"/>
    <mergeCell ref="B16:B19"/>
    <mergeCell ref="A34:A36"/>
    <mergeCell ref="B34:B36"/>
    <mergeCell ref="C68:C69"/>
    <mergeCell ref="A72:A76"/>
    <mergeCell ref="B72:B76"/>
    <mergeCell ref="A43:A45"/>
    <mergeCell ref="B43:B45"/>
    <mergeCell ref="A46:A50"/>
    <mergeCell ref="B46:B50"/>
    <mergeCell ref="A58:A60"/>
    <mergeCell ref="B58:B60"/>
    <mergeCell ref="A83:A85"/>
    <mergeCell ref="B83:B85"/>
    <mergeCell ref="A62:A63"/>
    <mergeCell ref="B62:B63"/>
    <mergeCell ref="A64:A66"/>
    <mergeCell ref="B64:B66"/>
    <mergeCell ref="A77:A79"/>
    <mergeCell ref="B77:B79"/>
    <mergeCell ref="A80:A82"/>
    <mergeCell ref="B80:B82"/>
    <mergeCell ref="A108:A109"/>
    <mergeCell ref="B108:B109"/>
    <mergeCell ref="A91:A92"/>
    <mergeCell ref="B91:B92"/>
    <mergeCell ref="A94:A96"/>
    <mergeCell ref="B94:B96"/>
    <mergeCell ref="A97:A98"/>
    <mergeCell ref="B97:B98"/>
    <mergeCell ref="A101:A105"/>
    <mergeCell ref="B101:B105"/>
    <mergeCell ref="A106:A107"/>
    <mergeCell ref="B106:B107"/>
    <mergeCell ref="A130:A132"/>
    <mergeCell ref="B130:B132"/>
    <mergeCell ref="A110:A111"/>
    <mergeCell ref="B110:B111"/>
    <mergeCell ref="B112:B114"/>
    <mergeCell ref="A113:A114"/>
    <mergeCell ref="A123:A124"/>
    <mergeCell ref="B123:B124"/>
    <mergeCell ref="A162:A163"/>
    <mergeCell ref="B162:B163"/>
    <mergeCell ref="A134:A138"/>
    <mergeCell ref="B134:B138"/>
    <mergeCell ref="A150:A151"/>
    <mergeCell ref="B150:B151"/>
    <mergeCell ref="A159:A160"/>
    <mergeCell ref="B159:B160"/>
    <mergeCell ref="A155:A157"/>
    <mergeCell ref="B155:B157"/>
    <mergeCell ref="A125:A127"/>
    <mergeCell ref="B125:B127"/>
    <mergeCell ref="A128:A129"/>
    <mergeCell ref="B128:B129"/>
    <mergeCell ref="A153:A154"/>
    <mergeCell ref="B153:B154"/>
    <mergeCell ref="D202:D203"/>
    <mergeCell ref="A164:A166"/>
    <mergeCell ref="B164:B166"/>
    <mergeCell ref="A169:A170"/>
    <mergeCell ref="B169:B170"/>
    <mergeCell ref="A182:A184"/>
    <mergeCell ref="B182:B184"/>
    <mergeCell ref="C221:C223"/>
    <mergeCell ref="A226:A227"/>
    <mergeCell ref="B226:B227"/>
    <mergeCell ref="A199:A200"/>
    <mergeCell ref="B199:B200"/>
    <mergeCell ref="A201:A203"/>
    <mergeCell ref="B201:B203"/>
    <mergeCell ref="C201:C203"/>
    <mergeCell ref="A245:A246"/>
    <mergeCell ref="B245:B246"/>
    <mergeCell ref="A205:A206"/>
    <mergeCell ref="B205:B206"/>
    <mergeCell ref="A210:A211"/>
    <mergeCell ref="B210:B211"/>
    <mergeCell ref="A230:A231"/>
    <mergeCell ref="B230:B231"/>
    <mergeCell ref="A235:A242"/>
    <mergeCell ref="B235:B242"/>
    <mergeCell ref="A249:A254"/>
    <mergeCell ref="B249:B254"/>
    <mergeCell ref="B298:B304"/>
    <mergeCell ref="A260:A266"/>
    <mergeCell ref="B260:B266"/>
    <mergeCell ref="A271:A276"/>
    <mergeCell ref="B271:B276"/>
    <mergeCell ref="A279:A280"/>
    <mergeCell ref="B279:B280"/>
    <mergeCell ref="A319:B319"/>
    <mergeCell ref="A281:A282"/>
    <mergeCell ref="B281:B282"/>
    <mergeCell ref="A285:A292"/>
    <mergeCell ref="B285:B292"/>
    <mergeCell ref="A298:A304"/>
    <mergeCell ref="A306:A307"/>
    <mergeCell ref="B306:B307"/>
    <mergeCell ref="A309:A316"/>
    <mergeCell ref="B309:B316"/>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2017-03-28T13:22:24Z</cp:lastPrinted>
  <dcterms:created xsi:type="dcterms:W3CDTF">1996-10-08T23:32:33Z</dcterms:created>
  <dcterms:modified xsi:type="dcterms:W3CDTF">2017-04-10T11:15:16Z</dcterms:modified>
  <cp:category/>
  <cp:version/>
  <cp:contentType/>
  <cp:contentStatus/>
</cp:coreProperties>
</file>