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'Місто'!$A$1:$Q$631</definedName>
  </definedNames>
  <calcPr fullCalcOnLoad="1"/>
</workbook>
</file>

<file path=xl/sharedStrings.xml><?xml version="1.0" encoding="utf-8"?>
<sst xmlns="http://schemas.openxmlformats.org/spreadsheetml/2006/main" count="2527" uniqueCount="1213">
  <si>
    <t>Надання пільг багатодітним сім'ям на придбання твердого палива та скрапленого газу</t>
  </si>
  <si>
    <t>1010180</t>
  </si>
  <si>
    <t>1410180</t>
  </si>
  <si>
    <t>1510180</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</si>
  <si>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</si>
  <si>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</si>
  <si>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</si>
  <si>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</si>
  <si>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</si>
  <si>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</si>
  <si>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</si>
  <si>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</si>
  <si>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</si>
  <si>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</si>
  <si>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</si>
  <si>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</si>
  <si>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</si>
  <si>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</si>
  <si>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</si>
  <si>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</si>
  <si>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</si>
  <si>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</si>
  <si>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</si>
  <si>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</si>
  <si>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</si>
  <si>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</si>
  <si>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</si>
  <si>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</si>
  <si>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</si>
  <si>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</si>
  <si>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</si>
  <si>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</si>
  <si>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</si>
  <si>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</si>
  <si>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</si>
  <si>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</si>
  <si>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</si>
  <si>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</si>
  <si>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</si>
  <si>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</si>
  <si>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</si>
  <si>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</si>
  <si>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</si>
  <si>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</si>
  <si>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</si>
  <si>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</si>
  <si>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</si>
  <si>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</si>
  <si>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</si>
  <si>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</si>
  <si>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</si>
  <si>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</si>
  <si>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</si>
  <si>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</si>
  <si>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</si>
  <si>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</si>
  <si>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</si>
  <si>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</si>
  <si>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</si>
  <si>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</si>
  <si>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</si>
  <si>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</si>
  <si>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</si>
  <si>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</si>
  <si>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</si>
  <si>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</si>
  <si>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</si>
  <si>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</si>
  <si>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</si>
  <si>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</si>
  <si>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</si>
  <si>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</si>
  <si>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</si>
  <si>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</si>
  <si>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</si>
  <si>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</si>
  <si>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</si>
  <si>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</si>
  <si>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</si>
  <si>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</si>
  <si>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</si>
  <si>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</si>
  <si>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</si>
  <si>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</si>
  <si>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</si>
  <si>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</si>
  <si>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</si>
  <si>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</si>
  <si>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</si>
  <si>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</si>
  <si>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</si>
  <si>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</si>
  <si>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</si>
  <si>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</si>
  <si>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</si>
  <si>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</si>
  <si>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</si>
  <si>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</si>
  <si>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</si>
  <si>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</si>
  <si>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</si>
  <si>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</si>
  <si>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</si>
  <si>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</si>
  <si>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</si>
  <si>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</si>
  <si>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</si>
  <si>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</si>
  <si>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</si>
  <si>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</si>
  <si>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</si>
  <si>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</si>
  <si>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</si>
  <si>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</si>
  <si>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</si>
  <si>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</si>
  <si>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</si>
  <si>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</si>
  <si>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</si>
  <si>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</si>
  <si>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</si>
  <si>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</si>
  <si>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</si>
  <si>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</si>
  <si>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</si>
  <si>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</si>
  <si>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</si>
  <si>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</si>
  <si>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</si>
  <si>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</si>
  <si>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</si>
  <si>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</si>
  <si>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</si>
  <si>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</si>
  <si>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</si>
  <si>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</si>
  <si>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</si>
  <si>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</si>
  <si>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</si>
  <si>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</si>
  <si>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</si>
  <si>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</si>
  <si>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</si>
  <si>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</si>
  <si>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</si>
  <si>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</si>
  <si>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</si>
  <si>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</si>
  <si>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</si>
  <si>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</si>
  <si>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</si>
  <si>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</si>
  <si>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</si>
  <si>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</si>
  <si>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</si>
  <si>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</si>
  <si>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</si>
  <si>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</si>
  <si>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</si>
  <si>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</si>
  <si>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</si>
  <si>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</si>
  <si>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</si>
  <si>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</si>
  <si>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</si>
  <si>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</si>
  <si>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</si>
  <si>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</si>
  <si>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</si>
  <si>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</si>
  <si>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</si>
  <si>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</si>
  <si>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</si>
  <si>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</si>
  <si>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</si>
  <si>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</si>
  <si>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</si>
  <si>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</si>
  <si>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</si>
  <si>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</si>
  <si>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</si>
  <si>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</si>
  <si>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</si>
  <si>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</si>
  <si>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</si>
  <si>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</si>
  <si>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</si>
  <si>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</si>
  <si>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</si>
  <si>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</si>
  <si>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</si>
  <si>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</si>
  <si>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</si>
  <si>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</si>
  <si>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</si>
  <si>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</si>
  <si>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</si>
  <si>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</si>
  <si>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</si>
  <si>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</si>
  <si>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</si>
  <si>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</si>
  <si>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</si>
  <si>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</si>
  <si>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</si>
  <si>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</si>
  <si>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</si>
  <si>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</si>
  <si>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</si>
  <si>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</si>
  <si>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</si>
  <si>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</si>
  <si>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</si>
  <si>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</si>
  <si>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</si>
  <si>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</si>
  <si>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</si>
  <si>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</si>
  <si>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</si>
  <si>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</si>
  <si>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</si>
  <si>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</si>
  <si>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</si>
  <si>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</si>
  <si>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</si>
  <si>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</si>
  <si>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</si>
  <si>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</si>
  <si>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</si>
  <si>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</si>
  <si>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</si>
  <si>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</si>
  <si>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</si>
  <si>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</si>
  <si>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</si>
  <si>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</si>
  <si>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</si>
  <si>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</si>
  <si>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</si>
  <si>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</si>
  <si>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</si>
  <si>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</si>
  <si>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</si>
  <si>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</si>
  <si>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</si>
  <si>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</si>
  <si>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</si>
  <si>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</si>
  <si>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</si>
  <si>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</si>
  <si>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</si>
  <si>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</si>
  <si>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</si>
  <si>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</si>
  <si>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</si>
  <si>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</si>
  <si>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</si>
  <si>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</si>
  <si>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</si>
  <si>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</si>
  <si>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</si>
  <si>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</si>
  <si>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</si>
  <si>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</si>
  <si>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</si>
  <si>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</si>
  <si>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</si>
  <si>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</si>
  <si>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</si>
  <si>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</si>
  <si>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</si>
  <si>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</si>
  <si>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</si>
  <si>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</si>
  <si>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</si>
  <si>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</si>
  <si>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</si>
  <si>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</si>
  <si>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</si>
  <si>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</si>
  <si>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</si>
  <si>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</si>
  <si>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</si>
  <si>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</si>
  <si>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</si>
  <si>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</si>
  <si>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</si>
  <si>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</si>
  <si>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</si>
  <si>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</si>
  <si>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</si>
  <si>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</si>
  <si>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</si>
  <si>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</si>
  <si>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</si>
  <si>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</si>
  <si>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</si>
  <si>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</si>
  <si>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</si>
  <si>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</si>
  <si>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</si>
  <si>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</si>
  <si>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</si>
  <si>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</si>
  <si>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</si>
  <si>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</si>
  <si>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</si>
  <si>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</si>
  <si>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соціального захисту населення</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</si>
  <si>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</si>
  <si>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</si>
  <si>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</si>
  <si>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</si>
  <si>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</si>
  <si>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</si>
  <si>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</si>
  <si>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</si>
  <si>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</si>
  <si>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</si>
  <si>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</si>
  <si>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</si>
  <si>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</si>
  <si>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</si>
  <si>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</si>
  <si>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</si>
  <si>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</si>
  <si>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</si>
  <si>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</si>
  <si>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</si>
  <si>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</si>
  <si>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</si>
  <si>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</si>
  <si>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</si>
  <si>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</si>
  <si>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</si>
  <si>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</si>
  <si>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</si>
  <si>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</si>
  <si>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</si>
  <si>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</si>
  <si>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</si>
  <si>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</si>
  <si>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</si>
  <si>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</si>
  <si>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</si>
  <si>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</si>
  <si>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</si>
  <si>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</si>
  <si>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</si>
  <si>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</si>
  <si>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</si>
  <si>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</si>
  <si>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</si>
  <si>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</si>
  <si>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</si>
  <si>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</si>
  <si>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</si>
  <si>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</si>
  <si>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</si>
  <si>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</si>
  <si>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</si>
  <si>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</si>
  <si>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</si>
  <si>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</si>
  <si>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</si>
  <si>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</si>
  <si>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</si>
  <si>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</si>
  <si>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</si>
  <si>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</si>
  <si>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</si>
  <si>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</si>
  <si>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</si>
  <si>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</si>
  <si>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</si>
  <si>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</si>
  <si>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</si>
  <si>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</si>
  <si>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</si>
  <si>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</si>
  <si>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</si>
  <si>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</si>
  <si>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</si>
  <si>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</si>
  <si>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</si>
  <si>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</si>
  <si>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</si>
  <si>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</si>
  <si>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</si>
  <si>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</si>
  <si>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</si>
  <si>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</si>
  <si>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</si>
  <si>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</si>
  <si>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</si>
  <si>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</si>
  <si>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</si>
  <si>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</si>
  <si>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</si>
  <si>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</si>
  <si>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</si>
  <si>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</si>
  <si>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</si>
  <si>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</si>
  <si>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</si>
  <si>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</si>
  <si>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</si>
  <si>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</si>
  <si>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</si>
  <si>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</si>
  <si>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</si>
  <si>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</si>
  <si>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</si>
  <si>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</si>
  <si>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</si>
  <si>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</si>
  <si>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</si>
  <si>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</si>
  <si>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</si>
  <si>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</si>
  <si>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</si>
  <si>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</si>
  <si>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</si>
  <si>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</si>
  <si>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</si>
  <si>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</si>
  <si>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</si>
  <si>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</si>
  <si>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</si>
  <si>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</si>
  <si>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</si>
  <si>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</si>
  <si>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</si>
  <si>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</si>
  <si>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</si>
  <si>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</si>
  <si>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</si>
  <si>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</si>
  <si>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</si>
  <si>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</si>
  <si>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</si>
  <si>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</si>
  <si>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</si>
  <si>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</si>
  <si>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</si>
  <si>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</si>
  <si>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</si>
  <si>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</si>
  <si>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</si>
  <si>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</si>
  <si>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</si>
  <si>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</si>
  <si>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</si>
  <si>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Соціальні програми і заходи державних органів у справах молоді</t>
  </si>
  <si>
    <t>1513131</t>
  </si>
  <si>
    <t>1513132</t>
  </si>
  <si>
    <t>1513140</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</si>
  <si>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</si>
  <si>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</si>
  <si>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</si>
  <si>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</si>
  <si>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</si>
  <si>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</si>
  <si>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</si>
  <si>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</si>
  <si>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</si>
  <si>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</si>
  <si>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</si>
  <si>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</si>
  <si>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</si>
  <si>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</si>
  <si>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</si>
  <si>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</si>
  <si>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</si>
  <si>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</si>
  <si>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</si>
  <si>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</si>
  <si>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</si>
  <si>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</si>
  <si>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</si>
  <si>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</si>
  <si>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</si>
  <si>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</si>
  <si>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</si>
  <si>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</si>
  <si>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</si>
  <si>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</si>
  <si>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</si>
  <si>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</si>
  <si>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</si>
  <si>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</si>
  <si>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</si>
  <si>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</si>
  <si>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</si>
  <si>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</si>
  <si>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</si>
  <si>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</si>
  <si>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</si>
  <si>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</si>
  <si>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</si>
  <si>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</si>
  <si>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</si>
  <si>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</si>
  <si>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</si>
  <si>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</si>
  <si>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</si>
  <si>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</si>
  <si>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</si>
  <si>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</si>
  <si>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</si>
  <si>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</si>
  <si>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</si>
  <si>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</si>
  <si>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</si>
  <si>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</si>
  <si>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</si>
  <si>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</si>
  <si>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</si>
  <si>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</si>
  <si>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</si>
  <si>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</si>
  <si>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</si>
  <si>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</si>
  <si>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</si>
  <si>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</si>
  <si>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</si>
  <si>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</si>
  <si>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РОЗПОДІЛ</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</si>
  <si>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</si>
  <si>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</si>
  <si>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</si>
  <si>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</si>
  <si>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</si>
  <si>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</si>
  <si>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</si>
  <si>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</si>
  <si>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</si>
  <si>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</si>
  <si>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</si>
  <si>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</si>
  <si>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</si>
  <si>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</si>
  <si>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</si>
  <si>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</si>
  <si>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</si>
  <si>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</si>
  <si>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</si>
  <si>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</si>
  <si>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</si>
  <si>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</si>
  <si>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</si>
  <si>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6017700</t>
  </si>
  <si>
    <t>6517470</t>
  </si>
  <si>
    <t>9419180</t>
  </si>
  <si>
    <t>9419181</t>
  </si>
  <si>
    <t>9519180</t>
  </si>
  <si>
    <t>9519181</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</si>
  <si>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</si>
  <si>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</si>
  <si>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</si>
  <si>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</si>
  <si>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</si>
  <si>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Первинна медична допомога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</si>
  <si>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</si>
  <si>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</si>
  <si>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</si>
  <si>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</si>
  <si>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1017701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</si>
  <si>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</si>
  <si>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</si>
  <si>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</si>
  <si>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</si>
  <si>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</si>
  <si>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</si>
  <si>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</si>
  <si>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</si>
  <si>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</si>
  <si>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</si>
  <si>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</si>
  <si>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</si>
  <si>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</si>
  <si>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</si>
  <si>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</si>
  <si>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</si>
  <si>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</si>
  <si>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</si>
  <si>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</si>
  <si>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</si>
  <si>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</si>
  <si>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</si>
  <si>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</si>
  <si>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</si>
  <si>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</si>
  <si>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</si>
  <si>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</si>
  <si>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</si>
  <si>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</si>
  <si>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</si>
  <si>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</si>
  <si>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</si>
  <si>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</si>
  <si>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</si>
  <si>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</si>
  <si>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</si>
  <si>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</si>
  <si>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</si>
  <si>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</si>
  <si>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</si>
  <si>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</si>
  <si>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</si>
  <si>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</si>
  <si>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</si>
  <si>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</si>
  <si>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</si>
  <si>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</si>
  <si>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</si>
  <si>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</si>
  <si>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</si>
  <si>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</si>
  <si>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</si>
  <si>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</si>
  <si>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</si>
  <si>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</si>
  <si>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</si>
  <si>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</si>
  <si>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</si>
  <si>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</si>
  <si>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</si>
  <si>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</si>
  <si>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</si>
  <si>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</si>
  <si>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</si>
  <si>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</si>
  <si>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</si>
  <si>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</si>
  <si>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</si>
  <si>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</si>
  <si>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</si>
  <si>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</si>
  <si>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</si>
  <si>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</si>
  <si>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</si>
  <si>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</si>
  <si>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</si>
  <si>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</si>
  <si>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</si>
  <si>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</si>
  <si>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</si>
  <si>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</si>
  <si>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</si>
  <si>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</si>
  <si>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</si>
  <si>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</si>
  <si>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</si>
  <si>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</si>
  <si>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</si>
  <si>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</si>
  <si>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</si>
  <si>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</si>
  <si>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</si>
  <si>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</si>
  <si>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</si>
  <si>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</si>
  <si>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</si>
  <si>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</si>
  <si>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</si>
  <si>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</si>
  <si>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</si>
  <si>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</si>
  <si>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</si>
  <si>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</si>
  <si>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</si>
  <si>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</si>
  <si>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</si>
  <si>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</si>
  <si>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</si>
  <si>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</si>
  <si>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</si>
  <si>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</si>
  <si>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</si>
  <si>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</si>
  <si>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</si>
  <si>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</si>
  <si>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</si>
  <si>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</si>
  <si>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</si>
  <si>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</si>
  <si>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</si>
  <si>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</si>
  <si>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</si>
  <si>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</si>
  <si>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</si>
  <si>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</si>
  <si>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</si>
  <si>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</si>
  <si>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</si>
  <si>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</si>
  <si>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</si>
  <si>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</si>
  <si>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</si>
  <si>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</si>
  <si>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</si>
  <si>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</si>
  <si>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</si>
  <si>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</si>
  <si>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</si>
  <si>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</si>
  <si>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</si>
  <si>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</si>
  <si>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</si>
  <si>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</si>
  <si>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</si>
  <si>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</si>
  <si>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</si>
  <si>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</si>
  <si>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</si>
  <si>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</si>
  <si>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</si>
  <si>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</si>
  <si>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</si>
  <si>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</si>
  <si>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</si>
  <si>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</si>
  <si>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</si>
  <si>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</si>
  <si>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</si>
  <si>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</si>
  <si>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</si>
  <si>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</si>
  <si>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</si>
  <si>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</si>
  <si>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</si>
  <si>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</si>
  <si>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</si>
  <si>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</si>
  <si>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</si>
  <si>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</si>
  <si>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</si>
  <si>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</si>
  <si>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</si>
  <si>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</si>
  <si>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</si>
  <si>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</si>
  <si>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</si>
  <si>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</si>
  <si>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</si>
  <si>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</si>
  <si>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</si>
  <si>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</si>
  <si>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</si>
  <si>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</si>
  <si>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</si>
  <si>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</si>
  <si>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</si>
  <si>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</si>
  <si>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</si>
  <si>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</si>
  <si>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</si>
  <si>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</si>
  <si>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7319100</t>
  </si>
  <si>
    <t>7319180</t>
  </si>
  <si>
    <t>7319181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</si>
  <si>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</si>
  <si>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</si>
  <si>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</si>
  <si>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</si>
  <si>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Р.О.Пидорич</t>
  </si>
  <si>
    <t>070501</t>
  </si>
  <si>
    <t>0930</t>
  </si>
  <si>
    <t>1011100</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</si>
  <si>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</si>
  <si>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</si>
  <si>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</si>
  <si>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</si>
  <si>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</si>
  <si>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</si>
  <si>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</si>
  <si>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</si>
  <si>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</si>
  <si>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</si>
  <si>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</si>
  <si>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</si>
  <si>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</si>
  <si>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</si>
  <si>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</si>
  <si>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</si>
  <si>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</si>
  <si>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</si>
  <si>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</si>
  <si>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</si>
  <si>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</si>
  <si>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</si>
  <si>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</si>
  <si>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</si>
  <si>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</si>
  <si>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</si>
  <si>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</si>
  <si>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</si>
  <si>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</si>
  <si>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</si>
  <si>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</si>
  <si>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</si>
  <si>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</si>
  <si>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</si>
  <si>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</si>
  <si>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</si>
  <si>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</si>
  <si>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</si>
  <si>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</si>
  <si>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</si>
  <si>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</si>
  <si>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</si>
  <si>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</si>
  <si>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</si>
  <si>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</si>
  <si>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</si>
  <si>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</si>
  <si>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</si>
  <si>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</si>
  <si>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</si>
  <si>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</si>
  <si>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</si>
  <si>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</si>
  <si>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</si>
  <si>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</si>
  <si>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</si>
  <si>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4119100</t>
  </si>
  <si>
    <t>4119110</t>
  </si>
  <si>
    <t>4118000</t>
  </si>
  <si>
    <t>4118600</t>
  </si>
  <si>
    <t>4118606</t>
  </si>
  <si>
    <t>130113</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</si>
  <si>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</si>
  <si>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</si>
  <si>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</si>
  <si>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</si>
  <si>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</si>
  <si>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</si>
  <si>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</si>
  <si>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</si>
  <si>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</si>
  <si>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</si>
  <si>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</si>
  <si>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</si>
  <si>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</si>
  <si>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</si>
  <si>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</si>
  <si>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</si>
  <si>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</si>
  <si>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</si>
  <si>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</si>
  <si>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</si>
  <si>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</si>
  <si>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</si>
  <si>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</si>
  <si>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</si>
  <si>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</si>
  <si>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1019180</t>
  </si>
  <si>
    <t>1019181</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</si>
  <si>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</si>
  <si>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</si>
  <si>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</si>
  <si>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</si>
  <si>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</si>
  <si>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</si>
  <si>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</si>
  <si>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</si>
  <si>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</si>
  <si>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</si>
  <si>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</si>
  <si>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</si>
  <si>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</si>
  <si>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</si>
  <si>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9219100</t>
  </si>
  <si>
    <t>9619100</t>
  </si>
  <si>
    <t>Департамент з управління житлово-комунальним господарством Запорізької міської ради</t>
  </si>
  <si>
    <t>видатків бюджету міста на 2017 рік у розрізі бюджетних програм</t>
  </si>
  <si>
    <t xml:space="preserve">Додаток 3                          </t>
  </si>
  <si>
    <t>0316300</t>
  </si>
  <si>
    <t>Проведення місцевих виборів</t>
  </si>
  <si>
    <t>Проведення виборів та референдумів</t>
  </si>
  <si>
    <t>0160</t>
  </si>
  <si>
    <t xml:space="preserve">в т.ч.за рахунок освітньої субвенції </t>
  </si>
  <si>
    <t>в т.ч.за рахунок освітньої субвенції</t>
  </si>
  <si>
    <t>0318604</t>
  </si>
  <si>
    <t>0318605</t>
  </si>
  <si>
    <t>0318608</t>
  </si>
  <si>
    <t>Підтримка призову на військову службу та заходи з мобілізації</t>
  </si>
  <si>
    <t>в т.ч.за рахунок залишку коштів освітньої субвенції з державного бюджету, що утворився на початок бюджетного періоду</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</si>
  <si>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</si>
  <si>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</si>
  <si>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</si>
  <si>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</si>
  <si>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</si>
  <si>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</si>
  <si>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</si>
  <si>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в т.ч.за рахунок залишку коштів медичної субвенції з державного бюджету, що утворився на початок бюджетного періоду</t>
  </si>
  <si>
    <t xml:space="preserve">в т.ч.за рахунок медичної субвенції </t>
  </si>
  <si>
    <t>в т.ч.за рахунок медичної субвенції</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</si>
  <si>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</si>
  <si>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в тому числі за рахунок субвенції з державного бюджету </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</si>
  <si>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</si>
  <si>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</si>
  <si>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</si>
  <si>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</si>
  <si>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</si>
  <si>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4019100</t>
  </si>
  <si>
    <t>4019110</t>
  </si>
  <si>
    <t>1519100</t>
  </si>
  <si>
    <t>1519180</t>
  </si>
  <si>
    <t>1519181</t>
  </si>
  <si>
    <t>4117700</t>
  </si>
  <si>
    <t>4117701</t>
  </si>
  <si>
    <t>4113401</t>
  </si>
  <si>
    <t>5617300</t>
  </si>
  <si>
    <t>Сільське і лісове господарство, рибне господарство та мисливство</t>
  </si>
  <si>
    <t>0421</t>
  </si>
  <si>
    <t>6016300</t>
  </si>
  <si>
    <t>6017400</t>
  </si>
  <si>
    <t>6019180</t>
  </si>
  <si>
    <t>6019181</t>
  </si>
  <si>
    <t>6717820</t>
  </si>
  <si>
    <t>0220</t>
  </si>
  <si>
    <t>Заходи у сфері захисту населення і території від надзвичайних ситуацій техногенного та природного характеру</t>
  </si>
  <si>
    <t>210106</t>
  </si>
  <si>
    <t>0170</t>
  </si>
  <si>
    <t>Реверсна дотація</t>
  </si>
  <si>
    <t>7618801</t>
  </si>
  <si>
    <t>9018601</t>
  </si>
  <si>
    <t>9018604</t>
  </si>
  <si>
    <t>9018607</t>
  </si>
  <si>
    <t>9018609</t>
  </si>
  <si>
    <t>9019100</t>
  </si>
  <si>
    <t>9118601</t>
  </si>
  <si>
    <t>9118604</t>
  </si>
  <si>
    <t>9118607</t>
  </si>
  <si>
    <t>9118609</t>
  </si>
  <si>
    <t>9218601</t>
  </si>
  <si>
    <t>9218604</t>
  </si>
  <si>
    <t>9218607</t>
  </si>
  <si>
    <t>9218609</t>
  </si>
  <si>
    <t>9318601</t>
  </si>
  <si>
    <t>9318604</t>
  </si>
  <si>
    <t>9318607</t>
  </si>
  <si>
    <t>9318609</t>
  </si>
  <si>
    <t>9319100</t>
  </si>
  <si>
    <t>9319230</t>
  </si>
  <si>
    <t>9418601</t>
  </si>
  <si>
    <t>9418604</t>
  </si>
  <si>
    <t>9418607</t>
  </si>
  <si>
    <t>9418609</t>
  </si>
  <si>
    <t>9518601</t>
  </si>
  <si>
    <t>9518604</t>
  </si>
  <si>
    <t>9518607</t>
  </si>
  <si>
    <t>9518609</t>
  </si>
  <si>
    <t>9618601</t>
  </si>
  <si>
    <t>9618604</t>
  </si>
  <si>
    <t>9618607</t>
  </si>
  <si>
    <t>9618609</t>
  </si>
  <si>
    <t>9619181</t>
  </si>
  <si>
    <t>9319181</t>
  </si>
  <si>
    <t>9219181</t>
  </si>
  <si>
    <t>9019181</t>
  </si>
  <si>
    <t>9019180</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</si>
  <si>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</si>
  <si>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</si>
  <si>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</si>
  <si>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</si>
  <si>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1513240</t>
  </si>
  <si>
    <t>2417500</t>
  </si>
  <si>
    <t>2417501</t>
  </si>
  <si>
    <t>Керівництво і управління у сфері освіти і науки</t>
  </si>
  <si>
    <t>Керівництво і управління у сфері культури і мистецтва, туризму</t>
  </si>
  <si>
    <t>0100</t>
  </si>
  <si>
    <t>9219110</t>
  </si>
  <si>
    <t>програма  забезпечення працездатності систем об'єктивного відеоспостереження у м.Запоріжжі</t>
  </si>
  <si>
    <t>свята</t>
  </si>
  <si>
    <t>програма сприяння молодіжного руху "Молодь для міста"</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</si>
  <si>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</si>
  <si>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7211</t>
  </si>
  <si>
    <t>7212</t>
  </si>
  <si>
    <t>6310</t>
  </si>
  <si>
    <t>6322</t>
  </si>
  <si>
    <t>7470</t>
  </si>
  <si>
    <t>8010</t>
  </si>
  <si>
    <t>8601</t>
  </si>
  <si>
    <t>8602</t>
  </si>
  <si>
    <t>8603</t>
  </si>
  <si>
    <t>8604</t>
  </si>
  <si>
    <t>8605</t>
  </si>
  <si>
    <t>8606</t>
  </si>
  <si>
    <t>8607</t>
  </si>
  <si>
    <t>8608</t>
  </si>
  <si>
    <t>9180</t>
  </si>
  <si>
    <t>9181</t>
  </si>
  <si>
    <t>1100</t>
  </si>
  <si>
    <t>1170</t>
  </si>
  <si>
    <t>1180</t>
  </si>
  <si>
    <t>1190</t>
  </si>
  <si>
    <t>1200</t>
  </si>
  <si>
    <t>1210</t>
  </si>
  <si>
    <t>1230</t>
  </si>
  <si>
    <t>3130</t>
  </si>
  <si>
    <t>3131</t>
  </si>
  <si>
    <t>3132</t>
  </si>
  <si>
    <t>3140</t>
  </si>
  <si>
    <t>3160</t>
  </si>
  <si>
    <t>3240</t>
  </si>
  <si>
    <t>6330</t>
  </si>
  <si>
    <t>6340</t>
  </si>
  <si>
    <t>6350</t>
  </si>
  <si>
    <t>7501</t>
  </si>
  <si>
    <t>7700</t>
  </si>
  <si>
    <t>7701</t>
  </si>
  <si>
    <t>8100</t>
  </si>
  <si>
    <t>8108</t>
  </si>
  <si>
    <t>9100</t>
  </si>
  <si>
    <t>9110</t>
  </si>
  <si>
    <t>5011</t>
  </si>
  <si>
    <t>5012</t>
  </si>
  <si>
    <t>5101</t>
  </si>
  <si>
    <t>6300</t>
  </si>
  <si>
    <t>8000</t>
  </si>
  <si>
    <t>5010</t>
  </si>
  <si>
    <t>2000</t>
  </si>
  <si>
    <t>2010</t>
  </si>
  <si>
    <t>2050</t>
  </si>
  <si>
    <t>2120</t>
  </si>
  <si>
    <t>2140</t>
  </si>
  <si>
    <t>2170</t>
  </si>
  <si>
    <t>2180</t>
  </si>
  <si>
    <t>2200</t>
  </si>
  <si>
    <t>2210</t>
  </si>
  <si>
    <t>2214</t>
  </si>
  <si>
    <t>2220</t>
  </si>
  <si>
    <t>2221</t>
  </si>
  <si>
    <t>2222</t>
  </si>
  <si>
    <t>1000</t>
  </si>
  <si>
    <t>3010</t>
  </si>
  <si>
    <t>3011</t>
  </si>
  <si>
    <t>3012</t>
  </si>
  <si>
    <t>3013</t>
  </si>
  <si>
    <t>3015</t>
  </si>
  <si>
    <t>3016</t>
  </si>
  <si>
    <t>3017</t>
  </si>
  <si>
    <t>3020</t>
  </si>
  <si>
    <t>3021</t>
  </si>
  <si>
    <t>3022</t>
  </si>
  <si>
    <t>3023</t>
  </si>
  <si>
    <t>3025</t>
  </si>
  <si>
    <t>3026</t>
  </si>
  <si>
    <t>3028</t>
  </si>
  <si>
    <t>3030</t>
  </si>
  <si>
    <t>3031</t>
  </si>
  <si>
    <t>3033</t>
  </si>
  <si>
    <t>3034</t>
  </si>
  <si>
    <t>3035</t>
  </si>
  <si>
    <t>3036</t>
  </si>
  <si>
    <t>3037</t>
  </si>
  <si>
    <t>3038</t>
  </si>
  <si>
    <t>3041</t>
  </si>
  <si>
    <t>3042</t>
  </si>
  <si>
    <t>3043</t>
  </si>
  <si>
    <t>3044</t>
  </si>
  <si>
    <t>3045</t>
  </si>
  <si>
    <t>3046</t>
  </si>
  <si>
    <t>3047</t>
  </si>
  <si>
    <t>3048</t>
  </si>
  <si>
    <t>3049</t>
  </si>
  <si>
    <t>3080</t>
  </si>
  <si>
    <t>3104</t>
  </si>
  <si>
    <t>3180</t>
  </si>
  <si>
    <t>3181</t>
  </si>
  <si>
    <t>3200</t>
  </si>
  <si>
    <t>3202</t>
  </si>
  <si>
    <t>3400</t>
  </si>
  <si>
    <t>3401</t>
  </si>
  <si>
    <t>3110</t>
  </si>
  <si>
    <t>3112</t>
  </si>
  <si>
    <t>4000</t>
  </si>
  <si>
    <t>4020</t>
  </si>
  <si>
    <t>4060</t>
  </si>
  <si>
    <t>4090</t>
  </si>
  <si>
    <t>4100</t>
  </si>
  <si>
    <t>4110</t>
  </si>
  <si>
    <t>4200</t>
  </si>
  <si>
    <t>4201</t>
  </si>
  <si>
    <t>4202</t>
  </si>
  <si>
    <t>4203</t>
  </si>
  <si>
    <t>4204</t>
  </si>
  <si>
    <t>4205</t>
  </si>
  <si>
    <t>7500</t>
  </si>
  <si>
    <t>7400</t>
  </si>
  <si>
    <t>7450</t>
  </si>
  <si>
    <t>8600</t>
  </si>
  <si>
    <t>6000</t>
  </si>
  <si>
    <t>6010</t>
  </si>
  <si>
    <t>6020</t>
  </si>
  <si>
    <t>6021</t>
  </si>
  <si>
    <t>6022</t>
  </si>
  <si>
    <t>6030</t>
  </si>
  <si>
    <t>6100</t>
  </si>
  <si>
    <t>6320</t>
  </si>
  <si>
    <t>6324</t>
  </si>
  <si>
    <t>6400</t>
  </si>
  <si>
    <t>3000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</si>
  <si>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</si>
  <si>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</si>
  <si>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</si>
  <si>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</si>
  <si>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</si>
  <si>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</si>
  <si>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</si>
  <si>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</si>
  <si>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</si>
  <si>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</si>
  <si>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</si>
  <si>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</si>
  <si>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</si>
  <si>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</si>
  <si>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</si>
  <si>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</si>
  <si>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</si>
  <si>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</si>
  <si>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</si>
  <si>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</si>
  <si>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</si>
  <si>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</si>
  <si>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9010</t>
  </si>
  <si>
    <t>8120</t>
  </si>
  <si>
    <t>8370</t>
  </si>
  <si>
    <t>8800</t>
  </si>
  <si>
    <t>8609</t>
  </si>
  <si>
    <t>9230</t>
  </si>
  <si>
    <t>7200</t>
  </si>
  <si>
    <t>7210</t>
  </si>
  <si>
    <t>5000</t>
  </si>
  <si>
    <t>3100</t>
  </si>
  <si>
    <t>2013000</t>
  </si>
  <si>
    <t>2011000</t>
  </si>
  <si>
    <t>участь в Асоціації міст</t>
  </si>
  <si>
    <t>Код типової програмної класифікації видатків та кредитування місцевих бюджетів (КТПККВК)</t>
  </si>
  <si>
    <t>1113400</t>
  </si>
  <si>
    <t>1113401</t>
  </si>
  <si>
    <t>аварійна служба</t>
  </si>
  <si>
    <t>фінансова підтримка житлово-експлуатаційних та комунальних підприємств міста</t>
  </si>
  <si>
    <t>Цифрова стратегія</t>
  </si>
  <si>
    <t>Керівництво і управління у сфері державного архітектурно-будівельного контролю</t>
  </si>
  <si>
    <t>Керівництво і управління у сфері транспорту та зв'язку</t>
  </si>
  <si>
    <t>Керівництво і управління у сфері техногенно-екологічної безпеки, цивільного захисту та надзвичайних ситуацій</t>
  </si>
  <si>
    <t>7317500</t>
  </si>
  <si>
    <t>7317502</t>
  </si>
  <si>
    <t>7502</t>
  </si>
  <si>
    <t>Стратегія економічного розвитку</t>
  </si>
  <si>
    <t>29</t>
  </si>
  <si>
    <t>2900000</t>
  </si>
  <si>
    <t>2910000</t>
  </si>
  <si>
    <t>2910100</t>
  </si>
  <si>
    <t>2910180</t>
  </si>
  <si>
    <t>Архівне управління Запорізької міської ради</t>
  </si>
  <si>
    <t>Керівництво і управління у сфері архівної справи і діловодства</t>
  </si>
  <si>
    <t>1115030</t>
  </si>
  <si>
    <t>5030</t>
  </si>
  <si>
    <t>1115031</t>
  </si>
  <si>
    <t>5031</t>
  </si>
  <si>
    <t>1115040</t>
  </si>
  <si>
    <t>5040</t>
  </si>
  <si>
    <t>Підтримка і розвиток спортивної інфраструктури</t>
  </si>
  <si>
    <t>1115041</t>
  </si>
  <si>
    <t>5041</t>
  </si>
  <si>
    <t>Утримання комунальних спортивних споруд</t>
  </si>
  <si>
    <t>1115060</t>
  </si>
  <si>
    <t>5060</t>
  </si>
  <si>
    <t>1115063</t>
  </si>
  <si>
    <t>5063</t>
  </si>
  <si>
    <t>Забезпечення діяльності централізованої бухгалтерії</t>
  </si>
  <si>
    <t>1115062</t>
  </si>
  <si>
    <t>5062</t>
  </si>
  <si>
    <t>Підтримка спорту вищих досягнень та організацій, які здійснюють фізкультурно-спортивну діяльність в регіоні</t>
  </si>
  <si>
    <t>Підготовка робітничих кадрів професійно-технічними закладами та іншими закладами освіти</t>
  </si>
  <si>
    <t xml:space="preserve">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 </t>
  </si>
  <si>
    <t>1118100</t>
  </si>
  <si>
    <t>Реалізація державної політики у молодіжній сфері</t>
  </si>
  <si>
    <t>Розвиток дитячо-юнацького та резервного спорту</t>
  </si>
  <si>
    <t>Інші заходи з розвитку фізичної культури і спорту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</si>
  <si>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</si>
  <si>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</si>
  <si>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t>
  </si>
  <si>
    <t>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</si>
  <si>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Керівництво і управління у сфері соціального захисту дітей</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</si>
  <si>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</si>
  <si>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 та субсидій населенню на придбання твердого та рідкого пічного побутового палива і скрапленого газу</t>
  </si>
  <si>
    <t>0451</t>
  </si>
  <si>
    <t>4016050</t>
  </si>
  <si>
    <t>6050</t>
  </si>
  <si>
    <t>6051</t>
  </si>
  <si>
    <t>4016051</t>
  </si>
  <si>
    <t>Фінансова підтримка об'єктів комунального господарства</t>
  </si>
  <si>
    <t>Забезпечення функціонування теплових мереж</t>
  </si>
  <si>
    <t>1113141</t>
  </si>
  <si>
    <t>3141</t>
  </si>
  <si>
    <t>Здійснення заходів та реалізація проектів на виконання Державної цільової соціальної програми "Молодь України"</t>
  </si>
  <si>
    <t>7319110</t>
  </si>
  <si>
    <t>6519100</t>
  </si>
  <si>
    <t>6519110</t>
  </si>
  <si>
    <t>ЗМІСОІ</t>
  </si>
  <si>
    <t>Заходи з інформатизації, в т.ч.</t>
  </si>
  <si>
    <t>в т.ч. за рахунок субвенції на нвдання державної підтримки особам з особливими освітніми потребами</t>
  </si>
  <si>
    <t>в т.ч. за рахунок субвенції на надання державної підтримки особам з особливими освітніми потребами</t>
  </si>
  <si>
    <t>Керівництво і управління у сфері забезпечення діяльності міської ради та її виконавчого комітету</t>
  </si>
  <si>
    <t>0310180</t>
  </si>
  <si>
    <t>Надання допомоги дітям-сиротам і дітям, позбавленим батьківського піклування, яким виповнюється 18 років</t>
  </si>
  <si>
    <t>29.03.2017 №59</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</si>
</sst>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sz val="10"/>
      <color indexed="10"/>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0" fontId="0" fillId="33" borderId="0" xfId="0" applyFont="1" applyFill="1" applyAlignment="1">
      <alignment/>
    </xf>
    <xf numFmtId="1" fontId="0" fillId="0" borderId="10" xfId="0" applyNumberFormat="1" applyFont="1" applyBorder="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0" fontId="0" fillId="0" borderId="13" xfId="0" applyBorder="1" applyAlignment="1">
      <alignment horizontal="center" vertical="center" wrapText="1"/>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4" fillId="0" borderId="0" xfId="0" applyFont="1" applyAlignment="1">
      <alignment/>
    </xf>
    <xf numFmtId="0" fontId="8" fillId="33" borderId="10" xfId="0" applyFont="1" applyFill="1" applyBorder="1" applyAlignment="1">
      <alignment horizontal="left" wrapText="1"/>
    </xf>
    <xf numFmtId="0" fontId="9" fillId="0" borderId="0" xfId="0" applyFont="1" applyAlignment="1">
      <alignment/>
    </xf>
    <xf numFmtId="0" fontId="0" fillId="0" borderId="10" xfId="0" applyFill="1" applyBorder="1" applyAlignment="1">
      <alignment horizontal="justify" wrapText="1"/>
    </xf>
    <xf numFmtId="0" fontId="9" fillId="33" borderId="0" xfId="0" applyFont="1" applyFill="1" applyAlignment="1">
      <alignment/>
    </xf>
    <xf numFmtId="0" fontId="9" fillId="0" borderId="0" xfId="0" applyFont="1" applyFill="1" applyAlignment="1">
      <alignment/>
    </xf>
    <xf numFmtId="49" fontId="0" fillId="33" borderId="10" xfId="0" applyNumberFormat="1" applyFont="1" applyFill="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33"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0" fontId="11" fillId="0" borderId="10" xfId="0" applyFont="1" applyBorder="1" applyAlignment="1">
      <alignment wrapText="1"/>
    </xf>
    <xf numFmtId="1" fontId="11" fillId="0" borderId="10" xfId="0" applyNumberFormat="1" applyFont="1" applyBorder="1" applyAlignment="1">
      <alignment horizontal="righ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49" fontId="53" fillId="0" borderId="10" xfId="0" applyNumberFormat="1" applyFont="1" applyFill="1" applyBorder="1" applyAlignment="1">
      <alignment horizontal="center"/>
    </xf>
    <xf numFmtId="1" fontId="53" fillId="0" borderId="10" xfId="0" applyNumberFormat="1" applyFont="1" applyBorder="1" applyAlignment="1">
      <alignment horizontal="right"/>
    </xf>
    <xf numFmtId="49" fontId="53" fillId="0" borderId="10" xfId="0" applyNumberFormat="1" applyFont="1" applyBorder="1" applyAlignment="1">
      <alignment horizontal="center"/>
    </xf>
    <xf numFmtId="0" fontId="53" fillId="0" borderId="10" xfId="0" applyFont="1" applyBorder="1" applyAlignment="1">
      <alignment wrapText="1"/>
    </xf>
    <xf numFmtId="0" fontId="53"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Border="1" applyAlignment="1">
      <alignment wrapText="1"/>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horizontal="left" wrapText="1"/>
    </xf>
    <xf numFmtId="0" fontId="54" fillId="0" borderId="10" xfId="0" applyFont="1" applyBorder="1" applyAlignment="1">
      <alignment wrapText="1"/>
    </xf>
    <xf numFmtId="1" fontId="54" fillId="0" borderId="10" xfId="0" applyNumberFormat="1" applyFont="1" applyBorder="1" applyAlignment="1">
      <alignment/>
    </xf>
    <xf numFmtId="0" fontId="54" fillId="0" borderId="10" xfId="0" applyFont="1" applyFill="1" applyBorder="1" applyAlignment="1">
      <alignment horizontal="left" wrapText="1"/>
    </xf>
    <xf numFmtId="0" fontId="54" fillId="0" borderId="10" xfId="0" applyFont="1" applyFill="1" applyBorder="1" applyAlignment="1">
      <alignment horizontal="justify" wrapText="1"/>
    </xf>
    <xf numFmtId="0" fontId="53" fillId="0" borderId="10" xfId="0" applyFont="1" applyBorder="1" applyAlignment="1">
      <alignment horizontal="left" wrapText="1"/>
    </xf>
    <xf numFmtId="1" fontId="54" fillId="0" borderId="10" xfId="0" applyNumberFormat="1" applyFont="1" applyFill="1" applyBorder="1" applyAlignment="1">
      <alignment horizontal="right" wrapText="1"/>
    </xf>
    <xf numFmtId="1" fontId="54" fillId="0" borderId="10" xfId="0" applyNumberFormat="1" applyFont="1" applyFill="1" applyBorder="1" applyAlignment="1">
      <alignment/>
    </xf>
    <xf numFmtId="1" fontId="54" fillId="0" borderId="10" xfId="0" applyNumberFormat="1" applyFont="1" applyFill="1" applyBorder="1" applyAlignment="1">
      <alignment/>
    </xf>
    <xf numFmtId="2" fontId="0" fillId="0" borderId="10" xfId="0" applyNumberFormat="1" applyFont="1" applyFill="1" applyBorder="1" applyAlignment="1">
      <alignment horizontal="right"/>
    </xf>
    <xf numFmtId="2" fontId="54" fillId="0" borderId="10" xfId="0" applyNumberFormat="1" applyFont="1" applyFill="1" applyBorder="1" applyAlignment="1">
      <alignment horizontal="right"/>
    </xf>
    <xf numFmtId="0" fontId="15" fillId="0" borderId="10" xfId="0" applyFont="1" applyBorder="1" applyAlignment="1">
      <alignment horizontal="left" wrapText="1"/>
    </xf>
    <xf numFmtId="0" fontId="15" fillId="0" borderId="10" xfId="0" applyFont="1" applyBorder="1" applyAlignment="1">
      <alignment wrapText="1"/>
    </xf>
    <xf numFmtId="0" fontId="55" fillId="0" borderId="10" xfId="0" applyFont="1" applyBorder="1" applyAlignment="1">
      <alignment wrapText="1"/>
    </xf>
    <xf numFmtId="49" fontId="12" fillId="0" borderId="10" xfId="0" applyNumberFormat="1" applyFont="1" applyFill="1" applyBorder="1" applyAlignment="1">
      <alignment horizontal="center"/>
    </xf>
    <xf numFmtId="49" fontId="12" fillId="0" borderId="14" xfId="0" applyNumberFormat="1" applyFont="1" applyFill="1" applyBorder="1" applyAlignment="1">
      <alignment horizontal="center"/>
    </xf>
    <xf numFmtId="0" fontId="15" fillId="0" borderId="14" xfId="0" applyFont="1" applyFill="1" applyBorder="1" applyAlignment="1">
      <alignment wrapText="1"/>
    </xf>
    <xf numFmtId="1" fontId="12" fillId="0" borderId="14" xfId="0" applyNumberFormat="1" applyFont="1" applyFill="1" applyBorder="1" applyAlignment="1">
      <alignment horizontal="right"/>
    </xf>
    <xf numFmtId="1" fontId="12" fillId="0" borderId="10" xfId="0" applyNumberFormat="1" applyFont="1" applyFill="1" applyBorder="1" applyAlignment="1">
      <alignment horizontal="right"/>
    </xf>
    <xf numFmtId="0" fontId="12" fillId="0" borderId="0" xfId="0" applyFont="1" applyFill="1" applyAlignment="1">
      <alignment/>
    </xf>
    <xf numFmtId="1" fontId="0" fillId="0" borderId="14" xfId="0" applyNumberFormat="1" applyFont="1" applyFill="1" applyBorder="1" applyAlignment="1">
      <alignment horizontal="right"/>
    </xf>
    <xf numFmtId="1" fontId="0" fillId="0" borderId="13" xfId="0" applyNumberFormat="1" applyFont="1" applyFill="1" applyBorder="1" applyAlignment="1">
      <alignment horizontal="right"/>
    </xf>
    <xf numFmtId="49" fontId="12" fillId="0" borderId="10" xfId="0" applyNumberFormat="1" applyFont="1" applyBorder="1" applyAlignment="1">
      <alignment horizontal="center"/>
    </xf>
    <xf numFmtId="1" fontId="12" fillId="0" borderId="10" xfId="0" applyNumberFormat="1" applyFont="1" applyBorder="1" applyAlignment="1">
      <alignment horizontal="right"/>
    </xf>
    <xf numFmtId="0" fontId="12" fillId="0" borderId="0" xfId="0" applyFont="1" applyAlignment="1">
      <alignment/>
    </xf>
    <xf numFmtId="0" fontId="12" fillId="33" borderId="0" xfId="0" applyFont="1" applyFill="1" applyAlignment="1">
      <alignment/>
    </xf>
    <xf numFmtId="0" fontId="12" fillId="0" borderId="10" xfId="0" applyFont="1" applyBorder="1" applyAlignment="1">
      <alignment horizontal="left" wrapText="1"/>
    </xf>
    <xf numFmtId="1" fontId="0" fillId="0" borderId="10" xfId="0" applyNumberFormat="1" applyBorder="1" applyAlignment="1">
      <alignment horizontal="left" wrapText="1"/>
    </xf>
    <xf numFmtId="1" fontId="12" fillId="0" borderId="10" xfId="0" applyNumberFormat="1" applyFont="1" applyBorder="1" applyAlignment="1">
      <alignment horizontal="center"/>
    </xf>
    <xf numFmtId="0" fontId="0" fillId="0" borderId="10" xfId="0" applyFont="1" applyBorder="1" applyAlignment="1">
      <alignment horizontal="left" wrapText="1"/>
    </xf>
    <xf numFmtId="0" fontId="53"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49" fontId="55" fillId="0" borderId="10" xfId="0" applyNumberFormat="1" applyFont="1" applyBorder="1" applyAlignment="1">
      <alignment horizontal="center"/>
    </xf>
    <xf numFmtId="0" fontId="0" fillId="0" borderId="0" xfId="0" applyAlignment="1" quotePrefix="1">
      <alignment/>
    </xf>
    <xf numFmtId="49" fontId="0" fillId="0" borderId="0" xfId="0" applyNumberFormat="1" applyAlignment="1">
      <alignment/>
    </xf>
    <xf numFmtId="2" fontId="0" fillId="0" borderId="0" xfId="0" applyNumberFormat="1" applyFont="1" applyAlignment="1">
      <alignment/>
    </xf>
    <xf numFmtId="0" fontId="0" fillId="0" borderId="0" xfId="0" applyAlignment="1" quotePrefix="1">
      <alignment horizontal="left"/>
    </xf>
    <xf numFmtId="1" fontId="0" fillId="0" borderId="0" xfId="0" applyNumberFormat="1" applyFont="1" applyAlignment="1">
      <alignment/>
    </xf>
    <xf numFmtId="1" fontId="0" fillId="33" borderId="0" xfId="0" applyNumberFormat="1" applyFont="1" applyFill="1" applyAlignment="1">
      <alignment/>
    </xf>
    <xf numFmtId="49" fontId="12" fillId="3" borderId="10" xfId="0" applyNumberFormat="1" applyFont="1" applyFill="1" applyBorder="1" applyAlignment="1">
      <alignment horizontal="center"/>
    </xf>
    <xf numFmtId="0" fontId="12" fillId="3" borderId="10" xfId="0" applyFont="1" applyFill="1" applyBorder="1" applyAlignment="1">
      <alignment wrapText="1"/>
    </xf>
    <xf numFmtId="1" fontId="12" fillId="3" borderId="10" xfId="0" applyNumberFormat="1" applyFont="1" applyFill="1" applyBorder="1" applyAlignment="1">
      <alignment horizontal="right"/>
    </xf>
    <xf numFmtId="0" fontId="0" fillId="3" borderId="0" xfId="0" applyFont="1" applyFill="1" applyAlignment="1">
      <alignment/>
    </xf>
    <xf numFmtId="49" fontId="0" fillId="3" borderId="10" xfId="0" applyNumberFormat="1" applyFill="1" applyBorder="1" applyAlignment="1">
      <alignment horizontal="center"/>
    </xf>
    <xf numFmtId="49" fontId="0" fillId="3" borderId="10" xfId="0" applyNumberFormat="1" applyFont="1" applyFill="1" applyBorder="1" applyAlignment="1">
      <alignment horizontal="center"/>
    </xf>
    <xf numFmtId="0" fontId="0" fillId="3" borderId="10" xfId="0" applyFont="1" applyFill="1" applyBorder="1" applyAlignment="1">
      <alignment horizontal="left" wrapText="1"/>
    </xf>
    <xf numFmtId="1" fontId="0" fillId="3" borderId="10" xfId="0" applyNumberFormat="1" applyFont="1" applyFill="1" applyBorder="1" applyAlignment="1">
      <alignment horizontal="right"/>
    </xf>
    <xf numFmtId="0" fontId="0" fillId="3" borderId="0" xfId="0" applyFont="1" applyFill="1" applyAlignment="1">
      <alignment/>
    </xf>
    <xf numFmtId="0" fontId="0" fillId="3" borderId="10" xfId="0" applyFont="1" applyFill="1" applyBorder="1" applyAlignment="1">
      <alignment wrapText="1"/>
    </xf>
    <xf numFmtId="1" fontId="0" fillId="3" borderId="10" xfId="0" applyNumberFormat="1" applyFont="1" applyFill="1" applyBorder="1" applyAlignment="1">
      <alignment horizontal="right"/>
    </xf>
    <xf numFmtId="1" fontId="1" fillId="3" borderId="10" xfId="0" applyNumberFormat="1" applyFont="1" applyFill="1" applyBorder="1" applyAlignment="1">
      <alignment horizontal="right"/>
    </xf>
    <xf numFmtId="0" fontId="0" fillId="3" borderId="10" xfId="0" applyFill="1" applyBorder="1" applyAlignment="1">
      <alignment wrapText="1"/>
    </xf>
    <xf numFmtId="0" fontId="0" fillId="3" borderId="10" xfId="0" applyFill="1" applyBorder="1" applyAlignment="1">
      <alignment horizontal="left" wrapText="1"/>
    </xf>
    <xf numFmtId="1" fontId="9" fillId="3" borderId="10" xfId="0" applyNumberFormat="1" applyFont="1" applyFill="1" applyBorder="1" applyAlignment="1">
      <alignment horizontal="right"/>
    </xf>
    <xf numFmtId="0" fontId="9" fillId="3" borderId="0" xfId="0" applyFont="1" applyFill="1" applyAlignment="1">
      <alignment/>
    </xf>
    <xf numFmtId="49" fontId="0" fillId="3" borderId="10" xfId="0" applyNumberFormat="1" applyFont="1" applyFill="1" applyBorder="1" applyAlignment="1">
      <alignment horizontal="center"/>
    </xf>
    <xf numFmtId="1" fontId="0" fillId="3" borderId="10" xfId="0" applyNumberFormat="1" applyFont="1" applyFill="1" applyBorder="1" applyAlignment="1">
      <alignment horizontal="right"/>
    </xf>
    <xf numFmtId="49" fontId="0" fillId="3" borderId="10" xfId="0" applyNumberFormat="1" applyFont="1" applyFill="1" applyBorder="1" applyAlignment="1">
      <alignment horizontal="center"/>
    </xf>
    <xf numFmtId="1" fontId="0" fillId="3" borderId="10" xfId="0" applyNumberFormat="1" applyFont="1" applyFill="1" applyBorder="1" applyAlignment="1">
      <alignment/>
    </xf>
    <xf numFmtId="1" fontId="0" fillId="3" borderId="10" xfId="0" applyNumberFormat="1" applyFont="1" applyFill="1" applyBorder="1" applyAlignment="1">
      <alignment/>
    </xf>
    <xf numFmtId="49" fontId="0" fillId="13" borderId="10" xfId="0" applyNumberFormat="1" applyFill="1" applyBorder="1" applyAlignment="1">
      <alignment horizontal="center"/>
    </xf>
    <xf numFmtId="0" fontId="0" fillId="13" borderId="10" xfId="0" applyFill="1" applyBorder="1" applyAlignment="1">
      <alignment wrapText="1"/>
    </xf>
    <xf numFmtId="1" fontId="0" fillId="13" borderId="10" xfId="0" applyNumberFormat="1" applyFont="1" applyFill="1" applyBorder="1" applyAlignment="1">
      <alignment horizontal="right"/>
    </xf>
    <xf numFmtId="0" fontId="0" fillId="13" borderId="0" xfId="0" applyFont="1" applyFill="1" applyAlignment="1">
      <alignment/>
    </xf>
    <xf numFmtId="1" fontId="0" fillId="0" borderId="0" xfId="0" applyNumberFormat="1" applyFont="1" applyFill="1" applyAlignment="1">
      <alignment/>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9" xfId="0" applyFont="1" applyBorder="1" applyAlignment="1">
      <alignment horizontal="left"/>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0" xfId="0" applyFill="1" applyBorder="1" applyAlignment="1">
      <alignment horizontal="center"/>
    </xf>
    <xf numFmtId="0" fontId="0" fillId="0" borderId="21" xfId="0" applyFill="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4" fillId="0" borderId="22" xfId="0" applyFont="1" applyBorder="1" applyAlignment="1">
      <alignment horizontal="left" wrapText="1"/>
    </xf>
    <xf numFmtId="0" fontId="4" fillId="0" borderId="24" xfId="0" applyFont="1" applyBorder="1" applyAlignment="1">
      <alignment horizontal="left" wrapText="1"/>
    </xf>
    <xf numFmtId="0" fontId="0" fillId="0" borderId="16" xfId="0" applyFont="1" applyBorder="1" applyAlignment="1">
      <alignment horizontal="center" vertical="center"/>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89;&#1110;&#1095;&#1077;&#1085;&#1100;\&#1044;&#1086;&#1076;&#1072;&#1090;&#1086;&#1082;%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Q11">
            <v>80079629</v>
          </cell>
        </row>
        <row r="46">
          <cell r="Q46">
            <v>1980221292</v>
          </cell>
        </row>
        <row r="98">
          <cell r="Q98">
            <v>73436184</v>
          </cell>
        </row>
        <row r="124">
          <cell r="Q124">
            <v>1163157304</v>
          </cell>
        </row>
        <row r="160">
          <cell r="Q160">
            <v>1551147124</v>
          </cell>
        </row>
        <row r="244">
          <cell r="Q244">
            <v>6460726</v>
          </cell>
        </row>
        <row r="253">
          <cell r="Q253">
            <v>2654680</v>
          </cell>
        </row>
        <row r="257">
          <cell r="Q257">
            <v>156660888</v>
          </cell>
        </row>
        <row r="279">
          <cell r="Q279">
            <v>1358250</v>
          </cell>
        </row>
        <row r="283">
          <cell r="Q283">
            <v>18472616</v>
          </cell>
        </row>
        <row r="295">
          <cell r="Q295">
            <v>19837171</v>
          </cell>
        </row>
        <row r="299">
          <cell r="Q299">
            <v>986911679</v>
          </cell>
        </row>
        <row r="325">
          <cell r="Q325">
            <v>696535845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59"/>
  <sheetViews>
    <sheetView showZeros="0" tabSelected="1" view="pageBreakPreview" zoomScale="75" zoomScaleNormal="75" zoomScaleSheetLayoutView="75" zoomScalePageLayoutView="0" workbookViewId="0" topLeftCell="A1">
      <pane xSplit="10" ySplit="9" topLeftCell="K10" activePane="bottomRight" state="frozen"/>
      <selection pane="topLeft" activeCell="A1" sqref="A1"/>
      <selection pane="topRight" activeCell="K1" sqref="K1"/>
      <selection pane="bottomLeft" activeCell="A10" sqref="A10"/>
      <selection pane="bottomRight" activeCell="K10" sqref="K10"/>
    </sheetView>
  </sheetViews>
  <sheetFormatPr defaultColWidth="9.00390625" defaultRowHeight="12.75"/>
  <cols>
    <col min="1" max="1" width="10.375" style="33" customWidth="1"/>
    <col min="2" max="2" width="10.75390625" style="45" hidden="1" customWidth="1"/>
    <col min="3" max="4" width="10.625" style="45" customWidth="1"/>
    <col min="5" max="5" width="34.375" style="33" customWidth="1"/>
    <col min="6" max="7" width="15.25390625" style="33" customWidth="1"/>
    <col min="8" max="8" width="15.00390625" style="33" customWidth="1"/>
    <col min="9" max="10" width="14.375" style="33" customWidth="1"/>
    <col min="11" max="11" width="14.125" style="33" customWidth="1"/>
    <col min="12" max="12" width="14.375" style="33" bestFit="1" customWidth="1"/>
    <col min="13" max="13" width="14.125" style="33" customWidth="1"/>
    <col min="14" max="14" width="12.875" style="33" customWidth="1"/>
    <col min="15" max="15" width="14.25390625" style="33" customWidth="1"/>
    <col min="16" max="16" width="14.125" style="33" customWidth="1"/>
    <col min="17" max="17" width="15.625" style="33" customWidth="1"/>
    <col min="18" max="18" width="12.75390625" style="33" bestFit="1" customWidth="1"/>
    <col min="19" max="19" width="11.375" style="33" bestFit="1" customWidth="1"/>
    <col min="20" max="16384" width="9.125" style="33" customWidth="1"/>
  </cols>
  <sheetData>
    <row r="1" spans="2:17" ht="78" customHeight="1">
      <c r="B1" s="34"/>
      <c r="C1" s="34"/>
      <c r="D1" s="34"/>
      <c r="E1" s="35"/>
      <c r="F1" s="35"/>
      <c r="G1" s="35"/>
      <c r="H1" s="35"/>
      <c r="I1" s="35"/>
      <c r="J1" s="35"/>
      <c r="K1" s="216"/>
      <c r="L1" s="217"/>
      <c r="M1" s="109" t="s">
        <v>877</v>
      </c>
      <c r="P1" s="103"/>
      <c r="Q1" s="103"/>
    </row>
    <row r="2" spans="2:17" ht="31.5">
      <c r="B2" s="34"/>
      <c r="C2" s="34"/>
      <c r="D2" s="34"/>
      <c r="E2" s="35"/>
      <c r="F2" s="35"/>
      <c r="G2" s="35"/>
      <c r="H2" s="35"/>
      <c r="I2" s="35"/>
      <c r="J2" s="35"/>
      <c r="K2" s="216"/>
      <c r="L2" s="217"/>
      <c r="M2" s="109" t="s">
        <v>89</v>
      </c>
      <c r="P2" s="103"/>
      <c r="Q2" s="103"/>
    </row>
    <row r="3" spans="2:17" ht="30" customHeight="1">
      <c r="B3" s="34"/>
      <c r="C3" s="34"/>
      <c r="D3" s="34"/>
      <c r="E3" s="35"/>
      <c r="F3" s="35"/>
      <c r="G3" s="35"/>
      <c r="H3" s="35"/>
      <c r="I3" s="35"/>
      <c r="J3" s="35"/>
      <c r="K3" s="216"/>
      <c r="L3" s="217"/>
      <c r="M3" s="219" t="s">
        <v>1212</v>
      </c>
      <c r="P3" s="101"/>
      <c r="Q3" s="101"/>
    </row>
    <row r="4" spans="2:17" ht="32.25" customHeight="1">
      <c r="B4" s="213" t="s">
        <v>527</v>
      </c>
      <c r="C4" s="214"/>
      <c r="D4" s="214"/>
      <c r="E4" s="214"/>
      <c r="F4" s="214"/>
      <c r="G4" s="214"/>
      <c r="H4" s="214"/>
      <c r="I4" s="214"/>
      <c r="J4" s="214"/>
      <c r="K4" s="214"/>
      <c r="L4" s="214"/>
      <c r="M4" s="214"/>
      <c r="N4" s="214"/>
      <c r="O4" s="214"/>
      <c r="P4" s="214"/>
      <c r="Q4" s="215"/>
    </row>
    <row r="5" spans="2:17" ht="20.25" customHeight="1">
      <c r="B5" s="213" t="s">
        <v>876</v>
      </c>
      <c r="C5" s="214"/>
      <c r="D5" s="214"/>
      <c r="E5" s="214"/>
      <c r="F5" s="214"/>
      <c r="G5" s="214"/>
      <c r="H5" s="214"/>
      <c r="I5" s="214"/>
      <c r="J5" s="214"/>
      <c r="K5" s="214"/>
      <c r="L5" s="214"/>
      <c r="M5" s="214"/>
      <c r="N5" s="214"/>
      <c r="O5" s="214"/>
      <c r="P5" s="214"/>
      <c r="Q5" s="215"/>
    </row>
    <row r="6" spans="2:17" ht="14.25" customHeight="1">
      <c r="B6" s="36"/>
      <c r="C6" s="36"/>
      <c r="D6" s="36"/>
      <c r="E6" s="37"/>
      <c r="F6" s="23"/>
      <c r="G6" s="23"/>
      <c r="H6" s="23"/>
      <c r="I6" s="23"/>
      <c r="J6" s="23"/>
      <c r="K6" s="23"/>
      <c r="L6" s="23"/>
      <c r="M6" s="23"/>
      <c r="N6" s="24"/>
      <c r="O6" s="24"/>
      <c r="P6" s="211" t="s">
        <v>793</v>
      </c>
      <c r="Q6" s="212"/>
    </row>
    <row r="7" spans="1:17" ht="12" customHeight="1">
      <c r="A7" s="192" t="s">
        <v>526</v>
      </c>
      <c r="B7" s="195" t="s">
        <v>525</v>
      </c>
      <c r="C7" s="195" t="s">
        <v>1141</v>
      </c>
      <c r="D7" s="195" t="s">
        <v>574</v>
      </c>
      <c r="E7" s="198" t="s">
        <v>978</v>
      </c>
      <c r="F7" s="203" t="s">
        <v>524</v>
      </c>
      <c r="G7" s="204"/>
      <c r="H7" s="204"/>
      <c r="I7" s="204"/>
      <c r="J7" s="205"/>
      <c r="K7" s="203" t="s">
        <v>523</v>
      </c>
      <c r="L7" s="204"/>
      <c r="M7" s="204"/>
      <c r="N7" s="204"/>
      <c r="O7" s="204"/>
      <c r="P7" s="205"/>
      <c r="Q7" s="201" t="s">
        <v>63</v>
      </c>
    </row>
    <row r="8" spans="1:17" ht="12.75" customHeight="1">
      <c r="A8" s="193"/>
      <c r="B8" s="196"/>
      <c r="C8" s="196"/>
      <c r="D8" s="196"/>
      <c r="E8" s="199"/>
      <c r="F8" s="201" t="s">
        <v>32</v>
      </c>
      <c r="G8" s="206" t="s">
        <v>519</v>
      </c>
      <c r="H8" s="209" t="s">
        <v>97</v>
      </c>
      <c r="I8" s="210"/>
      <c r="J8" s="206" t="s">
        <v>520</v>
      </c>
      <c r="K8" s="201" t="s">
        <v>32</v>
      </c>
      <c r="L8" s="206" t="s">
        <v>519</v>
      </c>
      <c r="M8" s="209" t="s">
        <v>97</v>
      </c>
      <c r="N8" s="210"/>
      <c r="O8" s="206" t="s">
        <v>520</v>
      </c>
      <c r="P8" s="102" t="s">
        <v>97</v>
      </c>
      <c r="Q8" s="218"/>
    </row>
    <row r="9" spans="1:17" ht="67.5" customHeight="1">
      <c r="A9" s="194"/>
      <c r="B9" s="197"/>
      <c r="C9" s="197"/>
      <c r="D9" s="197"/>
      <c r="E9" s="200"/>
      <c r="F9" s="202"/>
      <c r="G9" s="207"/>
      <c r="H9" s="60" t="s">
        <v>521</v>
      </c>
      <c r="I9" s="60" t="s">
        <v>522</v>
      </c>
      <c r="J9" s="207"/>
      <c r="K9" s="202"/>
      <c r="L9" s="207"/>
      <c r="M9" s="60" t="s">
        <v>521</v>
      </c>
      <c r="N9" s="60" t="s">
        <v>522</v>
      </c>
      <c r="O9" s="207"/>
      <c r="P9" s="60" t="s">
        <v>122</v>
      </c>
      <c r="Q9" s="202"/>
    </row>
    <row r="10" spans="1:17" ht="11.25" customHeight="1">
      <c r="A10" s="28">
        <v>1</v>
      </c>
      <c r="B10" s="38">
        <v>2</v>
      </c>
      <c r="C10" s="38">
        <v>2</v>
      </c>
      <c r="D10" s="38">
        <v>3</v>
      </c>
      <c r="E10" s="38">
        <v>4</v>
      </c>
      <c r="F10" s="38">
        <v>5</v>
      </c>
      <c r="G10" s="38">
        <v>6</v>
      </c>
      <c r="H10" s="38">
        <v>7</v>
      </c>
      <c r="I10" s="38">
        <v>8</v>
      </c>
      <c r="J10" s="38">
        <v>9</v>
      </c>
      <c r="K10" s="38">
        <v>10</v>
      </c>
      <c r="L10" s="38">
        <v>11</v>
      </c>
      <c r="M10" s="38">
        <v>12</v>
      </c>
      <c r="N10" s="38">
        <v>13</v>
      </c>
      <c r="O10" s="38">
        <v>14</v>
      </c>
      <c r="P10" s="38">
        <v>15</v>
      </c>
      <c r="Q10" s="38">
        <v>16</v>
      </c>
    </row>
    <row r="11" spans="1:18" s="41" customFormat="1" ht="25.5">
      <c r="A11" s="62" t="s">
        <v>170</v>
      </c>
      <c r="B11" s="62" t="s">
        <v>315</v>
      </c>
      <c r="C11" s="62" t="s">
        <v>315</v>
      </c>
      <c r="D11" s="62"/>
      <c r="E11" s="61" t="s">
        <v>142</v>
      </c>
      <c r="F11" s="39">
        <f aca="true" t="shared" si="0" ref="F11:P11">F12</f>
        <v>46692271</v>
      </c>
      <c r="G11" s="39">
        <f t="shared" si="0"/>
        <v>46692271</v>
      </c>
      <c r="H11" s="39">
        <f t="shared" si="0"/>
        <v>14944287</v>
      </c>
      <c r="I11" s="39">
        <f t="shared" si="0"/>
        <v>1501022</v>
      </c>
      <c r="J11" s="39">
        <f t="shared" si="0"/>
        <v>0</v>
      </c>
      <c r="K11" s="39">
        <f t="shared" si="0"/>
        <v>42020577</v>
      </c>
      <c r="L11" s="39">
        <f t="shared" si="0"/>
        <v>462048</v>
      </c>
      <c r="M11" s="39">
        <f t="shared" si="0"/>
        <v>0</v>
      </c>
      <c r="N11" s="39">
        <f t="shared" si="0"/>
        <v>0</v>
      </c>
      <c r="O11" s="39">
        <f t="shared" si="0"/>
        <v>41558529</v>
      </c>
      <c r="P11" s="39">
        <f t="shared" si="0"/>
        <v>41558529</v>
      </c>
      <c r="Q11" s="39">
        <f>F11+K11</f>
        <v>88712848</v>
      </c>
      <c r="R11" s="165">
        <f>Q11-'[1]Місто'!$Q$11</f>
        <v>8633219</v>
      </c>
    </row>
    <row r="12" spans="1:17" s="43" customFormat="1" ht="25.5">
      <c r="A12" s="59" t="s">
        <v>171</v>
      </c>
      <c r="B12" s="59"/>
      <c r="C12" s="59"/>
      <c r="D12" s="59"/>
      <c r="E12" s="49" t="s">
        <v>142</v>
      </c>
      <c r="F12" s="26">
        <f>G12+J12</f>
        <v>46692271</v>
      </c>
      <c r="G12" s="26">
        <f>G13+G15+G19+G22+G43+G24</f>
        <v>46692271</v>
      </c>
      <c r="H12" s="26">
        <f>H13+H15+H19+H22+H43+H24</f>
        <v>14944287</v>
      </c>
      <c r="I12" s="26">
        <f>I13+I15+I19+I22+I43+I24</f>
        <v>1501022</v>
      </c>
      <c r="J12" s="26">
        <f>J13+J15+J19+J22+J43+J24</f>
        <v>0</v>
      </c>
      <c r="K12" s="26">
        <f>L12+O12</f>
        <v>42020577</v>
      </c>
      <c r="L12" s="26">
        <f>L13+L15+L19+L22+L43+L24</f>
        <v>462048</v>
      </c>
      <c r="M12" s="26">
        <f>M13+M15+M19+M22+M43+M24</f>
        <v>0</v>
      </c>
      <c r="N12" s="26">
        <f>N13+N15+N19+N22+N43+N24</f>
        <v>0</v>
      </c>
      <c r="O12" s="26">
        <f>O13+O15+O19+O22+O43+O24</f>
        <v>41558529</v>
      </c>
      <c r="P12" s="26">
        <f>P13+P15+P19+P22+P43+P24</f>
        <v>41558529</v>
      </c>
      <c r="Q12" s="26">
        <f>F12+K12</f>
        <v>88712848</v>
      </c>
    </row>
    <row r="13" spans="1:17" s="43" customFormat="1" ht="12.75">
      <c r="A13" s="111" t="s">
        <v>673</v>
      </c>
      <c r="B13" s="111" t="s">
        <v>672</v>
      </c>
      <c r="C13" s="111" t="s">
        <v>973</v>
      </c>
      <c r="D13" s="111"/>
      <c r="E13" s="127" t="s">
        <v>674</v>
      </c>
      <c r="F13" s="26">
        <f aca="true" t="shared" si="1" ref="F13:F25">G13+J13</f>
        <v>20444358</v>
      </c>
      <c r="G13" s="123">
        <f>G14</f>
        <v>20444358</v>
      </c>
      <c r="H13" s="123">
        <f aca="true" t="shared" si="2" ref="H13:P13">H14</f>
        <v>11763915</v>
      </c>
      <c r="I13" s="123">
        <f t="shared" si="2"/>
        <v>1388089</v>
      </c>
      <c r="J13" s="123">
        <f t="shared" si="2"/>
        <v>0</v>
      </c>
      <c r="K13" s="26">
        <f aca="true" t="shared" si="3" ref="K13:K27">L13+O13</f>
        <v>16169525</v>
      </c>
      <c r="L13" s="123">
        <f t="shared" si="2"/>
        <v>74217</v>
      </c>
      <c r="M13" s="123">
        <f t="shared" si="2"/>
        <v>0</v>
      </c>
      <c r="N13" s="123">
        <f t="shared" si="2"/>
        <v>0</v>
      </c>
      <c r="O13" s="123">
        <f t="shared" si="2"/>
        <v>16095308</v>
      </c>
      <c r="P13" s="123">
        <f t="shared" si="2"/>
        <v>16095308</v>
      </c>
      <c r="Q13" s="26">
        <f aca="true" t="shared" si="4" ref="Q13:Q27">F13+K13</f>
        <v>36613883</v>
      </c>
    </row>
    <row r="14" spans="1:17" ht="38.25">
      <c r="A14" s="59" t="s">
        <v>1210</v>
      </c>
      <c r="B14" s="28" t="s">
        <v>33</v>
      </c>
      <c r="C14" s="50" t="s">
        <v>614</v>
      </c>
      <c r="D14" s="50" t="s">
        <v>575</v>
      </c>
      <c r="E14" s="51" t="s">
        <v>1209</v>
      </c>
      <c r="F14" s="26">
        <f t="shared" si="1"/>
        <v>20444358</v>
      </c>
      <c r="G14" s="27">
        <f>22441128-1358250+124445-762965</f>
        <v>20444358</v>
      </c>
      <c r="H14" s="27">
        <f>12706920-943005</f>
        <v>11763915</v>
      </c>
      <c r="I14" s="27">
        <f>1460707-72618</f>
        <v>1388089</v>
      </c>
      <c r="J14" s="27"/>
      <c r="K14" s="26">
        <f t="shared" si="3"/>
        <v>16169525</v>
      </c>
      <c r="L14" s="27">
        <f>98470-24253</f>
        <v>74217</v>
      </c>
      <c r="M14" s="27"/>
      <c r="N14" s="27"/>
      <c r="O14" s="27">
        <f>P14</f>
        <v>16095308</v>
      </c>
      <c r="P14" s="27">
        <f>10500000-124445+5719753</f>
        <v>16095308</v>
      </c>
      <c r="Q14" s="26">
        <f t="shared" si="4"/>
        <v>36613883</v>
      </c>
    </row>
    <row r="15" spans="1:17" ht="12.75">
      <c r="A15" s="111" t="s">
        <v>617</v>
      </c>
      <c r="B15" s="112" t="s">
        <v>615</v>
      </c>
      <c r="C15" s="112" t="s">
        <v>1134</v>
      </c>
      <c r="D15" s="112"/>
      <c r="E15" s="113" t="s">
        <v>616</v>
      </c>
      <c r="F15" s="26">
        <f t="shared" si="1"/>
        <v>8726760</v>
      </c>
      <c r="G15" s="114">
        <f aca="true" t="shared" si="5" ref="G15:P15">G16</f>
        <v>8726760</v>
      </c>
      <c r="H15" s="114">
        <f t="shared" si="5"/>
        <v>0</v>
      </c>
      <c r="I15" s="114">
        <f t="shared" si="5"/>
        <v>0</v>
      </c>
      <c r="J15" s="114">
        <f t="shared" si="5"/>
        <v>0</v>
      </c>
      <c r="K15" s="26">
        <f t="shared" si="3"/>
        <v>5814455</v>
      </c>
      <c r="L15" s="114">
        <f t="shared" si="5"/>
        <v>0</v>
      </c>
      <c r="M15" s="114">
        <f t="shared" si="5"/>
        <v>0</v>
      </c>
      <c r="N15" s="114">
        <f t="shared" si="5"/>
        <v>0</v>
      </c>
      <c r="O15" s="114">
        <f t="shared" si="5"/>
        <v>5814455</v>
      </c>
      <c r="P15" s="114">
        <f t="shared" si="5"/>
        <v>5814455</v>
      </c>
      <c r="Q15" s="26">
        <f t="shared" si="4"/>
        <v>14541215</v>
      </c>
    </row>
    <row r="16" spans="1:17" ht="26.25" customHeight="1">
      <c r="A16" s="111" t="s">
        <v>700</v>
      </c>
      <c r="B16" s="112"/>
      <c r="C16" s="112" t="s">
        <v>1135</v>
      </c>
      <c r="D16" s="112"/>
      <c r="E16" s="113" t="s">
        <v>701</v>
      </c>
      <c r="F16" s="26">
        <f t="shared" si="1"/>
        <v>8726760</v>
      </c>
      <c r="G16" s="114">
        <f aca="true" t="shared" si="6" ref="G16:P16">G17+G18</f>
        <v>8726760</v>
      </c>
      <c r="H16" s="114">
        <f t="shared" si="6"/>
        <v>0</v>
      </c>
      <c r="I16" s="114">
        <f t="shared" si="6"/>
        <v>0</v>
      </c>
      <c r="J16" s="114">
        <f t="shared" si="6"/>
        <v>0</v>
      </c>
      <c r="K16" s="26">
        <f t="shared" si="3"/>
        <v>5814455</v>
      </c>
      <c r="L16" s="114">
        <f t="shared" si="6"/>
        <v>0</v>
      </c>
      <c r="M16" s="114">
        <f t="shared" si="6"/>
        <v>0</v>
      </c>
      <c r="N16" s="114">
        <f t="shared" si="6"/>
        <v>0</v>
      </c>
      <c r="O16" s="114">
        <f t="shared" si="6"/>
        <v>5814455</v>
      </c>
      <c r="P16" s="114">
        <f t="shared" si="6"/>
        <v>5814455</v>
      </c>
      <c r="Q16" s="26">
        <f t="shared" si="4"/>
        <v>14541215</v>
      </c>
    </row>
    <row r="17" spans="1:17" ht="25.5">
      <c r="A17" s="50" t="s">
        <v>865</v>
      </c>
      <c r="B17" s="50" t="s">
        <v>104</v>
      </c>
      <c r="C17" s="50" t="s">
        <v>979</v>
      </c>
      <c r="D17" s="50" t="s">
        <v>576</v>
      </c>
      <c r="E17" s="51" t="s">
        <v>273</v>
      </c>
      <c r="F17" s="26">
        <f t="shared" si="1"/>
        <v>7826760</v>
      </c>
      <c r="G17" s="27">
        <v>7826760</v>
      </c>
      <c r="H17" s="27"/>
      <c r="I17" s="27"/>
      <c r="J17" s="27"/>
      <c r="K17" s="26">
        <f t="shared" si="3"/>
        <v>5814455</v>
      </c>
      <c r="L17" s="27"/>
      <c r="M17" s="27"/>
      <c r="N17" s="27"/>
      <c r="O17" s="27">
        <f>P17</f>
        <v>5814455</v>
      </c>
      <c r="P17" s="27">
        <f>3437510+2376945</f>
        <v>5814455</v>
      </c>
      <c r="Q17" s="26">
        <f>F17+K17</f>
        <v>13641215</v>
      </c>
    </row>
    <row r="18" spans="1:17" ht="27" customHeight="1">
      <c r="A18" s="59" t="s">
        <v>378</v>
      </c>
      <c r="B18" s="28">
        <v>120201</v>
      </c>
      <c r="C18" s="50" t="s">
        <v>980</v>
      </c>
      <c r="D18" s="50" t="s">
        <v>576</v>
      </c>
      <c r="E18" s="48" t="s">
        <v>172</v>
      </c>
      <c r="F18" s="26">
        <f t="shared" si="1"/>
        <v>900000</v>
      </c>
      <c r="G18" s="27">
        <v>900000</v>
      </c>
      <c r="H18" s="27"/>
      <c r="I18" s="27"/>
      <c r="J18" s="27"/>
      <c r="K18" s="26">
        <f t="shared" si="3"/>
        <v>0</v>
      </c>
      <c r="L18" s="27"/>
      <c r="M18" s="27"/>
      <c r="N18" s="27"/>
      <c r="O18" s="27"/>
      <c r="P18" s="27"/>
      <c r="Q18" s="26">
        <f t="shared" si="4"/>
        <v>900000</v>
      </c>
    </row>
    <row r="19" spans="1:17" ht="12.75" hidden="1">
      <c r="A19" s="112" t="s">
        <v>878</v>
      </c>
      <c r="B19" s="112" t="s">
        <v>629</v>
      </c>
      <c r="C19" s="112" t="s">
        <v>1021</v>
      </c>
      <c r="D19" s="112"/>
      <c r="E19" s="113" t="s">
        <v>632</v>
      </c>
      <c r="F19" s="26">
        <f t="shared" si="1"/>
        <v>0</v>
      </c>
      <c r="G19" s="27">
        <f>G20+G21</f>
        <v>0</v>
      </c>
      <c r="H19" s="27">
        <f>H20+H21</f>
        <v>0</v>
      </c>
      <c r="I19" s="27">
        <f>I20+I21</f>
        <v>0</v>
      </c>
      <c r="J19" s="27">
        <f>J20+J21</f>
        <v>0</v>
      </c>
      <c r="K19" s="26">
        <f t="shared" si="3"/>
        <v>0</v>
      </c>
      <c r="L19" s="27">
        <f>L20+L21</f>
        <v>0</v>
      </c>
      <c r="M19" s="27">
        <f>M20+M21</f>
        <v>0</v>
      </c>
      <c r="N19" s="27">
        <f>N20+N21</f>
        <v>0</v>
      </c>
      <c r="O19" s="27">
        <f>O20+O21</f>
        <v>0</v>
      </c>
      <c r="P19" s="27">
        <f>P20+P21</f>
        <v>0</v>
      </c>
      <c r="Q19" s="26">
        <f t="shared" si="4"/>
        <v>0</v>
      </c>
    </row>
    <row r="20" spans="1:17" ht="26.25" customHeight="1" hidden="1">
      <c r="A20" s="59" t="s">
        <v>173</v>
      </c>
      <c r="B20" s="28" t="s">
        <v>87</v>
      </c>
      <c r="C20" s="50" t="s">
        <v>981</v>
      </c>
      <c r="D20" s="50" t="s">
        <v>577</v>
      </c>
      <c r="E20" s="51" t="s">
        <v>174</v>
      </c>
      <c r="F20" s="26">
        <f t="shared" si="1"/>
        <v>0</v>
      </c>
      <c r="G20" s="27"/>
      <c r="H20" s="27"/>
      <c r="I20" s="27"/>
      <c r="J20" s="27"/>
      <c r="K20" s="26">
        <f t="shared" si="3"/>
        <v>0</v>
      </c>
      <c r="L20" s="27"/>
      <c r="M20" s="27"/>
      <c r="N20" s="27"/>
      <c r="O20" s="27">
        <f>P20</f>
        <v>0</v>
      </c>
      <c r="P20" s="27"/>
      <c r="Q20" s="26">
        <f t="shared" si="4"/>
        <v>0</v>
      </c>
    </row>
    <row r="21" spans="1:17" ht="162.75" customHeight="1" hidden="1">
      <c r="A21" s="59" t="s">
        <v>452</v>
      </c>
      <c r="B21" s="50" t="s">
        <v>319</v>
      </c>
      <c r="C21" s="50" t="s">
        <v>982</v>
      </c>
      <c r="D21" s="50" t="s">
        <v>589</v>
      </c>
      <c r="E21" s="79" t="s">
        <v>320</v>
      </c>
      <c r="F21" s="26">
        <f t="shared" si="1"/>
        <v>0</v>
      </c>
      <c r="G21" s="27"/>
      <c r="H21" s="27"/>
      <c r="I21" s="27"/>
      <c r="J21" s="27"/>
      <c r="K21" s="26">
        <f>L21+O21</f>
        <v>0</v>
      </c>
      <c r="L21" s="27"/>
      <c r="M21" s="27"/>
      <c r="N21" s="27"/>
      <c r="O21" s="27"/>
      <c r="P21" s="27"/>
      <c r="Q21" s="26">
        <f t="shared" si="4"/>
        <v>0</v>
      </c>
    </row>
    <row r="22" spans="1:17" ht="25.5" hidden="1">
      <c r="A22" s="112" t="s">
        <v>619</v>
      </c>
      <c r="B22" s="112" t="s">
        <v>618</v>
      </c>
      <c r="C22" s="112" t="s">
        <v>1092</v>
      </c>
      <c r="D22" s="112"/>
      <c r="E22" s="115" t="s">
        <v>620</v>
      </c>
      <c r="F22" s="26">
        <f t="shared" si="1"/>
        <v>0</v>
      </c>
      <c r="G22" s="114">
        <f>G23</f>
        <v>0</v>
      </c>
      <c r="H22" s="114">
        <f>H23</f>
        <v>0</v>
      </c>
      <c r="I22" s="114">
        <f>I23</f>
        <v>0</v>
      </c>
      <c r="J22" s="114">
        <f>J23</f>
        <v>0</v>
      </c>
      <c r="K22" s="26">
        <f t="shared" si="3"/>
        <v>0</v>
      </c>
      <c r="L22" s="114">
        <f>L23</f>
        <v>0</v>
      </c>
      <c r="M22" s="114">
        <f>M23</f>
        <v>0</v>
      </c>
      <c r="N22" s="114">
        <f>N23</f>
        <v>0</v>
      </c>
      <c r="O22" s="114">
        <f>O23</f>
        <v>0</v>
      </c>
      <c r="P22" s="114">
        <f>P23</f>
        <v>0</v>
      </c>
      <c r="Q22" s="26">
        <f t="shared" si="4"/>
        <v>0</v>
      </c>
    </row>
    <row r="23" spans="1:17" ht="25.5" hidden="1">
      <c r="A23" s="50" t="s">
        <v>573</v>
      </c>
      <c r="B23" s="28" t="s">
        <v>95</v>
      </c>
      <c r="C23" s="50" t="s">
        <v>983</v>
      </c>
      <c r="D23" s="50" t="s">
        <v>577</v>
      </c>
      <c r="E23" s="48" t="s">
        <v>259</v>
      </c>
      <c r="F23" s="26">
        <f t="shared" si="1"/>
        <v>0</v>
      </c>
      <c r="G23" s="27"/>
      <c r="H23" s="27"/>
      <c r="I23" s="27"/>
      <c r="J23" s="27"/>
      <c r="K23" s="26">
        <f t="shared" si="3"/>
        <v>0</v>
      </c>
      <c r="L23" s="27"/>
      <c r="M23" s="27"/>
      <c r="N23" s="27"/>
      <c r="O23" s="27"/>
      <c r="P23" s="27"/>
      <c r="Q23" s="26">
        <f t="shared" si="4"/>
        <v>0</v>
      </c>
    </row>
    <row r="24" spans="1:17" ht="25.5">
      <c r="A24" s="111" t="s">
        <v>676</v>
      </c>
      <c r="B24" s="112" t="s">
        <v>635</v>
      </c>
      <c r="C24" s="112" t="s">
        <v>1022</v>
      </c>
      <c r="D24" s="112"/>
      <c r="E24" s="115" t="s">
        <v>636</v>
      </c>
      <c r="F24" s="26">
        <f t="shared" si="1"/>
        <v>17521153</v>
      </c>
      <c r="G24" s="114">
        <f>G27+G25</f>
        <v>17521153</v>
      </c>
      <c r="H24" s="114">
        <f>H27+H25</f>
        <v>3180372</v>
      </c>
      <c r="I24" s="114">
        <f>I27+I25</f>
        <v>112933</v>
      </c>
      <c r="J24" s="114">
        <f>J27+J25</f>
        <v>0</v>
      </c>
      <c r="K24" s="114">
        <f t="shared" si="3"/>
        <v>19648766</v>
      </c>
      <c r="L24" s="114">
        <f>L27+L25</f>
        <v>0</v>
      </c>
      <c r="M24" s="114">
        <f>M27+M25</f>
        <v>0</v>
      </c>
      <c r="N24" s="114">
        <f>N27+N25</f>
        <v>0</v>
      </c>
      <c r="O24" s="114">
        <f>O27+O25</f>
        <v>19648766</v>
      </c>
      <c r="P24" s="114">
        <f>P27+P25</f>
        <v>19648766</v>
      </c>
      <c r="Q24" s="114">
        <f t="shared" si="4"/>
        <v>37169919</v>
      </c>
    </row>
    <row r="25" spans="1:17" ht="12.75" hidden="1">
      <c r="A25" s="111"/>
      <c r="B25" s="112"/>
      <c r="C25" s="112"/>
      <c r="D25" s="112"/>
      <c r="E25" s="115" t="s">
        <v>880</v>
      </c>
      <c r="F25" s="26">
        <f t="shared" si="1"/>
        <v>0</v>
      </c>
      <c r="G25" s="114">
        <f>G26</f>
        <v>0</v>
      </c>
      <c r="H25" s="114">
        <f>H26</f>
        <v>0</v>
      </c>
      <c r="I25" s="114">
        <f>I26</f>
        <v>0</v>
      </c>
      <c r="J25" s="114">
        <f>J26</f>
        <v>0</v>
      </c>
      <c r="K25" s="26">
        <f t="shared" si="3"/>
        <v>0</v>
      </c>
      <c r="L25" s="114">
        <f>L26</f>
        <v>0</v>
      </c>
      <c r="M25" s="114">
        <f>M26</f>
        <v>0</v>
      </c>
      <c r="N25" s="114">
        <f>N26</f>
        <v>0</v>
      </c>
      <c r="O25" s="114">
        <f>O26</f>
        <v>0</v>
      </c>
      <c r="P25" s="114">
        <f>P26</f>
        <v>0</v>
      </c>
      <c r="Q25" s="26">
        <f t="shared" si="4"/>
        <v>0</v>
      </c>
    </row>
    <row r="26" spans="1:17" ht="12.75" hidden="1">
      <c r="A26" s="59" t="s">
        <v>176</v>
      </c>
      <c r="B26" s="50" t="s">
        <v>64</v>
      </c>
      <c r="C26" s="50" t="s">
        <v>984</v>
      </c>
      <c r="D26" s="50" t="s">
        <v>881</v>
      </c>
      <c r="E26" s="48" t="s">
        <v>879</v>
      </c>
      <c r="F26" s="26">
        <f>G26+J26</f>
        <v>0</v>
      </c>
      <c r="G26" s="27"/>
      <c r="H26" s="27"/>
      <c r="I26" s="27"/>
      <c r="J26" s="27"/>
      <c r="K26" s="26">
        <f>L26+O26</f>
        <v>0</v>
      </c>
      <c r="L26" s="27"/>
      <c r="M26" s="27"/>
      <c r="N26" s="27"/>
      <c r="O26" s="27"/>
      <c r="P26" s="27"/>
      <c r="Q26" s="26">
        <f>F26+K26</f>
        <v>0</v>
      </c>
    </row>
    <row r="27" spans="1:17" ht="15" customHeight="1">
      <c r="A27" s="93" t="s">
        <v>419</v>
      </c>
      <c r="B27" s="85" t="s">
        <v>54</v>
      </c>
      <c r="C27" s="85" t="s">
        <v>1094</v>
      </c>
      <c r="D27" s="85" t="s">
        <v>578</v>
      </c>
      <c r="E27" s="87" t="s">
        <v>417</v>
      </c>
      <c r="F27" s="88">
        <f>G27+J27</f>
        <v>17521153</v>
      </c>
      <c r="G27" s="88">
        <f>SUM(G28:G40)-G34-G35-G37-G38</f>
        <v>17521153</v>
      </c>
      <c r="H27" s="88">
        <f>SUM(H28:H40)</f>
        <v>3180372</v>
      </c>
      <c r="I27" s="88">
        <f>SUM(I28:I40)</f>
        <v>112933</v>
      </c>
      <c r="J27" s="88">
        <f>SUM(J28:J40)</f>
        <v>0</v>
      </c>
      <c r="K27" s="88">
        <f t="shared" si="3"/>
        <v>19648766</v>
      </c>
      <c r="L27" s="88">
        <f>SUM(L28:L40)</f>
        <v>0</v>
      </c>
      <c r="M27" s="88">
        <f>SUM(M28:M40)</f>
        <v>0</v>
      </c>
      <c r="N27" s="88">
        <f>SUM(N28:N40)</f>
        <v>0</v>
      </c>
      <c r="O27" s="88">
        <f>SUM(O28:O40)</f>
        <v>19648766</v>
      </c>
      <c r="P27" s="88">
        <f>SUM(P28:P40)</f>
        <v>19648766</v>
      </c>
      <c r="Q27" s="88">
        <f t="shared" si="4"/>
        <v>37169919</v>
      </c>
    </row>
    <row r="28" spans="1:17" s="169" customFormat="1" ht="56.25" customHeight="1" hidden="1">
      <c r="A28" s="170" t="s">
        <v>376</v>
      </c>
      <c r="B28" s="170" t="s">
        <v>54</v>
      </c>
      <c r="C28" s="170" t="s">
        <v>985</v>
      </c>
      <c r="D28" s="170" t="s">
        <v>578</v>
      </c>
      <c r="E28" s="178" t="s">
        <v>178</v>
      </c>
      <c r="F28" s="173">
        <f>G28+J28</f>
        <v>5453660</v>
      </c>
      <c r="G28" s="173">
        <f>5271980+181717-37</f>
        <v>5453660</v>
      </c>
      <c r="H28" s="173">
        <f>3031424+148948</f>
        <v>3180372</v>
      </c>
      <c r="I28" s="173">
        <v>112933</v>
      </c>
      <c r="J28" s="173"/>
      <c r="K28" s="173">
        <f>L28+O28</f>
        <v>0</v>
      </c>
      <c r="L28" s="173"/>
      <c r="M28" s="173"/>
      <c r="N28" s="173"/>
      <c r="O28" s="173"/>
      <c r="P28" s="173"/>
      <c r="Q28" s="173">
        <f>F28+K28</f>
        <v>5453660</v>
      </c>
    </row>
    <row r="29" spans="1:17" s="181" customFormat="1" ht="41.25" customHeight="1" hidden="1">
      <c r="A29" s="170" t="s">
        <v>493</v>
      </c>
      <c r="B29" s="171" t="s">
        <v>54</v>
      </c>
      <c r="C29" s="170" t="s">
        <v>986</v>
      </c>
      <c r="D29" s="170" t="s">
        <v>578</v>
      </c>
      <c r="E29" s="178" t="s">
        <v>854</v>
      </c>
      <c r="F29" s="173">
        <f aca="true" t="shared" si="7" ref="F29:F42">G29+J29</f>
        <v>0</v>
      </c>
      <c r="G29" s="180"/>
      <c r="H29" s="180"/>
      <c r="I29" s="180"/>
      <c r="J29" s="180"/>
      <c r="K29" s="173">
        <f aca="true" t="shared" si="8" ref="K29:K43">L29+O29</f>
        <v>0</v>
      </c>
      <c r="L29" s="173"/>
      <c r="M29" s="173"/>
      <c r="N29" s="173"/>
      <c r="O29" s="173"/>
      <c r="P29" s="173"/>
      <c r="Q29" s="173">
        <f aca="true" t="shared" si="9" ref="Q29:Q42">F29+K29</f>
        <v>0</v>
      </c>
    </row>
    <row r="30" spans="1:17" s="169" customFormat="1" ht="51" customHeight="1" hidden="1">
      <c r="A30" s="170" t="s">
        <v>437</v>
      </c>
      <c r="B30" s="170" t="s">
        <v>54</v>
      </c>
      <c r="C30" s="170" t="s">
        <v>987</v>
      </c>
      <c r="D30" s="170" t="s">
        <v>578</v>
      </c>
      <c r="E30" s="178" t="s">
        <v>334</v>
      </c>
      <c r="F30" s="173">
        <f t="shared" si="7"/>
        <v>0</v>
      </c>
      <c r="G30" s="173"/>
      <c r="H30" s="173"/>
      <c r="I30" s="173"/>
      <c r="J30" s="173"/>
      <c r="K30" s="173">
        <f t="shared" si="8"/>
        <v>0</v>
      </c>
      <c r="L30" s="173"/>
      <c r="M30" s="173"/>
      <c r="N30" s="173"/>
      <c r="O30" s="173"/>
      <c r="P30" s="173"/>
      <c r="Q30" s="173">
        <f t="shared" si="9"/>
        <v>0</v>
      </c>
    </row>
    <row r="31" spans="1:17" s="169" customFormat="1" ht="50.25" customHeight="1" hidden="1">
      <c r="A31" s="170" t="s">
        <v>884</v>
      </c>
      <c r="B31" s="170" t="s">
        <v>54</v>
      </c>
      <c r="C31" s="170" t="s">
        <v>988</v>
      </c>
      <c r="D31" s="170" t="s">
        <v>578</v>
      </c>
      <c r="E31" s="178" t="s">
        <v>480</v>
      </c>
      <c r="F31" s="173">
        <f t="shared" si="7"/>
        <v>0</v>
      </c>
      <c r="G31" s="173"/>
      <c r="H31" s="173"/>
      <c r="I31" s="173"/>
      <c r="J31" s="173"/>
      <c r="K31" s="173">
        <f t="shared" si="8"/>
        <v>0</v>
      </c>
      <c r="L31" s="173"/>
      <c r="M31" s="173"/>
      <c r="N31" s="173"/>
      <c r="O31" s="173"/>
      <c r="P31" s="173"/>
      <c r="Q31" s="173">
        <f t="shared" si="9"/>
        <v>0</v>
      </c>
    </row>
    <row r="32" spans="1:17" s="169" customFormat="1" ht="53.25" customHeight="1" hidden="1">
      <c r="A32" s="170" t="s">
        <v>885</v>
      </c>
      <c r="B32" s="170" t="s">
        <v>54</v>
      </c>
      <c r="C32" s="170" t="s">
        <v>989</v>
      </c>
      <c r="D32" s="170" t="s">
        <v>578</v>
      </c>
      <c r="E32" s="178" t="s">
        <v>363</v>
      </c>
      <c r="F32" s="173">
        <f t="shared" si="7"/>
        <v>0</v>
      </c>
      <c r="G32" s="173"/>
      <c r="H32" s="173"/>
      <c r="I32" s="173"/>
      <c r="J32" s="173"/>
      <c r="K32" s="173">
        <f t="shared" si="8"/>
        <v>0</v>
      </c>
      <c r="L32" s="173"/>
      <c r="M32" s="173"/>
      <c r="N32" s="173"/>
      <c r="O32" s="173"/>
      <c r="P32" s="173"/>
      <c r="Q32" s="173">
        <f t="shared" si="9"/>
        <v>0</v>
      </c>
    </row>
    <row r="33" spans="1:17" s="169" customFormat="1" ht="51" hidden="1">
      <c r="A33" s="170" t="s">
        <v>412</v>
      </c>
      <c r="B33" s="170" t="s">
        <v>54</v>
      </c>
      <c r="C33" s="170" t="s">
        <v>990</v>
      </c>
      <c r="D33" s="170" t="s">
        <v>578</v>
      </c>
      <c r="E33" s="178" t="s">
        <v>321</v>
      </c>
      <c r="F33" s="173">
        <f t="shared" si="7"/>
        <v>494855</v>
      </c>
      <c r="G33" s="173">
        <f>G34+G35</f>
        <v>494855</v>
      </c>
      <c r="H33" s="173"/>
      <c r="I33" s="173"/>
      <c r="J33" s="173"/>
      <c r="K33" s="173">
        <f t="shared" si="8"/>
        <v>0</v>
      </c>
      <c r="L33" s="173"/>
      <c r="M33" s="173"/>
      <c r="N33" s="173"/>
      <c r="O33" s="173"/>
      <c r="P33" s="173"/>
      <c r="Q33" s="173">
        <f t="shared" si="9"/>
        <v>494855</v>
      </c>
    </row>
    <row r="34" spans="1:17" s="169" customFormat="1" ht="38.25" hidden="1">
      <c r="A34" s="170"/>
      <c r="B34" s="170"/>
      <c r="C34" s="170"/>
      <c r="D34" s="170"/>
      <c r="E34" s="175" t="s">
        <v>975</v>
      </c>
      <c r="F34" s="173">
        <f t="shared" si="7"/>
        <v>324855</v>
      </c>
      <c r="G34" s="173">
        <v>324855</v>
      </c>
      <c r="H34" s="173"/>
      <c r="I34" s="173"/>
      <c r="J34" s="173"/>
      <c r="K34" s="173"/>
      <c r="L34" s="173"/>
      <c r="M34" s="173"/>
      <c r="N34" s="173"/>
      <c r="O34" s="173"/>
      <c r="P34" s="173"/>
      <c r="Q34" s="173">
        <f t="shared" si="9"/>
        <v>324855</v>
      </c>
    </row>
    <row r="35" spans="1:17" s="169" customFormat="1" ht="12.75" hidden="1">
      <c r="A35" s="170"/>
      <c r="B35" s="170"/>
      <c r="C35" s="170"/>
      <c r="D35" s="170"/>
      <c r="E35" s="175" t="s">
        <v>976</v>
      </c>
      <c r="F35" s="173">
        <f t="shared" si="7"/>
        <v>170000</v>
      </c>
      <c r="G35" s="173">
        <v>170000</v>
      </c>
      <c r="H35" s="173"/>
      <c r="I35" s="173"/>
      <c r="J35" s="173"/>
      <c r="K35" s="173"/>
      <c r="L35" s="173"/>
      <c r="M35" s="173"/>
      <c r="N35" s="173"/>
      <c r="O35" s="173"/>
      <c r="P35" s="173"/>
      <c r="Q35" s="173">
        <f t="shared" si="9"/>
        <v>170000</v>
      </c>
    </row>
    <row r="36" spans="1:17" s="169" customFormat="1" ht="102" customHeight="1" hidden="1">
      <c r="A36" s="170" t="s">
        <v>375</v>
      </c>
      <c r="B36" s="170" t="s">
        <v>54</v>
      </c>
      <c r="C36" s="170" t="s">
        <v>991</v>
      </c>
      <c r="D36" s="170" t="s">
        <v>578</v>
      </c>
      <c r="E36" s="178" t="s">
        <v>367</v>
      </c>
      <c r="F36" s="173">
        <f>G36+J36</f>
        <v>521771</v>
      </c>
      <c r="G36" s="176">
        <f>G37+G38</f>
        <v>521771</v>
      </c>
      <c r="H36" s="176"/>
      <c r="I36" s="176"/>
      <c r="J36" s="176"/>
      <c r="K36" s="173">
        <f t="shared" si="8"/>
        <v>0</v>
      </c>
      <c r="L36" s="176"/>
      <c r="M36" s="176"/>
      <c r="N36" s="176"/>
      <c r="O36" s="176"/>
      <c r="P36" s="176"/>
      <c r="Q36" s="173">
        <f t="shared" si="9"/>
        <v>521771</v>
      </c>
    </row>
    <row r="37" spans="1:17" s="169" customFormat="1" ht="12.75" hidden="1">
      <c r="A37" s="170"/>
      <c r="B37" s="170"/>
      <c r="C37" s="170"/>
      <c r="D37" s="170"/>
      <c r="E37" s="175" t="s">
        <v>1140</v>
      </c>
      <c r="F37" s="173">
        <f>G37+J37</f>
        <v>382771</v>
      </c>
      <c r="G37" s="176">
        <v>382771</v>
      </c>
      <c r="H37" s="176"/>
      <c r="I37" s="176"/>
      <c r="J37" s="176"/>
      <c r="K37" s="173"/>
      <c r="L37" s="176"/>
      <c r="M37" s="176"/>
      <c r="N37" s="176"/>
      <c r="O37" s="176"/>
      <c r="P37" s="176"/>
      <c r="Q37" s="173">
        <f t="shared" si="9"/>
        <v>382771</v>
      </c>
    </row>
    <row r="38" spans="1:17" s="169" customFormat="1" ht="30" customHeight="1" hidden="1">
      <c r="A38" s="170"/>
      <c r="B38" s="170"/>
      <c r="C38" s="170"/>
      <c r="D38" s="170"/>
      <c r="E38" s="175" t="s">
        <v>977</v>
      </c>
      <c r="F38" s="173">
        <f>G38+J38</f>
        <v>139000</v>
      </c>
      <c r="G38" s="176">
        <f>200000-61000</f>
        <v>139000</v>
      </c>
      <c r="H38" s="176"/>
      <c r="I38" s="176"/>
      <c r="J38" s="176"/>
      <c r="K38" s="173"/>
      <c r="L38" s="176"/>
      <c r="M38" s="176"/>
      <c r="N38" s="176"/>
      <c r="O38" s="176"/>
      <c r="P38" s="176"/>
      <c r="Q38" s="173">
        <f t="shared" si="9"/>
        <v>139000</v>
      </c>
    </row>
    <row r="39" spans="1:17" s="169" customFormat="1" ht="25.5" hidden="1">
      <c r="A39" s="170" t="s">
        <v>886</v>
      </c>
      <c r="B39" s="170" t="s">
        <v>54</v>
      </c>
      <c r="C39" s="170" t="s">
        <v>992</v>
      </c>
      <c r="D39" s="170" t="s">
        <v>578</v>
      </c>
      <c r="E39" s="178" t="s">
        <v>887</v>
      </c>
      <c r="F39" s="173">
        <f t="shared" si="7"/>
        <v>0</v>
      </c>
      <c r="G39" s="176"/>
      <c r="H39" s="176"/>
      <c r="I39" s="176"/>
      <c r="J39" s="176"/>
      <c r="K39" s="173">
        <f t="shared" si="8"/>
        <v>0</v>
      </c>
      <c r="L39" s="176"/>
      <c r="M39" s="176"/>
      <c r="N39" s="176"/>
      <c r="O39" s="176"/>
      <c r="P39" s="176"/>
      <c r="Q39" s="173">
        <f t="shared" si="9"/>
        <v>0</v>
      </c>
    </row>
    <row r="40" spans="1:17" s="169" customFormat="1" ht="15" customHeight="1" hidden="1">
      <c r="A40" s="171" t="s">
        <v>834</v>
      </c>
      <c r="B40" s="171" t="s">
        <v>54</v>
      </c>
      <c r="C40" s="171"/>
      <c r="D40" s="170" t="s">
        <v>578</v>
      </c>
      <c r="E40" s="178" t="s">
        <v>1206</v>
      </c>
      <c r="F40" s="173">
        <f t="shared" si="7"/>
        <v>11050867</v>
      </c>
      <c r="G40" s="173">
        <f>G41+G42</f>
        <v>11050867</v>
      </c>
      <c r="H40" s="173">
        <f aca="true" t="shared" si="10" ref="H40:P40">H41+H42</f>
        <v>0</v>
      </c>
      <c r="I40" s="173">
        <f t="shared" si="10"/>
        <v>0</v>
      </c>
      <c r="J40" s="173">
        <f t="shared" si="10"/>
        <v>0</v>
      </c>
      <c r="K40" s="173">
        <f t="shared" si="10"/>
        <v>19648766</v>
      </c>
      <c r="L40" s="173">
        <f t="shared" si="10"/>
        <v>0</v>
      </c>
      <c r="M40" s="173">
        <f t="shared" si="10"/>
        <v>0</v>
      </c>
      <c r="N40" s="173">
        <f t="shared" si="10"/>
        <v>0</v>
      </c>
      <c r="O40" s="173">
        <f t="shared" si="10"/>
        <v>19648766</v>
      </c>
      <c r="P40" s="173">
        <f t="shared" si="10"/>
        <v>19648766</v>
      </c>
      <c r="Q40" s="173">
        <f t="shared" si="9"/>
        <v>30699633</v>
      </c>
    </row>
    <row r="41" spans="1:17" s="169" customFormat="1" ht="15" customHeight="1" hidden="1">
      <c r="A41" s="171"/>
      <c r="B41" s="171"/>
      <c r="C41" s="171"/>
      <c r="D41" s="170"/>
      <c r="E41" s="178" t="s">
        <v>1146</v>
      </c>
      <c r="F41" s="173">
        <f t="shared" si="7"/>
        <v>4055469</v>
      </c>
      <c r="G41" s="173">
        <v>4055469</v>
      </c>
      <c r="H41" s="173"/>
      <c r="I41" s="173"/>
      <c r="J41" s="173"/>
      <c r="K41" s="173">
        <f t="shared" si="8"/>
        <v>19471766</v>
      </c>
      <c r="L41" s="173"/>
      <c r="M41" s="173"/>
      <c r="N41" s="173"/>
      <c r="O41" s="173">
        <f>P41</f>
        <v>19471766</v>
      </c>
      <c r="P41" s="173">
        <v>19471766</v>
      </c>
      <c r="Q41" s="173">
        <f t="shared" si="9"/>
        <v>23527235</v>
      </c>
    </row>
    <row r="42" spans="1:17" s="169" customFormat="1" ht="15" customHeight="1" hidden="1">
      <c r="A42" s="171"/>
      <c r="B42" s="171"/>
      <c r="C42" s="171"/>
      <c r="D42" s="170"/>
      <c r="E42" s="178" t="s">
        <v>1205</v>
      </c>
      <c r="F42" s="173">
        <f t="shared" si="7"/>
        <v>6995398</v>
      </c>
      <c r="G42" s="173">
        <f>3739648+3255750</f>
        <v>6995398</v>
      </c>
      <c r="H42" s="173"/>
      <c r="I42" s="173"/>
      <c r="J42" s="173"/>
      <c r="K42" s="173">
        <f t="shared" si="8"/>
        <v>177000</v>
      </c>
      <c r="L42" s="173"/>
      <c r="M42" s="173"/>
      <c r="N42" s="173"/>
      <c r="O42" s="173">
        <f>P42</f>
        <v>177000</v>
      </c>
      <c r="P42" s="173">
        <v>177000</v>
      </c>
      <c r="Q42" s="173">
        <f t="shared" si="9"/>
        <v>7172398</v>
      </c>
    </row>
    <row r="43" spans="1:17" ht="12.75">
      <c r="A43" s="111" t="s">
        <v>675</v>
      </c>
      <c r="B43" s="112" t="s">
        <v>98</v>
      </c>
      <c r="C43" s="112" t="s">
        <v>1016</v>
      </c>
      <c r="D43" s="112"/>
      <c r="E43" s="115" t="s">
        <v>99</v>
      </c>
      <c r="F43" s="26">
        <f>G43+J43</f>
        <v>0</v>
      </c>
      <c r="G43" s="114">
        <f>G44</f>
        <v>0</v>
      </c>
      <c r="H43" s="114"/>
      <c r="I43" s="114"/>
      <c r="J43" s="114"/>
      <c r="K43" s="114">
        <f t="shared" si="8"/>
        <v>387831</v>
      </c>
      <c r="L43" s="114">
        <f>L44</f>
        <v>387831</v>
      </c>
      <c r="M43" s="114"/>
      <c r="N43" s="114"/>
      <c r="O43" s="114"/>
      <c r="P43" s="114"/>
      <c r="Q43" s="114">
        <f>F43+K43</f>
        <v>387831</v>
      </c>
    </row>
    <row r="44" spans="1:17" ht="78" customHeight="1">
      <c r="A44" s="93" t="s">
        <v>532</v>
      </c>
      <c r="B44" s="85" t="s">
        <v>53</v>
      </c>
      <c r="C44" s="85" t="s">
        <v>993</v>
      </c>
      <c r="D44" s="85" t="s">
        <v>578</v>
      </c>
      <c r="E44" s="87" t="s">
        <v>432</v>
      </c>
      <c r="F44" s="26">
        <f>G44+J44</f>
        <v>0</v>
      </c>
      <c r="G44" s="88">
        <f>G45</f>
        <v>0</v>
      </c>
      <c r="H44" s="88">
        <f>H45</f>
        <v>0</v>
      </c>
      <c r="I44" s="88">
        <f>I45</f>
        <v>0</v>
      </c>
      <c r="J44" s="88">
        <f>J45</f>
        <v>0</v>
      </c>
      <c r="K44" s="88">
        <f>L44+O44</f>
        <v>387831</v>
      </c>
      <c r="L44" s="88">
        <f>L45</f>
        <v>387831</v>
      </c>
      <c r="M44" s="88">
        <f>M45</f>
        <v>0</v>
      </c>
      <c r="N44" s="88">
        <f>N45</f>
        <v>0</v>
      </c>
      <c r="O44" s="88">
        <f>O45</f>
        <v>0</v>
      </c>
      <c r="P44" s="88">
        <f>P45</f>
        <v>0</v>
      </c>
      <c r="Q44" s="88">
        <f>F44+K44</f>
        <v>387831</v>
      </c>
    </row>
    <row r="45" spans="1:17" s="169" customFormat="1" ht="25.5" hidden="1">
      <c r="A45" s="170" t="s">
        <v>533</v>
      </c>
      <c r="B45" s="171" t="s">
        <v>53</v>
      </c>
      <c r="C45" s="170" t="s">
        <v>994</v>
      </c>
      <c r="D45" s="170" t="s">
        <v>578</v>
      </c>
      <c r="E45" s="178" t="s">
        <v>175</v>
      </c>
      <c r="F45" s="173">
        <f>G45+J45</f>
        <v>0</v>
      </c>
      <c r="G45" s="173"/>
      <c r="H45" s="173"/>
      <c r="I45" s="173"/>
      <c r="J45" s="173"/>
      <c r="K45" s="173">
        <f>L45+O45</f>
        <v>387831</v>
      </c>
      <c r="L45" s="173">
        <f>83150+304681</f>
        <v>387831</v>
      </c>
      <c r="M45" s="173"/>
      <c r="N45" s="173"/>
      <c r="O45" s="173"/>
      <c r="P45" s="173"/>
      <c r="Q45" s="173">
        <f>F45+K45</f>
        <v>387831</v>
      </c>
    </row>
    <row r="46" spans="1:18" s="41" customFormat="1" ht="29.25" customHeight="1">
      <c r="A46" s="62" t="s">
        <v>179</v>
      </c>
      <c r="B46" s="62" t="s">
        <v>153</v>
      </c>
      <c r="C46" s="62" t="s">
        <v>153</v>
      </c>
      <c r="D46" s="62"/>
      <c r="E46" s="61" t="s">
        <v>832</v>
      </c>
      <c r="F46" s="39">
        <f aca="true" t="shared" si="11" ref="F46:P46">F47</f>
        <v>1817023926</v>
      </c>
      <c r="G46" s="39">
        <f t="shared" si="11"/>
        <v>1817023926</v>
      </c>
      <c r="H46" s="39">
        <f t="shared" si="11"/>
        <v>1166261894</v>
      </c>
      <c r="I46" s="39">
        <f t="shared" si="11"/>
        <v>203357625</v>
      </c>
      <c r="J46" s="39">
        <f t="shared" si="11"/>
        <v>0</v>
      </c>
      <c r="K46" s="39">
        <f t="shared" si="11"/>
        <v>205713921</v>
      </c>
      <c r="L46" s="39">
        <f t="shared" si="11"/>
        <v>73072881</v>
      </c>
      <c r="M46" s="39">
        <f t="shared" si="11"/>
        <v>12538063</v>
      </c>
      <c r="N46" s="39">
        <f t="shared" si="11"/>
        <v>4327052</v>
      </c>
      <c r="O46" s="39">
        <f t="shared" si="11"/>
        <v>132641040</v>
      </c>
      <c r="P46" s="39">
        <f t="shared" si="11"/>
        <v>124267420</v>
      </c>
      <c r="Q46" s="40">
        <f>F46+K46</f>
        <v>2022737847</v>
      </c>
      <c r="R46" s="165">
        <f>Q46-'[1]Місто'!$Q$46</f>
        <v>42516555</v>
      </c>
    </row>
    <row r="47" spans="1:19" ht="25.5" customHeight="1">
      <c r="A47" s="50" t="s">
        <v>180</v>
      </c>
      <c r="B47" s="28"/>
      <c r="C47" s="28"/>
      <c r="D47" s="28"/>
      <c r="E47" s="51" t="s">
        <v>832</v>
      </c>
      <c r="F47" s="27">
        <f>G47+J47</f>
        <v>1817023926</v>
      </c>
      <c r="G47" s="27">
        <f>G48+G50+G76+G83+G89+G91+G96+G93</f>
        <v>1817023926</v>
      </c>
      <c r="H47" s="27">
        <f>H48+H50+H76+H83+H89+H91+H96+H93</f>
        <v>1166261894</v>
      </c>
      <c r="I47" s="27">
        <f>I48+I50+I76+I83+I89+I91+I96+I93</f>
        <v>203357625</v>
      </c>
      <c r="J47" s="27">
        <f>J48+J50+J76+J83+J89+J91+J96+J93</f>
        <v>0</v>
      </c>
      <c r="K47" s="27">
        <f>L47+O47</f>
        <v>205713921</v>
      </c>
      <c r="L47" s="27">
        <f>L48+L50+L76+L83+L89+L91+L96+L93</f>
        <v>73072881</v>
      </c>
      <c r="M47" s="27">
        <f>M48+M50+M76+M83+M89+M91+M96+M93</f>
        <v>12538063</v>
      </c>
      <c r="N47" s="27">
        <f>N48+N50+N76+N83+N89+N91+N96+N93</f>
        <v>4327052</v>
      </c>
      <c r="O47" s="27">
        <f>O48+O50+O76+O83+O89+O91+O96+O93</f>
        <v>132641040</v>
      </c>
      <c r="P47" s="27">
        <f>P48+P50+P76+P83+P89+P91+P96+P93</f>
        <v>124267420</v>
      </c>
      <c r="Q47" s="27">
        <f>F47+K47</f>
        <v>2022737847</v>
      </c>
      <c r="S47" s="164"/>
    </row>
    <row r="48" spans="1:17" ht="12.75">
      <c r="A48" s="112" t="s">
        <v>677</v>
      </c>
      <c r="B48" s="112" t="s">
        <v>672</v>
      </c>
      <c r="C48" s="112" t="s">
        <v>973</v>
      </c>
      <c r="D48" s="112"/>
      <c r="E48" s="113" t="s">
        <v>674</v>
      </c>
      <c r="F48" s="27">
        <f aca="true" t="shared" si="12" ref="F48:F95">G48+J48</f>
        <v>6480461</v>
      </c>
      <c r="G48" s="114">
        <f>G49</f>
        <v>6480461</v>
      </c>
      <c r="H48" s="114">
        <f>H49</f>
        <v>4779779</v>
      </c>
      <c r="I48" s="114">
        <f>I49</f>
        <v>374895</v>
      </c>
      <c r="J48" s="114">
        <f>J49</f>
        <v>0</v>
      </c>
      <c r="K48" s="27">
        <f aca="true" t="shared" si="13" ref="K48:K95">L48+O48</f>
        <v>0</v>
      </c>
      <c r="L48" s="114">
        <f>L49</f>
        <v>0</v>
      </c>
      <c r="M48" s="114">
        <f>M49</f>
        <v>0</v>
      </c>
      <c r="N48" s="114">
        <f>N49</f>
        <v>0</v>
      </c>
      <c r="O48" s="114">
        <f>O49</f>
        <v>0</v>
      </c>
      <c r="P48" s="114">
        <f>P49</f>
        <v>0</v>
      </c>
      <c r="Q48" s="27">
        <f aca="true" t="shared" si="14" ref="Q48:Q100">F48+K48</f>
        <v>6480461</v>
      </c>
    </row>
    <row r="49" spans="1:17" ht="25.5">
      <c r="A49" s="50" t="s">
        <v>1</v>
      </c>
      <c r="B49" s="28" t="s">
        <v>33</v>
      </c>
      <c r="C49" s="50" t="s">
        <v>614</v>
      </c>
      <c r="D49" s="50" t="s">
        <v>575</v>
      </c>
      <c r="E49" s="51" t="s">
        <v>971</v>
      </c>
      <c r="F49" s="27">
        <f t="shared" si="12"/>
        <v>6480461</v>
      </c>
      <c r="G49" s="27">
        <f>6446676+33785</f>
        <v>6480461</v>
      </c>
      <c r="H49" s="27">
        <v>4779779</v>
      </c>
      <c r="I49" s="27">
        <v>374895</v>
      </c>
      <c r="J49" s="27"/>
      <c r="K49" s="27">
        <f t="shared" si="13"/>
        <v>0</v>
      </c>
      <c r="L49" s="27"/>
      <c r="M49" s="27"/>
      <c r="N49" s="27"/>
      <c r="O49" s="27"/>
      <c r="P49" s="27"/>
      <c r="Q49" s="27">
        <f t="shared" si="14"/>
        <v>6480461</v>
      </c>
    </row>
    <row r="50" spans="1:19" ht="12.75">
      <c r="A50" s="112" t="s">
        <v>622</v>
      </c>
      <c r="B50" s="112" t="s">
        <v>621</v>
      </c>
      <c r="C50" s="112" t="s">
        <v>1037</v>
      </c>
      <c r="D50" s="112"/>
      <c r="E50" s="113" t="s">
        <v>623</v>
      </c>
      <c r="F50" s="27">
        <f t="shared" si="12"/>
        <v>1799733993</v>
      </c>
      <c r="G50" s="114">
        <f>G51+G53+G58+G61+G65+G66+G70+G71+G72+G73+G74+G75</f>
        <v>1799733993</v>
      </c>
      <c r="H50" s="114">
        <f>H51+H53+H58+H61+H65+H66+H70+H71+H72+H73+H74+H75</f>
        <v>1161430369</v>
      </c>
      <c r="I50" s="114">
        <f>I51+I53+I58+I61+I65+I66+I70+I71+I72+I73+I74+I75</f>
        <v>202982730</v>
      </c>
      <c r="J50" s="114">
        <f>J51+J53+J58+J61+J65+J66+J70+J71+J72+J73+J74+J75</f>
        <v>0</v>
      </c>
      <c r="K50" s="27">
        <f t="shared" si="13"/>
        <v>119955265</v>
      </c>
      <c r="L50" s="114">
        <f>L51+L53+L58+L61+L65+L66+L70+L71+L72+L73+L74+L75</f>
        <v>73037881</v>
      </c>
      <c r="M50" s="114">
        <f>M51+M53+M58+M61+M65+M66+M70+M71+M72+M73+M74+M75</f>
        <v>12538063</v>
      </c>
      <c r="N50" s="114">
        <f>N51+N53+N58+N61+N65+N66+N70+N71+N72+N73+N74+N75</f>
        <v>4327052</v>
      </c>
      <c r="O50" s="114">
        <f>O51+O53+O58+O61+O65+O66+O70+O71+O72+O73+O74+O75</f>
        <v>46917384</v>
      </c>
      <c r="P50" s="114">
        <f>P51+P53+P58+P61+P65+P66+P70+P71+P72+P73+P74+P75</f>
        <v>45943986</v>
      </c>
      <c r="Q50" s="27">
        <f t="shared" si="14"/>
        <v>1919689258</v>
      </c>
      <c r="S50" s="164"/>
    </row>
    <row r="51" spans="1:17" ht="12.75">
      <c r="A51" s="50" t="s">
        <v>182</v>
      </c>
      <c r="B51" s="28" t="s">
        <v>57</v>
      </c>
      <c r="C51" s="50" t="s">
        <v>600</v>
      </c>
      <c r="D51" s="50" t="s">
        <v>579</v>
      </c>
      <c r="E51" s="51" t="s">
        <v>181</v>
      </c>
      <c r="F51" s="27">
        <f t="shared" si="12"/>
        <v>473924103</v>
      </c>
      <c r="G51" s="27">
        <f>464748811+((480050))+9800000-5000000+4000000+(122020)+(30000)+(159700)-(23600)-1012920+(140610)+(100490)-(1400)-44004+(185462)+(228884)+(10000)</f>
        <v>473924103</v>
      </c>
      <c r="H51" s="27">
        <f>279125568</f>
        <v>279125568</v>
      </c>
      <c r="I51" s="27">
        <v>72614697</v>
      </c>
      <c r="J51" s="27"/>
      <c r="K51" s="27">
        <f t="shared" si="13"/>
        <v>64711156</v>
      </c>
      <c r="L51" s="27">
        <v>40024089</v>
      </c>
      <c r="M51" s="27">
        <v>161747</v>
      </c>
      <c r="N51" s="27">
        <v>9976</v>
      </c>
      <c r="O51" s="27">
        <f>P51</f>
        <v>24687067</v>
      </c>
      <c r="P51" s="27">
        <f>25552292+269300+((260450))+(24900)+(96800)+(23600)-1156115+(243400)-(5000)+(5000)-841560+(129000)+(85000)</f>
        <v>24687067</v>
      </c>
      <c r="Q51" s="27">
        <f t="shared" si="14"/>
        <v>538635259</v>
      </c>
    </row>
    <row r="52" spans="1:17" s="148" customFormat="1" ht="48" customHeight="1" hidden="1">
      <c r="A52" s="146"/>
      <c r="B52" s="146"/>
      <c r="C52" s="146"/>
      <c r="D52" s="146"/>
      <c r="E52" s="135" t="s">
        <v>866</v>
      </c>
      <c r="F52" s="147">
        <f t="shared" si="12"/>
        <v>0</v>
      </c>
      <c r="G52" s="147"/>
      <c r="H52" s="147"/>
      <c r="I52" s="147"/>
      <c r="J52" s="147"/>
      <c r="K52" s="147">
        <f t="shared" si="13"/>
        <v>0</v>
      </c>
      <c r="L52" s="147"/>
      <c r="M52" s="147"/>
      <c r="N52" s="147"/>
      <c r="O52" s="147"/>
      <c r="P52" s="147"/>
      <c r="Q52" s="147">
        <f t="shared" si="14"/>
        <v>0</v>
      </c>
    </row>
    <row r="53" spans="1:17" ht="76.5">
      <c r="A53" s="50" t="s">
        <v>183</v>
      </c>
      <c r="B53" s="28" t="s">
        <v>34</v>
      </c>
      <c r="C53" s="50" t="s">
        <v>601</v>
      </c>
      <c r="D53" s="50" t="s">
        <v>580</v>
      </c>
      <c r="E53" s="51" t="s">
        <v>184</v>
      </c>
      <c r="F53" s="27">
        <f t="shared" si="12"/>
        <v>999351467</v>
      </c>
      <c r="G53" s="27">
        <f>985117717+((265200))+23700000-1508000-15000000+6000000-1034478+125000+(285000)+(55921)+(336000)-1780842+(384797)+(101750)+(30000)+1444604+(526998)+(301800)</f>
        <v>999351467</v>
      </c>
      <c r="H53" s="27">
        <f>681131390-847935+102459+1008616</f>
        <v>681394530</v>
      </c>
      <c r="I53" s="27">
        <v>100281985</v>
      </c>
      <c r="J53" s="27"/>
      <c r="K53" s="27">
        <f t="shared" si="13"/>
        <v>36391381</v>
      </c>
      <c r="L53" s="27">
        <v>20651063</v>
      </c>
      <c r="M53" s="27">
        <v>8554097</v>
      </c>
      <c r="N53" s="27">
        <v>754111</v>
      </c>
      <c r="O53" s="27">
        <f>P53+246888</f>
        <v>15740318</v>
      </c>
      <c r="P53" s="27">
        <f>9764481-269300+((1792000))+(54000)+(121000)+(128411)+(407200)+2415170+(99900)+(140000)-(20000)+375599+(426589)+(58380)</f>
        <v>15493430</v>
      </c>
      <c r="Q53" s="27">
        <f t="shared" si="14"/>
        <v>1035742848</v>
      </c>
    </row>
    <row r="54" spans="1:17" s="148" customFormat="1" ht="12.75">
      <c r="A54" s="146"/>
      <c r="B54" s="146"/>
      <c r="C54" s="146"/>
      <c r="D54" s="146"/>
      <c r="E54" s="135" t="s">
        <v>882</v>
      </c>
      <c r="F54" s="147">
        <f t="shared" si="12"/>
        <v>670344848</v>
      </c>
      <c r="G54" s="147">
        <f>671047364-827516+125000</f>
        <v>670344848</v>
      </c>
      <c r="H54" s="147">
        <f>550038823-678294+102459</f>
        <v>549462988</v>
      </c>
      <c r="I54" s="147"/>
      <c r="J54" s="147"/>
      <c r="K54" s="27">
        <f t="shared" si="13"/>
        <v>0</v>
      </c>
      <c r="L54" s="147"/>
      <c r="M54" s="147"/>
      <c r="N54" s="147"/>
      <c r="O54" s="147"/>
      <c r="P54" s="147"/>
      <c r="Q54" s="147">
        <f t="shared" si="14"/>
        <v>670344848</v>
      </c>
    </row>
    <row r="55" spans="1:17" s="148" customFormat="1" ht="36">
      <c r="A55" s="146"/>
      <c r="B55" s="146"/>
      <c r="C55" s="146"/>
      <c r="D55" s="146"/>
      <c r="E55" s="135" t="s">
        <v>1207</v>
      </c>
      <c r="F55" s="147">
        <f>G55</f>
        <v>1434804</v>
      </c>
      <c r="G55" s="147">
        <v>1434804</v>
      </c>
      <c r="H55" s="147">
        <v>1008616</v>
      </c>
      <c r="I55" s="147"/>
      <c r="J55" s="147"/>
      <c r="K55" s="27">
        <f t="shared" si="13"/>
        <v>103335</v>
      </c>
      <c r="L55" s="147"/>
      <c r="M55" s="147"/>
      <c r="N55" s="147"/>
      <c r="O55" s="147">
        <f>P55</f>
        <v>103335</v>
      </c>
      <c r="P55" s="147">
        <v>103335</v>
      </c>
      <c r="Q55" s="147">
        <f t="shared" si="14"/>
        <v>1538139</v>
      </c>
    </row>
    <row r="56" spans="1:17" s="148" customFormat="1" ht="48" hidden="1">
      <c r="A56" s="146"/>
      <c r="B56" s="146"/>
      <c r="C56" s="146"/>
      <c r="D56" s="146"/>
      <c r="E56" s="135" t="s">
        <v>888</v>
      </c>
      <c r="F56" s="147">
        <f t="shared" si="12"/>
        <v>0</v>
      </c>
      <c r="G56" s="147"/>
      <c r="H56" s="147"/>
      <c r="I56" s="147"/>
      <c r="J56" s="147"/>
      <c r="K56" s="147">
        <f t="shared" si="13"/>
        <v>0</v>
      </c>
      <c r="L56" s="147"/>
      <c r="M56" s="147"/>
      <c r="N56" s="147"/>
      <c r="O56" s="147"/>
      <c r="P56" s="147"/>
      <c r="Q56" s="147">
        <f t="shared" si="14"/>
        <v>0</v>
      </c>
    </row>
    <row r="57" spans="1:17" ht="47.25" customHeight="1" hidden="1">
      <c r="A57" s="50"/>
      <c r="B57" s="28"/>
      <c r="C57" s="28"/>
      <c r="D57" s="28"/>
      <c r="E57" s="135" t="s">
        <v>866</v>
      </c>
      <c r="F57" s="27">
        <f t="shared" si="12"/>
        <v>0</v>
      </c>
      <c r="G57" s="27"/>
      <c r="H57" s="27"/>
      <c r="I57" s="27"/>
      <c r="J57" s="27"/>
      <c r="K57" s="27">
        <f t="shared" si="13"/>
        <v>0</v>
      </c>
      <c r="L57" s="27"/>
      <c r="M57" s="27"/>
      <c r="N57" s="27"/>
      <c r="O57" s="27"/>
      <c r="P57" s="27"/>
      <c r="Q57" s="27">
        <f t="shared" si="14"/>
        <v>0</v>
      </c>
    </row>
    <row r="58" spans="1:17" ht="25.5">
      <c r="A58" s="50">
        <v>1011030</v>
      </c>
      <c r="B58" s="28" t="s">
        <v>58</v>
      </c>
      <c r="C58" s="50" t="s">
        <v>597</v>
      </c>
      <c r="D58" s="50" t="s">
        <v>580</v>
      </c>
      <c r="E58" s="151" t="s">
        <v>185</v>
      </c>
      <c r="F58" s="27">
        <f t="shared" si="12"/>
        <v>14221985</v>
      </c>
      <c r="G58" s="27">
        <f>13803160+416694+2131</f>
        <v>14221985</v>
      </c>
      <c r="H58" s="27">
        <f>10351875+341553</f>
        <v>10693428</v>
      </c>
      <c r="I58" s="27">
        <v>1102242</v>
      </c>
      <c r="J58" s="27"/>
      <c r="K58" s="27">
        <f t="shared" si="13"/>
        <v>0</v>
      </c>
      <c r="L58" s="27"/>
      <c r="M58" s="27"/>
      <c r="N58" s="27"/>
      <c r="O58" s="27"/>
      <c r="P58" s="27"/>
      <c r="Q58" s="27">
        <f t="shared" si="14"/>
        <v>14221985</v>
      </c>
    </row>
    <row r="59" spans="1:17" s="148" customFormat="1" ht="12.75">
      <c r="A59" s="152"/>
      <c r="B59" s="152"/>
      <c r="C59" s="152"/>
      <c r="D59" s="152"/>
      <c r="E59" s="135" t="s">
        <v>883</v>
      </c>
      <c r="F59" s="147">
        <f t="shared" si="12"/>
        <v>10709119</v>
      </c>
      <c r="G59" s="147">
        <f>10292424+416695</f>
        <v>10709119</v>
      </c>
      <c r="H59" s="147">
        <f>8436413+341553</f>
        <v>8777966</v>
      </c>
      <c r="I59" s="147"/>
      <c r="J59" s="147"/>
      <c r="K59" s="147">
        <f t="shared" si="13"/>
        <v>0</v>
      </c>
      <c r="L59" s="147"/>
      <c r="M59" s="147"/>
      <c r="N59" s="147"/>
      <c r="O59" s="147"/>
      <c r="P59" s="147"/>
      <c r="Q59" s="147">
        <f t="shared" si="14"/>
        <v>10709119</v>
      </c>
    </row>
    <row r="60" spans="1:17" s="148" customFormat="1" ht="48" hidden="1">
      <c r="A60" s="146"/>
      <c r="B60" s="146"/>
      <c r="C60" s="146"/>
      <c r="D60" s="146"/>
      <c r="E60" s="135" t="s">
        <v>888</v>
      </c>
      <c r="F60" s="147">
        <f t="shared" si="12"/>
        <v>0</v>
      </c>
      <c r="G60" s="147"/>
      <c r="H60" s="147"/>
      <c r="I60" s="147"/>
      <c r="J60" s="147"/>
      <c r="K60" s="147">
        <f t="shared" si="13"/>
        <v>0</v>
      </c>
      <c r="L60" s="147"/>
      <c r="M60" s="147"/>
      <c r="N60" s="147"/>
      <c r="O60" s="147"/>
      <c r="P60" s="147"/>
      <c r="Q60" s="147">
        <f t="shared" si="14"/>
        <v>0</v>
      </c>
    </row>
    <row r="61" spans="1:17" s="2" customFormat="1" ht="89.25" customHeight="1">
      <c r="A61" s="6" t="s">
        <v>534</v>
      </c>
      <c r="B61" s="6" t="s">
        <v>59</v>
      </c>
      <c r="C61" s="6" t="s">
        <v>598</v>
      </c>
      <c r="D61" s="6" t="s">
        <v>581</v>
      </c>
      <c r="E61" s="153" t="s">
        <v>186</v>
      </c>
      <c r="F61" s="27">
        <f t="shared" si="12"/>
        <v>35082124</v>
      </c>
      <c r="G61" s="18">
        <f>12818738+617784+21645602</f>
        <v>35082124</v>
      </c>
      <c r="H61" s="18">
        <f>10111056+16092011</f>
        <v>26203067</v>
      </c>
      <c r="I61" s="18">
        <v>1101034</v>
      </c>
      <c r="J61" s="18"/>
      <c r="K61" s="27">
        <f t="shared" si="13"/>
        <v>2894711</v>
      </c>
      <c r="L61" s="18"/>
      <c r="M61" s="18"/>
      <c r="N61" s="18"/>
      <c r="O61" s="18">
        <f>P61</f>
        <v>2894711</v>
      </c>
      <c r="P61" s="18">
        <v>2894711</v>
      </c>
      <c r="Q61" s="27">
        <f t="shared" si="14"/>
        <v>37976835</v>
      </c>
    </row>
    <row r="62" spans="1:17" s="143" customFormat="1" ht="12.75">
      <c r="A62" s="146"/>
      <c r="B62" s="146"/>
      <c r="C62" s="146"/>
      <c r="D62" s="146"/>
      <c r="E62" s="135" t="s">
        <v>882</v>
      </c>
      <c r="F62" s="147">
        <f t="shared" si="12"/>
        <v>12335488</v>
      </c>
      <c r="G62" s="142">
        <f>11717704+617784</f>
        <v>12335488</v>
      </c>
      <c r="H62" s="142">
        <f>9604675+506381</f>
        <v>10111056</v>
      </c>
      <c r="I62" s="142"/>
      <c r="J62" s="142"/>
      <c r="K62" s="27">
        <f t="shared" si="13"/>
        <v>0</v>
      </c>
      <c r="L62" s="142"/>
      <c r="M62" s="142"/>
      <c r="N62" s="142"/>
      <c r="O62" s="142"/>
      <c r="P62" s="142"/>
      <c r="Q62" s="147">
        <f t="shared" si="14"/>
        <v>12335488</v>
      </c>
    </row>
    <row r="63" spans="1:17" s="143" customFormat="1" ht="36">
      <c r="A63" s="146"/>
      <c r="B63" s="146"/>
      <c r="C63" s="146"/>
      <c r="D63" s="146"/>
      <c r="E63" s="135" t="s">
        <v>1208</v>
      </c>
      <c r="F63" s="147">
        <f>G63</f>
        <v>21645602</v>
      </c>
      <c r="G63" s="142">
        <v>21645602</v>
      </c>
      <c r="H63" s="142">
        <v>16092011</v>
      </c>
      <c r="I63" s="142"/>
      <c r="J63" s="142"/>
      <c r="K63" s="27">
        <f t="shared" si="13"/>
        <v>2894711</v>
      </c>
      <c r="L63" s="142"/>
      <c r="M63" s="142"/>
      <c r="N63" s="142"/>
      <c r="O63" s="142">
        <f>P63</f>
        <v>2894711</v>
      </c>
      <c r="P63" s="142">
        <v>2894711</v>
      </c>
      <c r="Q63" s="147">
        <f t="shared" si="14"/>
        <v>24540313</v>
      </c>
    </row>
    <row r="64" spans="1:17" s="148" customFormat="1" ht="48" hidden="1">
      <c r="A64" s="146"/>
      <c r="B64" s="146"/>
      <c r="C64" s="146"/>
      <c r="D64" s="146"/>
      <c r="E64" s="135" t="s">
        <v>888</v>
      </c>
      <c r="F64" s="147">
        <f t="shared" si="12"/>
        <v>0</v>
      </c>
      <c r="G64" s="147"/>
      <c r="H64" s="147"/>
      <c r="I64" s="147"/>
      <c r="J64" s="147"/>
      <c r="K64" s="147">
        <f t="shared" si="13"/>
        <v>0</v>
      </c>
      <c r="L64" s="147"/>
      <c r="M64" s="147"/>
      <c r="N64" s="147"/>
      <c r="O64" s="147"/>
      <c r="P64" s="147"/>
      <c r="Q64" s="147">
        <f t="shared" si="14"/>
        <v>0</v>
      </c>
    </row>
    <row r="65" spans="1:17" ht="36.75" customHeight="1">
      <c r="A65" s="50" t="s">
        <v>535</v>
      </c>
      <c r="B65" s="28" t="s">
        <v>35</v>
      </c>
      <c r="C65" s="50" t="s">
        <v>599</v>
      </c>
      <c r="D65" s="50" t="s">
        <v>582</v>
      </c>
      <c r="E65" s="51" t="s">
        <v>187</v>
      </c>
      <c r="F65" s="27">
        <f t="shared" si="12"/>
        <v>52904537</v>
      </c>
      <c r="G65" s="27">
        <f>52526681+(129800)+(2500)+73600+(43700)+99856+(28400)</f>
        <v>52904537</v>
      </c>
      <c r="H65" s="27">
        <v>35714087</v>
      </c>
      <c r="I65" s="27">
        <v>8219517</v>
      </c>
      <c r="J65" s="27"/>
      <c r="K65" s="27">
        <f t="shared" si="13"/>
        <v>1613582</v>
      </c>
      <c r="L65" s="27">
        <v>313304</v>
      </c>
      <c r="M65" s="27">
        <v>72397</v>
      </c>
      <c r="N65" s="27">
        <v>6630</v>
      </c>
      <c r="O65" s="27">
        <f>P65+17000</f>
        <v>1300278</v>
      </c>
      <c r="P65" s="27">
        <f>726958+(41000)+457320+(10000)+(30000)+(8000)+(10000)</f>
        <v>1283278</v>
      </c>
      <c r="Q65" s="27">
        <f t="shared" si="14"/>
        <v>54518119</v>
      </c>
    </row>
    <row r="66" spans="1:17" ht="38.25">
      <c r="A66" s="50" t="s">
        <v>769</v>
      </c>
      <c r="B66" s="50" t="s">
        <v>767</v>
      </c>
      <c r="C66" s="50" t="s">
        <v>995</v>
      </c>
      <c r="D66" s="50" t="s">
        <v>768</v>
      </c>
      <c r="E66" s="51" t="s">
        <v>1179</v>
      </c>
      <c r="F66" s="27">
        <f t="shared" si="12"/>
        <v>179912772</v>
      </c>
      <c r="G66" s="27">
        <f>179681272+(108000)+(12500)+(41000)+(70000)</f>
        <v>179912772</v>
      </c>
      <c r="H66" s="27">
        <v>97354258</v>
      </c>
      <c r="I66" s="27">
        <v>16972260</v>
      </c>
      <c r="J66" s="27"/>
      <c r="K66" s="27">
        <f t="shared" si="13"/>
        <v>12144800</v>
      </c>
      <c r="L66" s="27">
        <v>11410290</v>
      </c>
      <c r="M66" s="27">
        <v>3749822</v>
      </c>
      <c r="N66" s="27">
        <v>3556335</v>
      </c>
      <c r="O66" s="27">
        <f>P66+657010</f>
        <v>734510</v>
      </c>
      <c r="P66" s="27">
        <f>(50000)+(7500)+(20000)</f>
        <v>77500</v>
      </c>
      <c r="Q66" s="27">
        <f t="shared" si="14"/>
        <v>192057572</v>
      </c>
    </row>
    <row r="67" spans="1:17" s="148" customFormat="1" ht="12.75">
      <c r="A67" s="146"/>
      <c r="B67" s="146"/>
      <c r="C67" s="146"/>
      <c r="D67" s="146"/>
      <c r="E67" s="150" t="s">
        <v>782</v>
      </c>
      <c r="F67" s="147">
        <f t="shared" si="12"/>
        <v>16383145</v>
      </c>
      <c r="G67" s="147">
        <f>16590108-206963</f>
        <v>16383145</v>
      </c>
      <c r="H67" s="147">
        <f>13598449-169642</f>
        <v>13428807</v>
      </c>
      <c r="I67" s="147"/>
      <c r="J67" s="147"/>
      <c r="K67" s="147">
        <f t="shared" si="13"/>
        <v>0</v>
      </c>
      <c r="L67" s="147"/>
      <c r="M67" s="147"/>
      <c r="N67" s="147"/>
      <c r="O67" s="147"/>
      <c r="P67" s="147"/>
      <c r="Q67" s="147">
        <f t="shared" si="14"/>
        <v>16383145</v>
      </c>
    </row>
    <row r="68" spans="1:17" s="148" customFormat="1" ht="51" hidden="1">
      <c r="A68" s="146"/>
      <c r="B68" s="146"/>
      <c r="C68" s="146"/>
      <c r="D68" s="146"/>
      <c r="E68" s="150" t="s">
        <v>888</v>
      </c>
      <c r="F68" s="147">
        <f t="shared" si="12"/>
        <v>0</v>
      </c>
      <c r="G68" s="147"/>
      <c r="H68" s="147"/>
      <c r="I68" s="147"/>
      <c r="J68" s="147"/>
      <c r="K68" s="147">
        <f t="shared" si="13"/>
        <v>0</v>
      </c>
      <c r="L68" s="147"/>
      <c r="M68" s="147"/>
      <c r="N68" s="147"/>
      <c r="O68" s="147"/>
      <c r="P68" s="147"/>
      <c r="Q68" s="147">
        <f t="shared" si="14"/>
        <v>0</v>
      </c>
    </row>
    <row r="69" spans="1:17" s="148" customFormat="1" ht="51" hidden="1">
      <c r="A69" s="146"/>
      <c r="B69" s="146"/>
      <c r="C69" s="146"/>
      <c r="D69" s="146"/>
      <c r="E69" s="150" t="s">
        <v>783</v>
      </c>
      <c r="F69" s="147">
        <f t="shared" si="12"/>
        <v>0</v>
      </c>
      <c r="G69" s="147"/>
      <c r="H69" s="147"/>
      <c r="I69" s="147"/>
      <c r="J69" s="147"/>
      <c r="K69" s="147">
        <f t="shared" si="13"/>
        <v>0</v>
      </c>
      <c r="L69" s="147"/>
      <c r="M69" s="147"/>
      <c r="N69" s="147"/>
      <c r="O69" s="147"/>
      <c r="P69" s="147"/>
      <c r="Q69" s="147">
        <f t="shared" si="14"/>
        <v>0</v>
      </c>
    </row>
    <row r="70" spans="1:17" ht="39.75" customHeight="1">
      <c r="A70" s="50" t="s">
        <v>188</v>
      </c>
      <c r="B70" s="28" t="s">
        <v>36</v>
      </c>
      <c r="C70" s="50" t="s">
        <v>996</v>
      </c>
      <c r="D70" s="50" t="s">
        <v>583</v>
      </c>
      <c r="E70" s="51" t="s">
        <v>189</v>
      </c>
      <c r="F70" s="27">
        <f t="shared" si="12"/>
        <v>6126622</v>
      </c>
      <c r="G70" s="27">
        <f>6125022+1600</f>
        <v>6126622</v>
      </c>
      <c r="H70" s="27">
        <v>4668324</v>
      </c>
      <c r="I70" s="27">
        <v>206094</v>
      </c>
      <c r="J70" s="27"/>
      <c r="K70" s="27">
        <f t="shared" si="13"/>
        <v>0</v>
      </c>
      <c r="L70" s="27"/>
      <c r="M70" s="27"/>
      <c r="N70" s="27"/>
      <c r="O70" s="27"/>
      <c r="P70" s="27"/>
      <c r="Q70" s="27">
        <f t="shared" si="14"/>
        <v>6126622</v>
      </c>
    </row>
    <row r="71" spans="1:17" ht="54" customHeight="1">
      <c r="A71" s="50" t="s">
        <v>190</v>
      </c>
      <c r="B71" s="28" t="s">
        <v>118</v>
      </c>
      <c r="C71" s="50" t="s">
        <v>997</v>
      </c>
      <c r="D71" s="50" t="s">
        <v>583</v>
      </c>
      <c r="E71" s="48" t="s">
        <v>191</v>
      </c>
      <c r="F71" s="27">
        <f t="shared" si="12"/>
        <v>3086792</v>
      </c>
      <c r="G71" s="27">
        <f>3058544+28248</f>
        <v>3086792</v>
      </c>
      <c r="H71" s="27">
        <v>2018924</v>
      </c>
      <c r="I71" s="27">
        <v>45647</v>
      </c>
      <c r="J71" s="27"/>
      <c r="K71" s="27">
        <f t="shared" si="13"/>
        <v>0</v>
      </c>
      <c r="L71" s="27"/>
      <c r="M71" s="27"/>
      <c r="N71" s="27"/>
      <c r="O71" s="27"/>
      <c r="P71" s="27"/>
      <c r="Q71" s="27">
        <f t="shared" si="14"/>
        <v>3086792</v>
      </c>
    </row>
    <row r="72" spans="1:17" ht="25.5">
      <c r="A72" s="50" t="s">
        <v>192</v>
      </c>
      <c r="B72" s="28" t="s">
        <v>37</v>
      </c>
      <c r="C72" s="50" t="s">
        <v>998</v>
      </c>
      <c r="D72" s="50" t="s">
        <v>583</v>
      </c>
      <c r="E72" s="48" t="s">
        <v>193</v>
      </c>
      <c r="F72" s="27">
        <f t="shared" si="12"/>
        <v>20440637</v>
      </c>
      <c r="G72" s="27">
        <f>19464654+941779+34204</f>
        <v>20440637</v>
      </c>
      <c r="H72" s="27">
        <v>14123431</v>
      </c>
      <c r="I72" s="27">
        <v>1030592</v>
      </c>
      <c r="J72" s="27"/>
      <c r="K72" s="27">
        <f t="shared" si="13"/>
        <v>1545874</v>
      </c>
      <c r="L72" s="27">
        <v>37874</v>
      </c>
      <c r="M72" s="27"/>
      <c r="N72" s="27"/>
      <c r="O72" s="27">
        <f>P72</f>
        <v>1508000</v>
      </c>
      <c r="P72" s="27">
        <v>1508000</v>
      </c>
      <c r="Q72" s="27">
        <f t="shared" si="14"/>
        <v>21986511</v>
      </c>
    </row>
    <row r="73" spans="1:17" ht="25.5">
      <c r="A73" s="50" t="s">
        <v>194</v>
      </c>
      <c r="B73" s="28" t="s">
        <v>38</v>
      </c>
      <c r="C73" s="50" t="s">
        <v>999</v>
      </c>
      <c r="D73" s="50" t="s">
        <v>583</v>
      </c>
      <c r="E73" s="48" t="s">
        <v>195</v>
      </c>
      <c r="F73" s="27">
        <f t="shared" si="12"/>
        <v>7392150</v>
      </c>
      <c r="G73" s="27">
        <v>7392150</v>
      </c>
      <c r="H73" s="27">
        <v>4878552</v>
      </c>
      <c r="I73" s="27">
        <v>684988</v>
      </c>
      <c r="J73" s="27"/>
      <c r="K73" s="27">
        <f t="shared" si="13"/>
        <v>653761</v>
      </c>
      <c r="L73" s="27">
        <v>601261</v>
      </c>
      <c r="M73" s="27"/>
      <c r="N73" s="27"/>
      <c r="O73" s="27">
        <f>P73+52500</f>
        <v>52500</v>
      </c>
      <c r="P73" s="27"/>
      <c r="Q73" s="27">
        <f t="shared" si="14"/>
        <v>8045911</v>
      </c>
    </row>
    <row r="74" spans="1:17" ht="15.75" customHeight="1">
      <c r="A74" s="50" t="s">
        <v>196</v>
      </c>
      <c r="B74" s="50" t="s">
        <v>124</v>
      </c>
      <c r="C74" s="50" t="s">
        <v>1000</v>
      </c>
      <c r="D74" s="50" t="s">
        <v>583</v>
      </c>
      <c r="E74" s="48" t="s">
        <v>197</v>
      </c>
      <c r="F74" s="27">
        <f t="shared" si="12"/>
        <v>7176774</v>
      </c>
      <c r="G74" s="27">
        <f>7180530-3756</f>
        <v>7176774</v>
      </c>
      <c r="H74" s="27">
        <v>5256200</v>
      </c>
      <c r="I74" s="27">
        <v>723674</v>
      </c>
      <c r="J74" s="27"/>
      <c r="K74" s="27">
        <f t="shared" si="13"/>
        <v>0</v>
      </c>
      <c r="L74" s="27"/>
      <c r="M74" s="27"/>
      <c r="N74" s="27"/>
      <c r="O74" s="27"/>
      <c r="P74" s="27"/>
      <c r="Q74" s="27">
        <f t="shared" si="14"/>
        <v>7176774</v>
      </c>
    </row>
    <row r="75" spans="1:17" ht="49.5" customHeight="1">
      <c r="A75" s="50" t="s">
        <v>536</v>
      </c>
      <c r="B75" s="28" t="s">
        <v>111</v>
      </c>
      <c r="C75" s="50" t="s">
        <v>1001</v>
      </c>
      <c r="D75" s="50" t="s">
        <v>583</v>
      </c>
      <c r="E75" s="48" t="s">
        <v>1211</v>
      </c>
      <c r="F75" s="27">
        <f t="shared" si="12"/>
        <v>114030</v>
      </c>
      <c r="G75" s="27">
        <v>114030</v>
      </c>
      <c r="H75" s="27"/>
      <c r="I75" s="27"/>
      <c r="J75" s="27"/>
      <c r="K75" s="27">
        <f t="shared" si="13"/>
        <v>0</v>
      </c>
      <c r="L75" s="27"/>
      <c r="M75" s="27"/>
      <c r="N75" s="27"/>
      <c r="O75" s="27"/>
      <c r="P75" s="27"/>
      <c r="Q75" s="27">
        <f t="shared" si="14"/>
        <v>114030</v>
      </c>
    </row>
    <row r="76" spans="1:17" ht="23.25" customHeight="1">
      <c r="A76" s="112" t="s">
        <v>625</v>
      </c>
      <c r="B76" s="112" t="s">
        <v>624</v>
      </c>
      <c r="C76" s="112" t="s">
        <v>1105</v>
      </c>
      <c r="D76" s="112"/>
      <c r="E76" s="115" t="s">
        <v>626</v>
      </c>
      <c r="F76" s="27">
        <f t="shared" si="12"/>
        <v>10809472</v>
      </c>
      <c r="G76" s="114">
        <f>G77+G80+G81+G82</f>
        <v>10809472</v>
      </c>
      <c r="H76" s="114">
        <f>H77+H80+H81+H82</f>
        <v>51746</v>
      </c>
      <c r="I76" s="114">
        <f>I77+I80+I81+I82</f>
        <v>0</v>
      </c>
      <c r="J76" s="114">
        <f>J77+J80+J81+J82</f>
        <v>0</v>
      </c>
      <c r="K76" s="27">
        <f t="shared" si="13"/>
        <v>0</v>
      </c>
      <c r="L76" s="114">
        <f>L77+L80+L81+L82</f>
        <v>0</v>
      </c>
      <c r="M76" s="114">
        <f>M77+M80+M81+M82</f>
        <v>0</v>
      </c>
      <c r="N76" s="114">
        <f>N77+N80+N81+N82</f>
        <v>0</v>
      </c>
      <c r="O76" s="114">
        <f>O77+O80+O81+O82</f>
        <v>0</v>
      </c>
      <c r="P76" s="114">
        <f>P77+P80+P81+P82</f>
        <v>0</v>
      </c>
      <c r="Q76" s="27">
        <f t="shared" si="14"/>
        <v>10809472</v>
      </c>
    </row>
    <row r="77" spans="1:17" ht="30" customHeight="1" hidden="1">
      <c r="A77" s="50" t="s">
        <v>892</v>
      </c>
      <c r="B77" s="50"/>
      <c r="C77" s="50" t="s">
        <v>1002</v>
      </c>
      <c r="D77" s="50"/>
      <c r="E77" s="48" t="s">
        <v>893</v>
      </c>
      <c r="F77" s="27">
        <f t="shared" si="12"/>
        <v>0</v>
      </c>
      <c r="G77" s="27">
        <f>G78+G79</f>
        <v>0</v>
      </c>
      <c r="H77" s="27">
        <f>H78+H79</f>
        <v>0</v>
      </c>
      <c r="I77" s="27">
        <f>I78+I79</f>
        <v>0</v>
      </c>
      <c r="J77" s="27">
        <f>J78+J79</f>
        <v>0</v>
      </c>
      <c r="K77" s="27">
        <f t="shared" si="13"/>
        <v>0</v>
      </c>
      <c r="L77" s="27">
        <f>L78+L79</f>
        <v>0</v>
      </c>
      <c r="M77" s="27">
        <f>M78+M79</f>
        <v>0</v>
      </c>
      <c r="N77" s="27">
        <f>N78+N79</f>
        <v>0</v>
      </c>
      <c r="O77" s="27">
        <f>O78+O79</f>
        <v>0</v>
      </c>
      <c r="P77" s="27">
        <f>P78+P79</f>
        <v>0</v>
      </c>
      <c r="Q77" s="27">
        <f t="shared" si="14"/>
        <v>0</v>
      </c>
    </row>
    <row r="78" spans="1:17" ht="27.75" customHeight="1" hidden="1">
      <c r="A78" s="50" t="s">
        <v>380</v>
      </c>
      <c r="B78" s="28" t="s">
        <v>90</v>
      </c>
      <c r="C78" s="50" t="s">
        <v>1003</v>
      </c>
      <c r="D78" s="50" t="s">
        <v>584</v>
      </c>
      <c r="E78" s="48" t="s">
        <v>379</v>
      </c>
      <c r="F78" s="27">
        <f t="shared" si="12"/>
        <v>0</v>
      </c>
      <c r="G78" s="27"/>
      <c r="H78" s="27"/>
      <c r="I78" s="27"/>
      <c r="J78" s="27"/>
      <c r="K78" s="27">
        <f t="shared" si="13"/>
        <v>0</v>
      </c>
      <c r="L78" s="27"/>
      <c r="M78" s="27"/>
      <c r="N78" s="27"/>
      <c r="O78" s="27"/>
      <c r="P78" s="27"/>
      <c r="Q78" s="27">
        <f t="shared" si="14"/>
        <v>0</v>
      </c>
    </row>
    <row r="79" spans="1:17" ht="26.25" customHeight="1" hidden="1">
      <c r="A79" s="50" t="s">
        <v>381</v>
      </c>
      <c r="B79" s="28" t="s">
        <v>91</v>
      </c>
      <c r="C79" s="50" t="s">
        <v>1004</v>
      </c>
      <c r="D79" s="50" t="s">
        <v>584</v>
      </c>
      <c r="E79" s="48" t="s">
        <v>115</v>
      </c>
      <c r="F79" s="27">
        <f t="shared" si="12"/>
        <v>0</v>
      </c>
      <c r="G79" s="27"/>
      <c r="H79" s="27"/>
      <c r="I79" s="27"/>
      <c r="J79" s="27"/>
      <c r="K79" s="27">
        <f t="shared" si="13"/>
        <v>0</v>
      </c>
      <c r="L79" s="27"/>
      <c r="M79" s="27"/>
      <c r="N79" s="27"/>
      <c r="O79" s="27"/>
      <c r="P79" s="27"/>
      <c r="Q79" s="27">
        <f t="shared" si="14"/>
        <v>0</v>
      </c>
    </row>
    <row r="80" spans="1:17" ht="30" customHeight="1" hidden="1">
      <c r="A80" s="50" t="s">
        <v>382</v>
      </c>
      <c r="B80" s="28" t="s">
        <v>47</v>
      </c>
      <c r="C80" s="50" t="s">
        <v>1005</v>
      </c>
      <c r="D80" s="50" t="s">
        <v>584</v>
      </c>
      <c r="E80" s="48" t="s">
        <v>384</v>
      </c>
      <c r="F80" s="27">
        <f t="shared" si="12"/>
        <v>0</v>
      </c>
      <c r="G80" s="27"/>
      <c r="H80" s="27"/>
      <c r="I80" s="27"/>
      <c r="J80" s="27"/>
      <c r="K80" s="27">
        <f t="shared" si="13"/>
        <v>0</v>
      </c>
      <c r="L80" s="27"/>
      <c r="M80" s="27"/>
      <c r="N80" s="27"/>
      <c r="O80" s="27"/>
      <c r="P80" s="27"/>
      <c r="Q80" s="27">
        <f t="shared" si="14"/>
        <v>0</v>
      </c>
    </row>
    <row r="81" spans="1:17" ht="76.5">
      <c r="A81" s="50" t="s">
        <v>383</v>
      </c>
      <c r="B81" s="28" t="s">
        <v>96</v>
      </c>
      <c r="C81" s="50" t="s">
        <v>1006</v>
      </c>
      <c r="D81" s="50" t="s">
        <v>584</v>
      </c>
      <c r="E81" s="48" t="s">
        <v>198</v>
      </c>
      <c r="F81" s="27">
        <f t="shared" si="12"/>
        <v>10746342</v>
      </c>
      <c r="G81" s="27">
        <v>10746342</v>
      </c>
      <c r="H81" s="27"/>
      <c r="I81" s="27"/>
      <c r="J81" s="27"/>
      <c r="K81" s="27">
        <f t="shared" si="13"/>
        <v>0</v>
      </c>
      <c r="L81" s="27"/>
      <c r="M81" s="27"/>
      <c r="N81" s="27"/>
      <c r="O81" s="27"/>
      <c r="P81" s="27"/>
      <c r="Q81" s="27">
        <f t="shared" si="14"/>
        <v>10746342</v>
      </c>
    </row>
    <row r="82" spans="1:17" ht="24.75" customHeight="1">
      <c r="A82" s="50" t="s">
        <v>872</v>
      </c>
      <c r="B82" s="50" t="s">
        <v>785</v>
      </c>
      <c r="C82" s="50" t="s">
        <v>1007</v>
      </c>
      <c r="D82" s="50" t="s">
        <v>787</v>
      </c>
      <c r="E82" s="48" t="s">
        <v>786</v>
      </c>
      <c r="F82" s="27">
        <f>G82+J82</f>
        <v>63130</v>
      </c>
      <c r="G82" s="27">
        <v>63130</v>
      </c>
      <c r="H82" s="27">
        <v>51746</v>
      </c>
      <c r="I82" s="27"/>
      <c r="J82" s="27"/>
      <c r="K82" s="27">
        <f t="shared" si="13"/>
        <v>0</v>
      </c>
      <c r="L82" s="27"/>
      <c r="M82" s="27"/>
      <c r="N82" s="27"/>
      <c r="O82" s="27"/>
      <c r="P82" s="27"/>
      <c r="Q82" s="27">
        <f>F82+K82</f>
        <v>63130</v>
      </c>
    </row>
    <row r="83" spans="1:17" ht="12.75">
      <c r="A83" s="112" t="s">
        <v>630</v>
      </c>
      <c r="B83" s="112" t="s">
        <v>629</v>
      </c>
      <c r="C83" s="112" t="s">
        <v>1021</v>
      </c>
      <c r="D83" s="112"/>
      <c r="E83" s="115" t="s">
        <v>632</v>
      </c>
      <c r="F83" s="27">
        <f t="shared" si="12"/>
        <v>0</v>
      </c>
      <c r="G83" s="114">
        <f>G84+G86+G87+G88</f>
        <v>0</v>
      </c>
      <c r="H83" s="114">
        <f>H84+H86+H87+H88</f>
        <v>0</v>
      </c>
      <c r="I83" s="114">
        <f>I84+I86+I87+I88</f>
        <v>0</v>
      </c>
      <c r="J83" s="114">
        <f>J84+J86+J87+J88</f>
        <v>0</v>
      </c>
      <c r="K83" s="27">
        <f t="shared" si="13"/>
        <v>78323434</v>
      </c>
      <c r="L83" s="114">
        <f>L84+L86+L87+L88</f>
        <v>0</v>
      </c>
      <c r="M83" s="114">
        <f>M84+M86+M87+M88</f>
        <v>0</v>
      </c>
      <c r="N83" s="114">
        <f>N84+N86+N87+N88</f>
        <v>0</v>
      </c>
      <c r="O83" s="114">
        <f>O84+O86+O87+O88</f>
        <v>78323434</v>
      </c>
      <c r="P83" s="114">
        <f>P84+P86+P87+P88</f>
        <v>78323434</v>
      </c>
      <c r="Q83" s="27">
        <f t="shared" si="14"/>
        <v>78323434</v>
      </c>
    </row>
    <row r="84" spans="1:17" s="41" customFormat="1" ht="25.5">
      <c r="A84" s="50" t="s">
        <v>201</v>
      </c>
      <c r="B84" s="28" t="s">
        <v>87</v>
      </c>
      <c r="C84" s="50" t="s">
        <v>981</v>
      </c>
      <c r="D84" s="50" t="s">
        <v>577</v>
      </c>
      <c r="E84" s="48" t="s">
        <v>174</v>
      </c>
      <c r="F84" s="27">
        <f t="shared" si="12"/>
        <v>0</v>
      </c>
      <c r="G84" s="27"/>
      <c r="H84" s="27"/>
      <c r="I84" s="27"/>
      <c r="J84" s="27"/>
      <c r="K84" s="27">
        <f t="shared" si="13"/>
        <v>14976064</v>
      </c>
      <c r="L84" s="27"/>
      <c r="M84" s="27"/>
      <c r="N84" s="27"/>
      <c r="O84" s="27">
        <f>P84</f>
        <v>14976064</v>
      </c>
      <c r="P84" s="27">
        <f>15866982-890918</f>
        <v>14976064</v>
      </c>
      <c r="Q84" s="27">
        <f t="shared" si="14"/>
        <v>14976064</v>
      </c>
    </row>
    <row r="85" spans="1:17" s="149" customFormat="1" ht="60" hidden="1">
      <c r="A85" s="146"/>
      <c r="B85" s="146"/>
      <c r="C85" s="146"/>
      <c r="D85" s="146"/>
      <c r="E85" s="136" t="s">
        <v>866</v>
      </c>
      <c r="F85" s="147">
        <f t="shared" si="12"/>
        <v>0</v>
      </c>
      <c r="G85" s="147"/>
      <c r="H85" s="147"/>
      <c r="I85" s="147"/>
      <c r="J85" s="147"/>
      <c r="K85" s="147">
        <f t="shared" si="13"/>
        <v>0</v>
      </c>
      <c r="L85" s="147"/>
      <c r="M85" s="147"/>
      <c r="N85" s="147"/>
      <c r="O85" s="147"/>
      <c r="P85" s="147"/>
      <c r="Q85" s="147">
        <f t="shared" si="14"/>
        <v>0</v>
      </c>
    </row>
    <row r="86" spans="1:17" s="41" customFormat="1" ht="50.25" customHeight="1">
      <c r="A86" s="50" t="s">
        <v>751</v>
      </c>
      <c r="B86" s="50" t="s">
        <v>749</v>
      </c>
      <c r="C86" s="50" t="s">
        <v>1008</v>
      </c>
      <c r="D86" s="50" t="s">
        <v>580</v>
      </c>
      <c r="E86" s="48" t="s">
        <v>754</v>
      </c>
      <c r="F86" s="27">
        <f t="shared" si="12"/>
        <v>0</v>
      </c>
      <c r="G86" s="27"/>
      <c r="H86" s="27"/>
      <c r="I86" s="27"/>
      <c r="J86" s="27"/>
      <c r="K86" s="27">
        <f t="shared" si="13"/>
        <v>60999905</v>
      </c>
      <c r="L86" s="27"/>
      <c r="M86" s="27"/>
      <c r="N86" s="27"/>
      <c r="O86" s="27">
        <f>P86</f>
        <v>60999905</v>
      </c>
      <c r="P86" s="27">
        <f>56415567+787900-2173002+5969440</f>
        <v>60999905</v>
      </c>
      <c r="Q86" s="27">
        <f t="shared" si="14"/>
        <v>60999905</v>
      </c>
    </row>
    <row r="87" spans="1:17" s="41" customFormat="1" ht="51" hidden="1">
      <c r="A87" s="50" t="s">
        <v>764</v>
      </c>
      <c r="B87" s="50" t="s">
        <v>763</v>
      </c>
      <c r="C87" s="50" t="s">
        <v>1009</v>
      </c>
      <c r="D87" s="50" t="s">
        <v>581</v>
      </c>
      <c r="E87" s="48" t="s">
        <v>765</v>
      </c>
      <c r="F87" s="27">
        <f t="shared" si="12"/>
        <v>0</v>
      </c>
      <c r="G87" s="27"/>
      <c r="H87" s="27"/>
      <c r="I87" s="27"/>
      <c r="J87" s="27"/>
      <c r="K87" s="27">
        <f t="shared" si="13"/>
        <v>0</v>
      </c>
      <c r="L87" s="27"/>
      <c r="M87" s="27"/>
      <c r="N87" s="27"/>
      <c r="O87" s="27">
        <f>P87</f>
        <v>0</v>
      </c>
      <c r="P87" s="27"/>
      <c r="Q87" s="27">
        <f t="shared" si="14"/>
        <v>0</v>
      </c>
    </row>
    <row r="88" spans="1:17" s="41" customFormat="1" ht="53.25" customHeight="1">
      <c r="A88" s="50" t="s">
        <v>752</v>
      </c>
      <c r="B88" s="50" t="s">
        <v>750</v>
      </c>
      <c r="C88" s="50" t="s">
        <v>1010</v>
      </c>
      <c r="D88" s="50" t="s">
        <v>582</v>
      </c>
      <c r="E88" s="48" t="s">
        <v>753</v>
      </c>
      <c r="F88" s="27">
        <f t="shared" si="12"/>
        <v>0</v>
      </c>
      <c r="G88" s="27"/>
      <c r="H88" s="27"/>
      <c r="I88" s="27"/>
      <c r="J88" s="27"/>
      <c r="K88" s="27">
        <f t="shared" si="13"/>
        <v>2347465</v>
      </c>
      <c r="L88" s="27"/>
      <c r="M88" s="27"/>
      <c r="N88" s="27"/>
      <c r="O88" s="27">
        <f>P88</f>
        <v>2347465</v>
      </c>
      <c r="P88" s="27">
        <f>980000+1367465</f>
        <v>2347465</v>
      </c>
      <c r="Q88" s="27">
        <f t="shared" si="14"/>
        <v>2347465</v>
      </c>
    </row>
    <row r="89" spans="1:17" s="41" customFormat="1" ht="25.5" hidden="1">
      <c r="A89" s="93" t="s">
        <v>503</v>
      </c>
      <c r="B89" s="93" t="s">
        <v>502</v>
      </c>
      <c r="C89" s="93" t="s">
        <v>1091</v>
      </c>
      <c r="D89" s="93"/>
      <c r="E89" s="100" t="s">
        <v>504</v>
      </c>
      <c r="F89" s="27">
        <f t="shared" si="12"/>
        <v>0</v>
      </c>
      <c r="G89" s="88">
        <f>G90</f>
        <v>0</v>
      </c>
      <c r="H89" s="88">
        <f>H90</f>
        <v>0</v>
      </c>
      <c r="I89" s="88">
        <f>I90</f>
        <v>0</v>
      </c>
      <c r="J89" s="88">
        <f>J90</f>
        <v>0</v>
      </c>
      <c r="K89" s="27">
        <f t="shared" si="13"/>
        <v>0</v>
      </c>
      <c r="L89" s="88">
        <f>L90</f>
        <v>0</v>
      </c>
      <c r="M89" s="88">
        <f>M90</f>
        <v>0</v>
      </c>
      <c r="N89" s="88">
        <f>N90</f>
        <v>0</v>
      </c>
      <c r="O89" s="88">
        <f>O90</f>
        <v>0</v>
      </c>
      <c r="P89" s="88">
        <f>P90</f>
        <v>0</v>
      </c>
      <c r="Q89" s="27">
        <f t="shared" si="14"/>
        <v>0</v>
      </c>
    </row>
    <row r="90" spans="1:17" s="41" customFormat="1" ht="12.75" hidden="1">
      <c r="A90" s="59" t="s">
        <v>505</v>
      </c>
      <c r="B90" s="59" t="s">
        <v>502</v>
      </c>
      <c r="C90" s="59" t="s">
        <v>1011</v>
      </c>
      <c r="D90" s="59" t="s">
        <v>586</v>
      </c>
      <c r="E90" s="83" t="s">
        <v>506</v>
      </c>
      <c r="F90" s="27">
        <f t="shared" si="12"/>
        <v>0</v>
      </c>
      <c r="G90" s="27"/>
      <c r="H90" s="27"/>
      <c r="I90" s="27"/>
      <c r="J90" s="27"/>
      <c r="K90" s="27">
        <f t="shared" si="13"/>
        <v>0</v>
      </c>
      <c r="L90" s="27"/>
      <c r="M90" s="27"/>
      <c r="N90" s="27"/>
      <c r="O90" s="27"/>
      <c r="P90" s="27"/>
      <c r="Q90" s="27">
        <f t="shared" si="14"/>
        <v>0</v>
      </c>
    </row>
    <row r="91" spans="1:17" s="41" customFormat="1" ht="12.75" hidden="1">
      <c r="A91" s="104" t="s">
        <v>537</v>
      </c>
      <c r="B91" s="104" t="s">
        <v>528</v>
      </c>
      <c r="C91" s="104" t="s">
        <v>1012</v>
      </c>
      <c r="D91" s="104"/>
      <c r="E91" s="154" t="s">
        <v>529</v>
      </c>
      <c r="F91" s="27">
        <f t="shared" si="12"/>
        <v>0</v>
      </c>
      <c r="G91" s="105">
        <f>G92</f>
        <v>0</v>
      </c>
      <c r="H91" s="105">
        <f>H92</f>
        <v>0</v>
      </c>
      <c r="I91" s="105">
        <f>I92</f>
        <v>0</v>
      </c>
      <c r="J91" s="105">
        <f>J92</f>
        <v>0</v>
      </c>
      <c r="K91" s="27">
        <f t="shared" si="13"/>
        <v>0</v>
      </c>
      <c r="L91" s="105">
        <f>L92</f>
        <v>0</v>
      </c>
      <c r="M91" s="105">
        <f>M92</f>
        <v>0</v>
      </c>
      <c r="N91" s="105">
        <f>N92</f>
        <v>0</v>
      </c>
      <c r="O91" s="105">
        <f>O92</f>
        <v>0</v>
      </c>
      <c r="P91" s="105">
        <f>P92</f>
        <v>0</v>
      </c>
      <c r="Q91" s="27">
        <f t="shared" si="14"/>
        <v>0</v>
      </c>
    </row>
    <row r="92" spans="1:17" s="41" customFormat="1" ht="12.75" hidden="1">
      <c r="A92" s="59" t="s">
        <v>567</v>
      </c>
      <c r="B92" s="59" t="s">
        <v>528</v>
      </c>
      <c r="C92" s="59" t="s">
        <v>1013</v>
      </c>
      <c r="D92" s="59" t="s">
        <v>587</v>
      </c>
      <c r="E92" s="83" t="s">
        <v>569</v>
      </c>
      <c r="F92" s="27">
        <f t="shared" si="12"/>
        <v>0</v>
      </c>
      <c r="G92" s="27"/>
      <c r="H92" s="27"/>
      <c r="I92" s="27"/>
      <c r="J92" s="27"/>
      <c r="K92" s="27">
        <f t="shared" si="13"/>
        <v>0</v>
      </c>
      <c r="L92" s="27"/>
      <c r="M92" s="27"/>
      <c r="N92" s="27"/>
      <c r="O92" s="27"/>
      <c r="P92" s="27"/>
      <c r="Q92" s="27">
        <f t="shared" si="14"/>
        <v>0</v>
      </c>
    </row>
    <row r="93" spans="1:17" ht="25.5" hidden="1">
      <c r="A93" s="112" t="s">
        <v>634</v>
      </c>
      <c r="B93" s="112" t="s">
        <v>635</v>
      </c>
      <c r="C93" s="112" t="s">
        <v>1022</v>
      </c>
      <c r="D93" s="112"/>
      <c r="E93" s="115" t="s">
        <v>636</v>
      </c>
      <c r="F93" s="27">
        <f t="shared" si="12"/>
        <v>0</v>
      </c>
      <c r="G93" s="114">
        <f>G94</f>
        <v>0</v>
      </c>
      <c r="H93" s="114">
        <f aca="true" t="shared" si="15" ref="H93:J94">H94</f>
        <v>0</v>
      </c>
      <c r="I93" s="114">
        <f t="shared" si="15"/>
        <v>0</v>
      </c>
      <c r="J93" s="114">
        <f t="shared" si="15"/>
        <v>0</v>
      </c>
      <c r="K93" s="27">
        <f t="shared" si="13"/>
        <v>0</v>
      </c>
      <c r="L93" s="114">
        <f aca="true" t="shared" si="16" ref="L93:P94">L94</f>
        <v>0</v>
      </c>
      <c r="M93" s="114">
        <f t="shared" si="16"/>
        <v>0</v>
      </c>
      <c r="N93" s="114">
        <f t="shared" si="16"/>
        <v>0</v>
      </c>
      <c r="O93" s="114">
        <f t="shared" si="16"/>
        <v>0</v>
      </c>
      <c r="P93" s="114">
        <f t="shared" si="16"/>
        <v>0</v>
      </c>
      <c r="Q93" s="27">
        <f t="shared" si="14"/>
        <v>0</v>
      </c>
    </row>
    <row r="94" spans="1:17" ht="51" hidden="1">
      <c r="A94" s="50" t="s">
        <v>894</v>
      </c>
      <c r="B94" s="112"/>
      <c r="C94" s="112" t="s">
        <v>1014</v>
      </c>
      <c r="D94" s="112"/>
      <c r="E94" s="115" t="s">
        <v>895</v>
      </c>
      <c r="F94" s="27"/>
      <c r="G94" s="114">
        <f>G95</f>
        <v>0</v>
      </c>
      <c r="H94" s="114">
        <f t="shared" si="15"/>
        <v>0</v>
      </c>
      <c r="I94" s="114">
        <f t="shared" si="15"/>
        <v>0</v>
      </c>
      <c r="J94" s="114">
        <f t="shared" si="15"/>
        <v>0</v>
      </c>
      <c r="K94" s="27">
        <f t="shared" si="13"/>
        <v>0</v>
      </c>
      <c r="L94" s="114">
        <f t="shared" si="16"/>
        <v>0</v>
      </c>
      <c r="M94" s="114">
        <f t="shared" si="16"/>
        <v>0</v>
      </c>
      <c r="N94" s="114">
        <f t="shared" si="16"/>
        <v>0</v>
      </c>
      <c r="O94" s="114">
        <f t="shared" si="16"/>
        <v>0</v>
      </c>
      <c r="P94" s="114">
        <f t="shared" si="16"/>
        <v>0</v>
      </c>
      <c r="Q94" s="27"/>
    </row>
    <row r="95" spans="1:17" ht="63.75" hidden="1">
      <c r="A95" s="50" t="s">
        <v>561</v>
      </c>
      <c r="B95" s="50" t="s">
        <v>489</v>
      </c>
      <c r="C95" s="50" t="s">
        <v>1015</v>
      </c>
      <c r="D95" s="50" t="s">
        <v>589</v>
      </c>
      <c r="E95" s="79" t="s">
        <v>490</v>
      </c>
      <c r="F95" s="27">
        <f t="shared" si="12"/>
        <v>0</v>
      </c>
      <c r="G95" s="27"/>
      <c r="H95" s="27"/>
      <c r="I95" s="27"/>
      <c r="J95" s="27"/>
      <c r="K95" s="27">
        <f t="shared" si="13"/>
        <v>0</v>
      </c>
      <c r="L95" s="27"/>
      <c r="M95" s="27"/>
      <c r="N95" s="27"/>
      <c r="O95" s="27"/>
      <c r="P95" s="27"/>
      <c r="Q95" s="27">
        <f t="shared" si="14"/>
        <v>0</v>
      </c>
    </row>
    <row r="96" spans="1:17" s="41" customFormat="1" ht="12.75">
      <c r="A96" s="112" t="s">
        <v>633</v>
      </c>
      <c r="B96" s="111" t="s">
        <v>98</v>
      </c>
      <c r="C96" s="111" t="s">
        <v>1016</v>
      </c>
      <c r="D96" s="111"/>
      <c r="E96" s="122" t="s">
        <v>99</v>
      </c>
      <c r="F96" s="27">
        <f aca="true" t="shared" si="17" ref="F96:F101">G96+J96</f>
        <v>0</v>
      </c>
      <c r="G96" s="114">
        <f>G97+G98</f>
        <v>0</v>
      </c>
      <c r="H96" s="114">
        <f>H97+H98</f>
        <v>0</v>
      </c>
      <c r="I96" s="114">
        <f>I97+I98</f>
        <v>0</v>
      </c>
      <c r="J96" s="114">
        <f>J97+J98</f>
        <v>0</v>
      </c>
      <c r="K96" s="27">
        <f aca="true" t="shared" si="18" ref="K96:K101">L96+O96</f>
        <v>7435222</v>
      </c>
      <c r="L96" s="114">
        <f>L97+L98</f>
        <v>35000</v>
      </c>
      <c r="M96" s="114">
        <f>M97+M98</f>
        <v>0</v>
      </c>
      <c r="N96" s="114">
        <f>N97+N98</f>
        <v>0</v>
      </c>
      <c r="O96" s="114">
        <f>O97+O98</f>
        <v>7400222</v>
      </c>
      <c r="P96" s="114">
        <f>P97+P98</f>
        <v>0</v>
      </c>
      <c r="Q96" s="27">
        <f>F96+K96</f>
        <v>7435222</v>
      </c>
    </row>
    <row r="97" spans="1:17" ht="24.75" customHeight="1">
      <c r="A97" s="50" t="s">
        <v>202</v>
      </c>
      <c r="B97" s="28" t="s">
        <v>86</v>
      </c>
      <c r="C97" s="50" t="s">
        <v>1017</v>
      </c>
      <c r="D97" s="50" t="s">
        <v>588</v>
      </c>
      <c r="E97" s="48" t="s">
        <v>93</v>
      </c>
      <c r="F97" s="27">
        <f t="shared" si="17"/>
        <v>0</v>
      </c>
      <c r="G97" s="27"/>
      <c r="H97" s="27"/>
      <c r="I97" s="27"/>
      <c r="J97" s="27"/>
      <c r="K97" s="27">
        <f t="shared" si="18"/>
        <v>2219663</v>
      </c>
      <c r="L97" s="27">
        <v>35000</v>
      </c>
      <c r="M97" s="27"/>
      <c r="N97" s="27"/>
      <c r="O97" s="27">
        <f>1165411+7000+987252+25000</f>
        <v>2184663</v>
      </c>
      <c r="P97" s="27"/>
      <c r="Q97" s="27">
        <f>F97+K97</f>
        <v>2219663</v>
      </c>
    </row>
    <row r="98" spans="1:17" ht="53.25" customHeight="1">
      <c r="A98" s="93" t="s">
        <v>857</v>
      </c>
      <c r="B98" s="85" t="s">
        <v>53</v>
      </c>
      <c r="C98" s="85" t="s">
        <v>993</v>
      </c>
      <c r="D98" s="85"/>
      <c r="E98" s="87" t="s">
        <v>432</v>
      </c>
      <c r="F98" s="87">
        <f t="shared" si="17"/>
        <v>0</v>
      </c>
      <c r="G98" s="87">
        <f>G99</f>
        <v>0</v>
      </c>
      <c r="H98" s="87">
        <f>H99</f>
        <v>0</v>
      </c>
      <c r="I98" s="87">
        <f>I99</f>
        <v>0</v>
      </c>
      <c r="J98" s="87">
        <f>J99</f>
        <v>0</v>
      </c>
      <c r="K98" s="87">
        <f t="shared" si="18"/>
        <v>5215559</v>
      </c>
      <c r="L98" s="87">
        <f>L99</f>
        <v>0</v>
      </c>
      <c r="M98" s="87">
        <f>M99</f>
        <v>0</v>
      </c>
      <c r="N98" s="87">
        <f>N99</f>
        <v>0</v>
      </c>
      <c r="O98" s="87">
        <v>5215559</v>
      </c>
      <c r="P98" s="87">
        <f>P99</f>
        <v>0</v>
      </c>
      <c r="Q98" s="87">
        <f>F98+K98</f>
        <v>5215559</v>
      </c>
    </row>
    <row r="99" spans="1:17" s="190" customFormat="1" ht="25.5" hidden="1">
      <c r="A99" s="187" t="s">
        <v>858</v>
      </c>
      <c r="B99" s="187" t="s">
        <v>53</v>
      </c>
      <c r="C99" s="187" t="s">
        <v>994</v>
      </c>
      <c r="D99" s="187" t="s">
        <v>578</v>
      </c>
      <c r="E99" s="188" t="s">
        <v>175</v>
      </c>
      <c r="F99" s="189">
        <f t="shared" si="17"/>
        <v>0</v>
      </c>
      <c r="G99" s="189"/>
      <c r="H99" s="189"/>
      <c r="I99" s="189"/>
      <c r="J99" s="189"/>
      <c r="K99" s="189">
        <f t="shared" si="18"/>
        <v>5215559</v>
      </c>
      <c r="L99" s="189"/>
      <c r="M99" s="189"/>
      <c r="N99" s="189"/>
      <c r="O99" s="189">
        <v>5215559</v>
      </c>
      <c r="P99" s="189"/>
      <c r="Q99" s="189">
        <f>F99+K99</f>
        <v>5215559</v>
      </c>
    </row>
    <row r="100" spans="1:18" ht="25.5">
      <c r="A100" s="62" t="s">
        <v>837</v>
      </c>
      <c r="B100" s="62" t="s">
        <v>836</v>
      </c>
      <c r="C100" s="62" t="s">
        <v>836</v>
      </c>
      <c r="D100" s="62"/>
      <c r="E100" s="61" t="s">
        <v>797</v>
      </c>
      <c r="F100" s="39">
        <f t="shared" si="17"/>
        <v>65619864</v>
      </c>
      <c r="G100" s="39">
        <f>G101</f>
        <v>65619864</v>
      </c>
      <c r="H100" s="39">
        <f>H101</f>
        <v>32796153</v>
      </c>
      <c r="I100" s="39">
        <f>I101</f>
        <v>3724288</v>
      </c>
      <c r="J100" s="39">
        <f>J101</f>
        <v>0</v>
      </c>
      <c r="K100" s="39">
        <f t="shared" si="18"/>
        <v>6222464</v>
      </c>
      <c r="L100" s="39">
        <f>L101</f>
        <v>982626</v>
      </c>
      <c r="M100" s="39">
        <f>M101</f>
        <v>267946</v>
      </c>
      <c r="N100" s="39">
        <f>N101</f>
        <v>135279</v>
      </c>
      <c r="O100" s="39">
        <f>O101</f>
        <v>5239838</v>
      </c>
      <c r="P100" s="39">
        <f>P101</f>
        <v>5239838</v>
      </c>
      <c r="Q100" s="39">
        <f t="shared" si="14"/>
        <v>71842328</v>
      </c>
      <c r="R100" s="164">
        <f>Q100-'[1]Місто'!$Q$98</f>
        <v>-1593856</v>
      </c>
    </row>
    <row r="101" spans="1:17" ht="25.5">
      <c r="A101" s="59" t="s">
        <v>838</v>
      </c>
      <c r="B101" s="31"/>
      <c r="C101" s="31"/>
      <c r="D101" s="31"/>
      <c r="E101" s="51" t="s">
        <v>797</v>
      </c>
      <c r="F101" s="26">
        <f t="shared" si="17"/>
        <v>65619864</v>
      </c>
      <c r="G101" s="26">
        <f>G102+G104+G109+G121+G123</f>
        <v>65619864</v>
      </c>
      <c r="H101" s="26">
        <f>H102+H104+H109+H121+H123</f>
        <v>32796153</v>
      </c>
      <c r="I101" s="26">
        <f>I102+I104+I109+I121+I123</f>
        <v>3724288</v>
      </c>
      <c r="J101" s="26">
        <f>J102+J104+J109+J121+J123</f>
        <v>0</v>
      </c>
      <c r="K101" s="26">
        <f t="shared" si="18"/>
        <v>6222464</v>
      </c>
      <c r="L101" s="26">
        <f>L102+L104+L109+L121+L123</f>
        <v>982626</v>
      </c>
      <c r="M101" s="26">
        <f>M102+M104+M109+M121+M123</f>
        <v>267946</v>
      </c>
      <c r="N101" s="26">
        <f>N102+N104+N109+N121+N123</f>
        <v>135279</v>
      </c>
      <c r="O101" s="26">
        <f>O102+O104+O109+O121+O123</f>
        <v>5239838</v>
      </c>
      <c r="P101" s="26">
        <f>P102+P104+P109+P121+P123</f>
        <v>5239838</v>
      </c>
      <c r="Q101" s="26">
        <f>F101+K101</f>
        <v>71842328</v>
      </c>
    </row>
    <row r="102" spans="1:17" ht="12.75">
      <c r="A102" s="112" t="s">
        <v>839</v>
      </c>
      <c r="B102" s="111" t="s">
        <v>672</v>
      </c>
      <c r="C102" s="111" t="s">
        <v>973</v>
      </c>
      <c r="D102" s="111"/>
      <c r="E102" s="127" t="s">
        <v>674</v>
      </c>
      <c r="F102" s="26">
        <f aca="true" t="shared" si="19" ref="F102:F125">G102+J102</f>
        <v>2429531</v>
      </c>
      <c r="G102" s="123">
        <f>G103</f>
        <v>2429531</v>
      </c>
      <c r="H102" s="123">
        <f>H103</f>
        <v>1803531</v>
      </c>
      <c r="I102" s="123">
        <f>I103</f>
        <v>68229</v>
      </c>
      <c r="J102" s="123">
        <f>J103</f>
        <v>0</v>
      </c>
      <c r="K102" s="26">
        <f aca="true" t="shared" si="20" ref="K102:K125">L102+O102</f>
        <v>0</v>
      </c>
      <c r="L102" s="123">
        <f>L103</f>
        <v>0</v>
      </c>
      <c r="M102" s="123">
        <f>M103</f>
        <v>0</v>
      </c>
      <c r="N102" s="123">
        <f>N103</f>
        <v>0</v>
      </c>
      <c r="O102" s="123">
        <f>O103</f>
        <v>0</v>
      </c>
      <c r="P102" s="123">
        <f>P103</f>
        <v>0</v>
      </c>
      <c r="Q102" s="26">
        <f aca="true" t="shared" si="21" ref="Q102:Q125">F102+K102</f>
        <v>2429531</v>
      </c>
    </row>
    <row r="103" spans="1:17" ht="25.5">
      <c r="A103" s="50" t="s">
        <v>840</v>
      </c>
      <c r="B103" s="28" t="s">
        <v>33</v>
      </c>
      <c r="C103" s="50" t="s">
        <v>614</v>
      </c>
      <c r="D103" s="50" t="s">
        <v>575</v>
      </c>
      <c r="E103" s="51" t="s">
        <v>890</v>
      </c>
      <c r="F103" s="26">
        <f t="shared" si="19"/>
        <v>2429531</v>
      </c>
      <c r="G103" s="27">
        <v>2429531</v>
      </c>
      <c r="H103" s="27">
        <v>1803531</v>
      </c>
      <c r="I103" s="27">
        <v>68229</v>
      </c>
      <c r="J103" s="27"/>
      <c r="K103" s="26">
        <f t="shared" si="20"/>
        <v>0</v>
      </c>
      <c r="L103" s="27"/>
      <c r="M103" s="27"/>
      <c r="N103" s="27"/>
      <c r="O103" s="27"/>
      <c r="P103" s="27"/>
      <c r="Q103" s="26">
        <f t="shared" si="21"/>
        <v>2429531</v>
      </c>
    </row>
    <row r="104" spans="1:17" ht="25.5">
      <c r="A104" s="112" t="s">
        <v>841</v>
      </c>
      <c r="B104" s="112" t="s">
        <v>624</v>
      </c>
      <c r="C104" s="112" t="s">
        <v>1105</v>
      </c>
      <c r="D104" s="112"/>
      <c r="E104" s="115" t="s">
        <v>626</v>
      </c>
      <c r="F104" s="26">
        <f>G104+J104</f>
        <v>3716232</v>
      </c>
      <c r="G104" s="27">
        <f>G105+G107</f>
        <v>3716232</v>
      </c>
      <c r="H104" s="27">
        <f aca="true" t="shared" si="22" ref="H104:P104">H105+H107</f>
        <v>0</v>
      </c>
      <c r="I104" s="27">
        <f t="shared" si="22"/>
        <v>0</v>
      </c>
      <c r="J104" s="27">
        <f t="shared" si="22"/>
        <v>0</v>
      </c>
      <c r="K104" s="27">
        <f t="shared" si="22"/>
        <v>0</v>
      </c>
      <c r="L104" s="27">
        <f t="shared" si="22"/>
        <v>0</v>
      </c>
      <c r="M104" s="27">
        <f t="shared" si="22"/>
        <v>0</v>
      </c>
      <c r="N104" s="27">
        <f t="shared" si="22"/>
        <v>0</v>
      </c>
      <c r="O104" s="27">
        <f t="shared" si="22"/>
        <v>0</v>
      </c>
      <c r="P104" s="27">
        <f t="shared" si="22"/>
        <v>0</v>
      </c>
      <c r="Q104" s="26">
        <f>F104+K104</f>
        <v>3716232</v>
      </c>
    </row>
    <row r="105" spans="1:17" ht="25.5">
      <c r="A105" s="50" t="s">
        <v>842</v>
      </c>
      <c r="B105" s="28" t="s">
        <v>47</v>
      </c>
      <c r="C105" s="50" t="s">
        <v>1005</v>
      </c>
      <c r="D105" s="50" t="s">
        <v>584</v>
      </c>
      <c r="E105" s="48" t="s">
        <v>1182</v>
      </c>
      <c r="F105" s="26">
        <f t="shared" si="19"/>
        <v>1640155</v>
      </c>
      <c r="G105" s="27">
        <f>G106</f>
        <v>1640155</v>
      </c>
      <c r="H105" s="27"/>
      <c r="I105" s="27"/>
      <c r="J105" s="27"/>
      <c r="K105" s="26">
        <f t="shared" si="20"/>
        <v>0</v>
      </c>
      <c r="L105" s="27"/>
      <c r="M105" s="27"/>
      <c r="N105" s="27"/>
      <c r="O105" s="27"/>
      <c r="P105" s="27"/>
      <c r="Q105" s="26">
        <f t="shared" si="21"/>
        <v>1640155</v>
      </c>
    </row>
    <row r="106" spans="1:17" ht="51">
      <c r="A106" s="50" t="s">
        <v>1199</v>
      </c>
      <c r="B106" s="28"/>
      <c r="C106" s="50" t="s">
        <v>1200</v>
      </c>
      <c r="D106" s="50" t="s">
        <v>584</v>
      </c>
      <c r="E106" s="48" t="s">
        <v>1201</v>
      </c>
      <c r="F106" s="26">
        <f>G106</f>
        <v>1640155</v>
      </c>
      <c r="G106" s="27">
        <f>1690555-50400</f>
        <v>1640155</v>
      </c>
      <c r="H106" s="27"/>
      <c r="I106" s="27"/>
      <c r="J106" s="27"/>
      <c r="K106" s="26"/>
      <c r="L106" s="27"/>
      <c r="M106" s="27"/>
      <c r="N106" s="27"/>
      <c r="O106" s="27"/>
      <c r="P106" s="27"/>
      <c r="Q106" s="26">
        <f t="shared" si="21"/>
        <v>1640155</v>
      </c>
    </row>
    <row r="107" spans="1:17" ht="25.5">
      <c r="A107" s="50" t="s">
        <v>1142</v>
      </c>
      <c r="B107" s="28"/>
      <c r="C107" s="50" t="s">
        <v>1075</v>
      </c>
      <c r="D107" s="50" t="s">
        <v>599</v>
      </c>
      <c r="E107" s="48" t="s">
        <v>327</v>
      </c>
      <c r="F107" s="26">
        <f t="shared" si="19"/>
        <v>2076077</v>
      </c>
      <c r="G107" s="27">
        <f aca="true" t="shared" si="23" ref="G107:P107">G108</f>
        <v>2076077</v>
      </c>
      <c r="H107" s="27">
        <f t="shared" si="23"/>
        <v>0</v>
      </c>
      <c r="I107" s="27">
        <f t="shared" si="23"/>
        <v>0</v>
      </c>
      <c r="J107" s="27">
        <f t="shared" si="23"/>
        <v>0</v>
      </c>
      <c r="K107" s="27">
        <f t="shared" si="23"/>
        <v>0</v>
      </c>
      <c r="L107" s="27">
        <f t="shared" si="23"/>
        <v>0</v>
      </c>
      <c r="M107" s="27">
        <f t="shared" si="23"/>
        <v>0</v>
      </c>
      <c r="N107" s="27">
        <f t="shared" si="23"/>
        <v>0</v>
      </c>
      <c r="O107" s="27">
        <f t="shared" si="23"/>
        <v>0</v>
      </c>
      <c r="P107" s="27">
        <f t="shared" si="23"/>
        <v>0</v>
      </c>
      <c r="Q107" s="26">
        <f t="shared" si="21"/>
        <v>2076077</v>
      </c>
    </row>
    <row r="108" spans="1:17" s="169" customFormat="1" ht="38.25" hidden="1">
      <c r="A108" s="170" t="s">
        <v>1143</v>
      </c>
      <c r="B108" s="170" t="s">
        <v>46</v>
      </c>
      <c r="C108" s="170" t="s">
        <v>1076</v>
      </c>
      <c r="D108" s="170" t="s">
        <v>599</v>
      </c>
      <c r="E108" s="172" t="s">
        <v>491</v>
      </c>
      <c r="F108" s="173">
        <f t="shared" si="19"/>
        <v>2076077</v>
      </c>
      <c r="G108" s="173">
        <f>2025677+50400</f>
        <v>2076077</v>
      </c>
      <c r="H108" s="173"/>
      <c r="I108" s="173"/>
      <c r="J108" s="173"/>
      <c r="K108" s="173"/>
      <c r="L108" s="173"/>
      <c r="M108" s="173"/>
      <c r="N108" s="173"/>
      <c r="O108" s="173"/>
      <c r="P108" s="173"/>
      <c r="Q108" s="173">
        <f t="shared" si="21"/>
        <v>2076077</v>
      </c>
    </row>
    <row r="109" spans="1:17" ht="12.75">
      <c r="A109" s="112" t="s">
        <v>843</v>
      </c>
      <c r="B109" s="50" t="s">
        <v>627</v>
      </c>
      <c r="C109" s="50" t="s">
        <v>1136</v>
      </c>
      <c r="D109" s="50"/>
      <c r="E109" s="115" t="s">
        <v>628</v>
      </c>
      <c r="F109" s="26">
        <f t="shared" si="19"/>
        <v>59324101</v>
      </c>
      <c r="G109" s="27">
        <f>G110+G113+G115+G117</f>
        <v>59324101</v>
      </c>
      <c r="H109" s="27">
        <f>H110+H113+H115+H117</f>
        <v>30992622</v>
      </c>
      <c r="I109" s="27">
        <f>I110+I113+I115+I117</f>
        <v>3656059</v>
      </c>
      <c r="J109" s="27">
        <f>J110+J113+J115+J117</f>
        <v>0</v>
      </c>
      <c r="K109" s="26">
        <f t="shared" si="20"/>
        <v>4486581</v>
      </c>
      <c r="L109" s="27">
        <f>L110+L113+L115+L117</f>
        <v>982626</v>
      </c>
      <c r="M109" s="27">
        <f>M110+M113+M115+M117</f>
        <v>267946</v>
      </c>
      <c r="N109" s="27">
        <f>N110+N113+N115+N117</f>
        <v>135279</v>
      </c>
      <c r="O109" s="27">
        <f>O110+O113+O115+O117</f>
        <v>3503955</v>
      </c>
      <c r="P109" s="27">
        <f>P110+P113+P115+P117</f>
        <v>3503955</v>
      </c>
      <c r="Q109" s="26">
        <f t="shared" si="21"/>
        <v>63810682</v>
      </c>
    </row>
    <row r="110" spans="1:17" ht="25.5">
      <c r="A110" s="112" t="s">
        <v>844</v>
      </c>
      <c r="B110" s="112"/>
      <c r="C110" s="112" t="s">
        <v>1023</v>
      </c>
      <c r="D110" s="112"/>
      <c r="E110" s="115" t="s">
        <v>755</v>
      </c>
      <c r="F110" s="26">
        <f t="shared" si="19"/>
        <v>1011825</v>
      </c>
      <c r="G110" s="114">
        <f>G111+G112</f>
        <v>1011825</v>
      </c>
      <c r="H110" s="114">
        <f>H111+H112</f>
        <v>0</v>
      </c>
      <c r="I110" s="114">
        <f>I111+I112</f>
        <v>0</v>
      </c>
      <c r="J110" s="114">
        <f>J111+J112</f>
        <v>0</v>
      </c>
      <c r="K110" s="26">
        <f t="shared" si="20"/>
        <v>0</v>
      </c>
      <c r="L110" s="114">
        <f>L111+L112</f>
        <v>0</v>
      </c>
      <c r="M110" s="114">
        <f>M111+M112</f>
        <v>0</v>
      </c>
      <c r="N110" s="114">
        <f>N111+N112</f>
        <v>0</v>
      </c>
      <c r="O110" s="114">
        <f>O111+O112</f>
        <v>0</v>
      </c>
      <c r="P110" s="114">
        <f>P111+P112</f>
        <v>0</v>
      </c>
      <c r="Q110" s="26">
        <f t="shared" si="21"/>
        <v>1011825</v>
      </c>
    </row>
    <row r="111" spans="1:17" ht="38.25">
      <c r="A111" s="50" t="s">
        <v>845</v>
      </c>
      <c r="B111" s="28">
        <v>130102</v>
      </c>
      <c r="C111" s="50" t="s">
        <v>1018</v>
      </c>
      <c r="D111" s="50" t="s">
        <v>585</v>
      </c>
      <c r="E111" s="48" t="s">
        <v>199</v>
      </c>
      <c r="F111" s="26">
        <f t="shared" si="19"/>
        <v>772475</v>
      </c>
      <c r="G111" s="27">
        <f>633667+138808</f>
        <v>772475</v>
      </c>
      <c r="H111" s="27"/>
      <c r="I111" s="27"/>
      <c r="J111" s="27"/>
      <c r="K111" s="26">
        <f t="shared" si="20"/>
        <v>0</v>
      </c>
      <c r="L111" s="27"/>
      <c r="M111" s="27"/>
      <c r="N111" s="27"/>
      <c r="O111" s="27"/>
      <c r="P111" s="27"/>
      <c r="Q111" s="26">
        <f t="shared" si="21"/>
        <v>772475</v>
      </c>
    </row>
    <row r="112" spans="1:17" ht="38.25">
      <c r="A112" s="50" t="s">
        <v>846</v>
      </c>
      <c r="B112" s="50" t="s">
        <v>457</v>
      </c>
      <c r="C112" s="50" t="s">
        <v>1019</v>
      </c>
      <c r="D112" s="50" t="s">
        <v>585</v>
      </c>
      <c r="E112" s="48" t="s">
        <v>458</v>
      </c>
      <c r="F112" s="26">
        <f t="shared" si="19"/>
        <v>239350</v>
      </c>
      <c r="G112" s="27">
        <f>207319+32031</f>
        <v>239350</v>
      </c>
      <c r="H112" s="27"/>
      <c r="I112" s="27"/>
      <c r="J112" s="27"/>
      <c r="K112" s="26">
        <f t="shared" si="20"/>
        <v>0</v>
      </c>
      <c r="L112" s="27"/>
      <c r="M112" s="27"/>
      <c r="N112" s="27"/>
      <c r="O112" s="27"/>
      <c r="P112" s="27"/>
      <c r="Q112" s="26">
        <f t="shared" si="21"/>
        <v>239350</v>
      </c>
    </row>
    <row r="113" spans="1:17" ht="25.5">
      <c r="A113" s="112" t="s">
        <v>1161</v>
      </c>
      <c r="B113" s="112"/>
      <c r="C113" s="112" t="s">
        <v>1162</v>
      </c>
      <c r="D113" s="112"/>
      <c r="E113" s="115" t="s">
        <v>1183</v>
      </c>
      <c r="F113" s="114">
        <f t="shared" si="19"/>
        <v>43463861</v>
      </c>
      <c r="G113" s="114">
        <f>G114</f>
        <v>43463861</v>
      </c>
      <c r="H113" s="114">
        <f>H114</f>
        <v>27503852</v>
      </c>
      <c r="I113" s="114">
        <f>I114</f>
        <v>2890433</v>
      </c>
      <c r="J113" s="114">
        <f>J114+J116</f>
        <v>0</v>
      </c>
      <c r="K113" s="114">
        <f aca="true" t="shared" si="24" ref="K113:P113">K114</f>
        <v>3864827</v>
      </c>
      <c r="L113" s="114">
        <f t="shared" si="24"/>
        <v>776526</v>
      </c>
      <c r="M113" s="114">
        <f t="shared" si="24"/>
        <v>207915</v>
      </c>
      <c r="N113" s="114">
        <f t="shared" si="24"/>
        <v>108732</v>
      </c>
      <c r="O113" s="114">
        <f t="shared" si="24"/>
        <v>3088301</v>
      </c>
      <c r="P113" s="114">
        <f t="shared" si="24"/>
        <v>3088301</v>
      </c>
      <c r="Q113" s="114">
        <f t="shared" si="21"/>
        <v>47328688</v>
      </c>
    </row>
    <row r="114" spans="1:17" ht="38.25">
      <c r="A114" s="50" t="s">
        <v>1163</v>
      </c>
      <c r="B114" s="28">
        <v>130107</v>
      </c>
      <c r="C114" s="50" t="s">
        <v>1164</v>
      </c>
      <c r="D114" s="50" t="s">
        <v>585</v>
      </c>
      <c r="E114" s="48" t="s">
        <v>390</v>
      </c>
      <c r="F114" s="26">
        <f t="shared" si="19"/>
        <v>43463861</v>
      </c>
      <c r="G114" s="27">
        <f>42165593+1719392+(34170)+(70665)-567465+(39000)-(29500)+(20006)+(12000)</f>
        <v>43463861</v>
      </c>
      <c r="H114" s="27">
        <f>27818348-314496</f>
        <v>27503852</v>
      </c>
      <c r="I114" s="27">
        <f>3072213-181780</f>
        <v>2890433</v>
      </c>
      <c r="J114" s="27"/>
      <c r="K114" s="26">
        <f t="shared" si="20"/>
        <v>3864827</v>
      </c>
      <c r="L114" s="27">
        <v>776526</v>
      </c>
      <c r="M114" s="27">
        <v>207915</v>
      </c>
      <c r="N114" s="27">
        <v>108732</v>
      </c>
      <c r="O114" s="27">
        <f>P114</f>
        <v>3088301</v>
      </c>
      <c r="P114" s="27">
        <f>1500000-217736+1473902+(22000)+(34000)-(5000)+(58500)+214641+(7994)</f>
        <v>3088301</v>
      </c>
      <c r="Q114" s="26">
        <f t="shared" si="21"/>
        <v>47328688</v>
      </c>
    </row>
    <row r="115" spans="1:17" ht="25.5">
      <c r="A115" s="112" t="s">
        <v>1165</v>
      </c>
      <c r="B115" s="112"/>
      <c r="C115" s="112" t="s">
        <v>1166</v>
      </c>
      <c r="D115" s="112" t="s">
        <v>585</v>
      </c>
      <c r="E115" s="115" t="s">
        <v>1167</v>
      </c>
      <c r="F115" s="114">
        <f>F116</f>
        <v>12990801</v>
      </c>
      <c r="G115" s="114">
        <f>G116</f>
        <v>12990801</v>
      </c>
      <c r="H115" s="114">
        <f aca="true" t="shared" si="25" ref="H115:Q115">H116</f>
        <v>2224686</v>
      </c>
      <c r="I115" s="114">
        <f t="shared" si="25"/>
        <v>623501</v>
      </c>
      <c r="J115" s="114">
        <f t="shared" si="25"/>
        <v>0</v>
      </c>
      <c r="K115" s="114">
        <f t="shared" si="25"/>
        <v>527654</v>
      </c>
      <c r="L115" s="114">
        <f t="shared" si="25"/>
        <v>112000</v>
      </c>
      <c r="M115" s="114">
        <f t="shared" si="25"/>
        <v>21004</v>
      </c>
      <c r="N115" s="114">
        <f t="shared" si="25"/>
        <v>12350</v>
      </c>
      <c r="O115" s="114">
        <f t="shared" si="25"/>
        <v>415654</v>
      </c>
      <c r="P115" s="114">
        <f t="shared" si="25"/>
        <v>415654</v>
      </c>
      <c r="Q115" s="114">
        <f t="shared" si="25"/>
        <v>13518455</v>
      </c>
    </row>
    <row r="116" spans="1:17" ht="25.5">
      <c r="A116" s="50" t="s">
        <v>1168</v>
      </c>
      <c r="B116" s="28">
        <v>130110</v>
      </c>
      <c r="C116" s="50" t="s">
        <v>1169</v>
      </c>
      <c r="D116" s="50" t="s">
        <v>585</v>
      </c>
      <c r="E116" s="48" t="s">
        <v>1170</v>
      </c>
      <c r="F116" s="26">
        <f t="shared" si="19"/>
        <v>12990801</v>
      </c>
      <c r="G116" s="27">
        <f>13780201+206443+238213+42944-1277000</f>
        <v>12990801</v>
      </c>
      <c r="H116" s="27">
        <f>2189486+35200</f>
        <v>2224686</v>
      </c>
      <c r="I116" s="27">
        <v>623501</v>
      </c>
      <c r="J116" s="27"/>
      <c r="K116" s="26">
        <f t="shared" si="20"/>
        <v>527654</v>
      </c>
      <c r="L116" s="27">
        <v>112000</v>
      </c>
      <c r="M116" s="27">
        <v>21004</v>
      </c>
      <c r="N116" s="27">
        <v>12350</v>
      </c>
      <c r="O116" s="27">
        <f>P116</f>
        <v>415654</v>
      </c>
      <c r="P116" s="27">
        <f>397654+(18000)</f>
        <v>415654</v>
      </c>
      <c r="Q116" s="26">
        <f t="shared" si="21"/>
        <v>13518455</v>
      </c>
    </row>
    <row r="117" spans="1:17" ht="25.5">
      <c r="A117" s="112" t="s">
        <v>1171</v>
      </c>
      <c r="B117" s="112"/>
      <c r="C117" s="112" t="s">
        <v>1172</v>
      </c>
      <c r="D117" s="112"/>
      <c r="E117" s="115" t="s">
        <v>1184</v>
      </c>
      <c r="F117" s="114">
        <f t="shared" si="19"/>
        <v>1857614</v>
      </c>
      <c r="G117" s="114">
        <f>G118+G119</f>
        <v>1857614</v>
      </c>
      <c r="H117" s="114">
        <f>H118+H119</f>
        <v>1264084</v>
      </c>
      <c r="I117" s="114">
        <f>I118+I119</f>
        <v>142125</v>
      </c>
      <c r="J117" s="114"/>
      <c r="K117" s="114">
        <f t="shared" si="20"/>
        <v>94100</v>
      </c>
      <c r="L117" s="114">
        <f>L118+L119</f>
        <v>94100</v>
      </c>
      <c r="M117" s="114">
        <f>M118+M119</f>
        <v>39027</v>
      </c>
      <c r="N117" s="114">
        <f>N118+N119</f>
        <v>14197</v>
      </c>
      <c r="O117" s="114">
        <f>O118+O119</f>
        <v>0</v>
      </c>
      <c r="P117" s="114">
        <f>P118+P119</f>
        <v>0</v>
      </c>
      <c r="Q117" s="114">
        <f t="shared" si="21"/>
        <v>1951714</v>
      </c>
    </row>
    <row r="118" spans="1:17" ht="57" customHeight="1">
      <c r="A118" s="50" t="s">
        <v>1176</v>
      </c>
      <c r="B118" s="50" t="s">
        <v>88</v>
      </c>
      <c r="C118" s="50" t="s">
        <v>1177</v>
      </c>
      <c r="D118" s="50" t="s">
        <v>585</v>
      </c>
      <c r="E118" s="51" t="s">
        <v>1178</v>
      </c>
      <c r="F118" s="26">
        <f>G118+J118</f>
        <v>783949</v>
      </c>
      <c r="G118" s="27">
        <f>G120</f>
        <v>783949</v>
      </c>
      <c r="H118" s="27">
        <f>H120</f>
        <v>523125</v>
      </c>
      <c r="I118" s="27">
        <f>I120</f>
        <v>142125</v>
      </c>
      <c r="J118" s="27">
        <f>J120</f>
        <v>0</v>
      </c>
      <c r="K118" s="26">
        <f>L118+O118</f>
        <v>94100</v>
      </c>
      <c r="L118" s="27">
        <f>L120</f>
        <v>94100</v>
      </c>
      <c r="M118" s="27">
        <f>M120</f>
        <v>39027</v>
      </c>
      <c r="N118" s="27">
        <f>N120</f>
        <v>14197</v>
      </c>
      <c r="O118" s="27">
        <f>O120</f>
        <v>0</v>
      </c>
      <c r="P118" s="27">
        <f>P120</f>
        <v>0</v>
      </c>
      <c r="Q118" s="26">
        <f>F118+K118</f>
        <v>878049</v>
      </c>
    </row>
    <row r="119" spans="1:17" ht="29.25" customHeight="1">
      <c r="A119" s="50" t="s">
        <v>1173</v>
      </c>
      <c r="B119" s="50" t="s">
        <v>831</v>
      </c>
      <c r="C119" s="50" t="s">
        <v>1174</v>
      </c>
      <c r="D119" s="50" t="s">
        <v>585</v>
      </c>
      <c r="E119" s="51" t="s">
        <v>1175</v>
      </c>
      <c r="F119" s="26">
        <f>G119+J119</f>
        <v>1073665</v>
      </c>
      <c r="G119" s="27">
        <v>1073665</v>
      </c>
      <c r="H119" s="27">
        <v>740959</v>
      </c>
      <c r="I119" s="27"/>
      <c r="J119" s="27"/>
      <c r="K119" s="26">
        <f>L119+O119</f>
        <v>0</v>
      </c>
      <c r="L119" s="27"/>
      <c r="M119" s="27"/>
      <c r="N119" s="27"/>
      <c r="O119" s="27"/>
      <c r="P119" s="27"/>
      <c r="Q119" s="26">
        <f>F119+K119</f>
        <v>1073665</v>
      </c>
    </row>
    <row r="120" spans="1:17" s="169" customFormat="1" ht="63.75" hidden="1">
      <c r="A120" s="170" t="s">
        <v>847</v>
      </c>
      <c r="B120" s="171" t="s">
        <v>88</v>
      </c>
      <c r="C120" s="170" t="s">
        <v>1020</v>
      </c>
      <c r="D120" s="170" t="s">
        <v>585</v>
      </c>
      <c r="E120" s="178" t="s">
        <v>200</v>
      </c>
      <c r="F120" s="173">
        <f t="shared" si="19"/>
        <v>783949</v>
      </c>
      <c r="G120" s="173">
        <v>783949</v>
      </c>
      <c r="H120" s="173">
        <v>523125</v>
      </c>
      <c r="I120" s="173">
        <v>142125</v>
      </c>
      <c r="J120" s="173"/>
      <c r="K120" s="173">
        <f t="shared" si="20"/>
        <v>94100</v>
      </c>
      <c r="L120" s="173">
        <v>94100</v>
      </c>
      <c r="M120" s="173">
        <v>39027</v>
      </c>
      <c r="N120" s="173">
        <v>14197</v>
      </c>
      <c r="O120" s="173"/>
      <c r="P120" s="173"/>
      <c r="Q120" s="173">
        <f t="shared" si="21"/>
        <v>878049</v>
      </c>
    </row>
    <row r="121" spans="1:17" ht="12.75">
      <c r="A121" s="112" t="s">
        <v>848</v>
      </c>
      <c r="B121" s="112" t="s">
        <v>629</v>
      </c>
      <c r="C121" s="112" t="s">
        <v>1021</v>
      </c>
      <c r="D121" s="112"/>
      <c r="E121" s="115" t="s">
        <v>632</v>
      </c>
      <c r="F121" s="26">
        <f t="shared" si="19"/>
        <v>0</v>
      </c>
      <c r="G121" s="27">
        <f>G122</f>
        <v>0</v>
      </c>
      <c r="H121" s="27">
        <f>H122</f>
        <v>0</v>
      </c>
      <c r="I121" s="27">
        <f>I122</f>
        <v>0</v>
      </c>
      <c r="J121" s="27">
        <f>J122</f>
        <v>0</v>
      </c>
      <c r="K121" s="26">
        <f t="shared" si="20"/>
        <v>1735883</v>
      </c>
      <c r="L121" s="27">
        <f>L122</f>
        <v>0</v>
      </c>
      <c r="M121" s="27">
        <f>M122</f>
        <v>0</v>
      </c>
      <c r="N121" s="27">
        <f>N122</f>
        <v>0</v>
      </c>
      <c r="O121" s="27">
        <f>O122</f>
        <v>1735883</v>
      </c>
      <c r="P121" s="27">
        <f>P122</f>
        <v>1735883</v>
      </c>
      <c r="Q121" s="26">
        <f t="shared" si="21"/>
        <v>1735883</v>
      </c>
    </row>
    <row r="122" spans="1:17" ht="25.5">
      <c r="A122" s="50" t="s">
        <v>849</v>
      </c>
      <c r="B122" s="28" t="s">
        <v>87</v>
      </c>
      <c r="C122" s="50" t="s">
        <v>981</v>
      </c>
      <c r="D122" s="50" t="s">
        <v>577</v>
      </c>
      <c r="E122" s="48" t="s">
        <v>174</v>
      </c>
      <c r="F122" s="26">
        <f t="shared" si="19"/>
        <v>0</v>
      </c>
      <c r="G122" s="27"/>
      <c r="H122" s="27"/>
      <c r="I122" s="27"/>
      <c r="J122" s="27"/>
      <c r="K122" s="26">
        <f t="shared" si="20"/>
        <v>1735883</v>
      </c>
      <c r="L122" s="27"/>
      <c r="M122" s="27"/>
      <c r="N122" s="27"/>
      <c r="O122" s="27">
        <f>P122</f>
        <v>1735883</v>
      </c>
      <c r="P122" s="27">
        <f>1950524-214641</f>
        <v>1735883</v>
      </c>
      <c r="Q122" s="26">
        <f t="shared" si="21"/>
        <v>1735883</v>
      </c>
    </row>
    <row r="123" spans="1:17" ht="25.5">
      <c r="A123" s="112" t="s">
        <v>850</v>
      </c>
      <c r="B123" s="112" t="s">
        <v>635</v>
      </c>
      <c r="C123" s="112" t="s">
        <v>1022</v>
      </c>
      <c r="D123" s="112"/>
      <c r="E123" s="115" t="s">
        <v>636</v>
      </c>
      <c r="F123" s="114">
        <f t="shared" si="19"/>
        <v>150000</v>
      </c>
      <c r="G123" s="114">
        <f>G124</f>
        <v>150000</v>
      </c>
      <c r="H123" s="114">
        <f>H124</f>
        <v>0</v>
      </c>
      <c r="I123" s="114">
        <f>I124</f>
        <v>0</v>
      </c>
      <c r="J123" s="114">
        <f>J124</f>
        <v>0</v>
      </c>
      <c r="K123" s="114">
        <f t="shared" si="20"/>
        <v>0</v>
      </c>
      <c r="L123" s="114">
        <f>L124</f>
        <v>0</v>
      </c>
      <c r="M123" s="114">
        <f>M124</f>
        <v>0</v>
      </c>
      <c r="N123" s="114">
        <f>N124</f>
        <v>0</v>
      </c>
      <c r="O123" s="114">
        <f>O124</f>
        <v>0</v>
      </c>
      <c r="P123" s="114">
        <f>P124</f>
        <v>0</v>
      </c>
      <c r="Q123" s="114">
        <f t="shared" si="21"/>
        <v>150000</v>
      </c>
    </row>
    <row r="124" spans="1:17" ht="51">
      <c r="A124" s="50" t="s">
        <v>1181</v>
      </c>
      <c r="B124" s="112"/>
      <c r="C124" s="112" t="s">
        <v>1014</v>
      </c>
      <c r="D124" s="112"/>
      <c r="E124" s="115" t="s">
        <v>895</v>
      </c>
      <c r="F124" s="114">
        <f>G124</f>
        <v>150000</v>
      </c>
      <c r="G124" s="114">
        <f>G125</f>
        <v>150000</v>
      </c>
      <c r="H124" s="114"/>
      <c r="I124" s="114"/>
      <c r="J124" s="114"/>
      <c r="K124" s="114"/>
      <c r="L124" s="114"/>
      <c r="M124" s="114"/>
      <c r="N124" s="114"/>
      <c r="O124" s="114"/>
      <c r="P124" s="114"/>
      <c r="Q124" s="114">
        <f t="shared" si="21"/>
        <v>150000</v>
      </c>
    </row>
    <row r="125" spans="1:17" ht="80.25" customHeight="1">
      <c r="A125" s="50" t="s">
        <v>851</v>
      </c>
      <c r="B125" s="50" t="s">
        <v>489</v>
      </c>
      <c r="C125" s="50" t="s">
        <v>1015</v>
      </c>
      <c r="D125" s="50" t="s">
        <v>589</v>
      </c>
      <c r="E125" s="79" t="s">
        <v>490</v>
      </c>
      <c r="F125" s="26">
        <f t="shared" si="19"/>
        <v>150000</v>
      </c>
      <c r="G125" s="27">
        <f>150000</f>
        <v>150000</v>
      </c>
      <c r="H125" s="27"/>
      <c r="I125" s="27"/>
      <c r="J125" s="27"/>
      <c r="K125" s="26">
        <f t="shared" si="20"/>
        <v>0</v>
      </c>
      <c r="L125" s="27"/>
      <c r="M125" s="27"/>
      <c r="N125" s="27"/>
      <c r="O125" s="27"/>
      <c r="P125" s="27"/>
      <c r="Q125" s="26">
        <f t="shared" si="21"/>
        <v>150000</v>
      </c>
    </row>
    <row r="126" spans="1:18" ht="25.5">
      <c r="A126" s="62" t="s">
        <v>203</v>
      </c>
      <c r="B126" s="62" t="s">
        <v>154</v>
      </c>
      <c r="C126" s="62" t="s">
        <v>154</v>
      </c>
      <c r="D126" s="62"/>
      <c r="E126" s="61" t="s">
        <v>798</v>
      </c>
      <c r="F126" s="39">
        <f>G126+J126</f>
        <v>994868589</v>
      </c>
      <c r="G126" s="39">
        <f>G127</f>
        <v>994868589</v>
      </c>
      <c r="H126" s="39">
        <f>H127</f>
        <v>1803481</v>
      </c>
      <c r="I126" s="39">
        <f>I127</f>
        <v>184877</v>
      </c>
      <c r="J126" s="39">
        <f>J127</f>
        <v>0</v>
      </c>
      <c r="K126" s="39">
        <f>L126+O126</f>
        <v>169218665</v>
      </c>
      <c r="L126" s="39">
        <f>L127</f>
        <v>33032267</v>
      </c>
      <c r="M126" s="39">
        <f>M127</f>
        <v>0</v>
      </c>
      <c r="N126" s="39">
        <f>N127</f>
        <v>0</v>
      </c>
      <c r="O126" s="39">
        <f>O127</f>
        <v>136186398</v>
      </c>
      <c r="P126" s="39">
        <f>P127</f>
        <v>135061592</v>
      </c>
      <c r="Q126" s="39">
        <f>F126+K126</f>
        <v>1164087254</v>
      </c>
      <c r="R126" s="164">
        <f>Q126-'[1]Місто'!$Q$124</f>
        <v>929950</v>
      </c>
    </row>
    <row r="127" spans="1:17" ht="25.5">
      <c r="A127" s="59" t="s">
        <v>204</v>
      </c>
      <c r="B127" s="31"/>
      <c r="C127" s="31"/>
      <c r="D127" s="31"/>
      <c r="E127" s="49" t="s">
        <v>798</v>
      </c>
      <c r="F127" s="26">
        <f>G127+J127</f>
        <v>994868589</v>
      </c>
      <c r="G127" s="26">
        <f>G128+G130+G159</f>
        <v>994868589</v>
      </c>
      <c r="H127" s="26">
        <f>H128+H130+H159</f>
        <v>1803481</v>
      </c>
      <c r="I127" s="26">
        <f>I128+I130+I159</f>
        <v>184877</v>
      </c>
      <c r="J127" s="26">
        <f>J128+J130+J159</f>
        <v>0</v>
      </c>
      <c r="K127" s="26">
        <f>L127+O127</f>
        <v>169218665</v>
      </c>
      <c r="L127" s="26">
        <f>L128+L130+L159</f>
        <v>33032267</v>
      </c>
      <c r="M127" s="26">
        <f>M128+M130+M159</f>
        <v>0</v>
      </c>
      <c r="N127" s="26">
        <f>N128+N130+N159</f>
        <v>0</v>
      </c>
      <c r="O127" s="26">
        <f>O128+O130+O159</f>
        <v>136186398</v>
      </c>
      <c r="P127" s="26">
        <f>P128+P130+P159</f>
        <v>135061592</v>
      </c>
      <c r="Q127" s="26">
        <f>F127+K127</f>
        <v>1164087254</v>
      </c>
    </row>
    <row r="128" spans="1:17" ht="12.75">
      <c r="A128" s="112" t="s">
        <v>678</v>
      </c>
      <c r="B128" s="111" t="s">
        <v>672</v>
      </c>
      <c r="C128" s="111" t="s">
        <v>973</v>
      </c>
      <c r="D128" s="111"/>
      <c r="E128" s="127" t="s">
        <v>674</v>
      </c>
      <c r="F128" s="26">
        <f aca="true" t="shared" si="26" ref="F128:F161">G128+J128</f>
        <v>2569498</v>
      </c>
      <c r="G128" s="123">
        <f>G129</f>
        <v>2569498</v>
      </c>
      <c r="H128" s="123">
        <f>H129</f>
        <v>1803481</v>
      </c>
      <c r="I128" s="123">
        <f>I129</f>
        <v>184877</v>
      </c>
      <c r="J128" s="123">
        <f>J129</f>
        <v>0</v>
      </c>
      <c r="K128" s="26">
        <f aca="true" t="shared" si="27" ref="K128:K161">L128+O128</f>
        <v>3275458</v>
      </c>
      <c r="L128" s="123">
        <f>L129</f>
        <v>0</v>
      </c>
      <c r="M128" s="123">
        <f>M129</f>
        <v>0</v>
      </c>
      <c r="N128" s="123">
        <f>N129</f>
        <v>0</v>
      </c>
      <c r="O128" s="123">
        <f>O129</f>
        <v>3275458</v>
      </c>
      <c r="P128" s="123">
        <f>P129</f>
        <v>3275458</v>
      </c>
      <c r="Q128" s="26">
        <f aca="true" t="shared" si="28" ref="Q128:Q161">F128+K128</f>
        <v>5844956</v>
      </c>
    </row>
    <row r="129" spans="1:17" ht="25.5">
      <c r="A129" s="50" t="s">
        <v>2</v>
      </c>
      <c r="B129" s="28" t="s">
        <v>33</v>
      </c>
      <c r="C129" s="50" t="s">
        <v>614</v>
      </c>
      <c r="D129" s="50" t="s">
        <v>575</v>
      </c>
      <c r="E129" s="51" t="s">
        <v>307</v>
      </c>
      <c r="F129" s="26">
        <f t="shared" si="26"/>
        <v>2569498</v>
      </c>
      <c r="G129" s="27">
        <v>2569498</v>
      </c>
      <c r="H129" s="27">
        <v>1803481</v>
      </c>
      <c r="I129" s="27">
        <v>184877</v>
      </c>
      <c r="J129" s="27"/>
      <c r="K129" s="26">
        <f t="shared" si="27"/>
        <v>3275458</v>
      </c>
      <c r="L129" s="27"/>
      <c r="M129" s="27"/>
      <c r="N129" s="27"/>
      <c r="O129" s="27">
        <f>P129</f>
        <v>3275458</v>
      </c>
      <c r="P129" s="27">
        <f>2595187-167863+848134</f>
        <v>3275458</v>
      </c>
      <c r="Q129" s="26">
        <f t="shared" si="28"/>
        <v>5844956</v>
      </c>
    </row>
    <row r="130" spans="1:17" ht="12.75">
      <c r="A130" s="112" t="s">
        <v>638</v>
      </c>
      <c r="B130" s="112" t="s">
        <v>637</v>
      </c>
      <c r="C130" s="112" t="s">
        <v>1024</v>
      </c>
      <c r="D130" s="112"/>
      <c r="E130" s="113" t="s">
        <v>639</v>
      </c>
      <c r="F130" s="114">
        <f t="shared" si="26"/>
        <v>992299091</v>
      </c>
      <c r="G130" s="114">
        <f>G131+G134+G138+G141+G144+G147+G150+G151+G152+G154</f>
        <v>992299091</v>
      </c>
      <c r="H130" s="114">
        <f>H131+H134+H138+H141+H144+H147+H150+H151+H152+H154</f>
        <v>0</v>
      </c>
      <c r="I130" s="114">
        <f>I131+I134+I138+I141+I144+I147+I150+I151+I152+I154</f>
        <v>0</v>
      </c>
      <c r="J130" s="114">
        <f>J131+J134+J138+J141+J144+J147+J150+J151+J152+J154</f>
        <v>0</v>
      </c>
      <c r="K130" s="114">
        <f t="shared" si="27"/>
        <v>139333654</v>
      </c>
      <c r="L130" s="114">
        <f>L131+L134+L138+L141+L144+L147+L150+L151+L152+L154</f>
        <v>33032267</v>
      </c>
      <c r="M130" s="114">
        <f>M131+M134+M138+M141+M144+M147+M150+M151+M152+M154</f>
        <v>0</v>
      </c>
      <c r="N130" s="114">
        <f>N131+N134+N138+N141+N144+N147+N150+N151+N152+N154</f>
        <v>0</v>
      </c>
      <c r="O130" s="114">
        <f>O131+O134+O138+O141+O144+O147+O150+O151+O152+O154</f>
        <v>106301387</v>
      </c>
      <c r="P130" s="114">
        <f>P131+P134+P138+P141+P144+P147+P150+P151+P152+P154</f>
        <v>105176581</v>
      </c>
      <c r="Q130" s="114">
        <f t="shared" si="28"/>
        <v>1131632745</v>
      </c>
    </row>
    <row r="131" spans="1:17" ht="25.5">
      <c r="A131" s="50" t="s">
        <v>205</v>
      </c>
      <c r="B131" s="28" t="s">
        <v>39</v>
      </c>
      <c r="C131" s="50" t="s">
        <v>1025</v>
      </c>
      <c r="D131" s="50" t="s">
        <v>590</v>
      </c>
      <c r="E131" s="48" t="s">
        <v>206</v>
      </c>
      <c r="F131" s="26">
        <f t="shared" si="26"/>
        <v>648671233</v>
      </c>
      <c r="G131" s="27">
        <f>642608030-2850672+(113610)+(110000)+8560465+(20600)-(9800)+(50000)+(20000)+(49000)</f>
        <v>648671233</v>
      </c>
      <c r="H131" s="27"/>
      <c r="I131" s="27"/>
      <c r="J131" s="27"/>
      <c r="K131" s="26">
        <f t="shared" si="27"/>
        <v>89201009</v>
      </c>
      <c r="L131" s="27">
        <v>15359005</v>
      </c>
      <c r="M131" s="27"/>
      <c r="N131" s="27"/>
      <c r="O131" s="27">
        <f>P131+473299</f>
        <v>73842004</v>
      </c>
      <c r="P131" s="27">
        <f>15900061+2390840+29716623-1051235+12915470-7684210+20000000+(54040)+171256+(20000)+(50000)-3217052+(83750)+3746047+(124800)+(118315)+(30000)</f>
        <v>73368705</v>
      </c>
      <c r="Q131" s="26">
        <f t="shared" si="28"/>
        <v>737872242</v>
      </c>
    </row>
    <row r="132" spans="1:17" s="148" customFormat="1" ht="12.75">
      <c r="A132" s="146"/>
      <c r="B132" s="146"/>
      <c r="C132" s="146"/>
      <c r="D132" s="146"/>
      <c r="E132" s="136" t="s">
        <v>897</v>
      </c>
      <c r="F132" s="142">
        <f t="shared" si="26"/>
        <v>391345356</v>
      </c>
      <c r="G132" s="147">
        <v>391345356</v>
      </c>
      <c r="H132" s="147"/>
      <c r="I132" s="147"/>
      <c r="J132" s="147"/>
      <c r="K132" s="142">
        <f t="shared" si="27"/>
        <v>0</v>
      </c>
      <c r="L132" s="147"/>
      <c r="M132" s="147"/>
      <c r="N132" s="147"/>
      <c r="O132" s="147"/>
      <c r="P132" s="147"/>
      <c r="Q132" s="142">
        <f t="shared" si="28"/>
        <v>391345356</v>
      </c>
    </row>
    <row r="133" spans="1:17" s="148" customFormat="1" ht="48" hidden="1">
      <c r="A133" s="146"/>
      <c r="B133" s="146"/>
      <c r="C133" s="146"/>
      <c r="D133" s="146"/>
      <c r="E133" s="135" t="s">
        <v>896</v>
      </c>
      <c r="F133" s="147">
        <f t="shared" si="26"/>
        <v>0</v>
      </c>
      <c r="G133" s="147"/>
      <c r="H133" s="147"/>
      <c r="I133" s="147"/>
      <c r="J133" s="147"/>
      <c r="K133" s="147">
        <f t="shared" si="27"/>
        <v>0</v>
      </c>
      <c r="L133" s="147"/>
      <c r="M133" s="147"/>
      <c r="N133" s="147"/>
      <c r="O133" s="147">
        <f>P133</f>
        <v>0</v>
      </c>
      <c r="P133" s="147"/>
      <c r="Q133" s="147">
        <f t="shared" si="28"/>
        <v>0</v>
      </c>
    </row>
    <row r="134" spans="1:17" ht="38.25">
      <c r="A134" s="50" t="s">
        <v>207</v>
      </c>
      <c r="B134" s="28" t="s">
        <v>60</v>
      </c>
      <c r="C134" s="50" t="s">
        <v>1026</v>
      </c>
      <c r="D134" s="50" t="s">
        <v>591</v>
      </c>
      <c r="E134" s="48" t="s">
        <v>410</v>
      </c>
      <c r="F134" s="26">
        <f t="shared" si="26"/>
        <v>85533790</v>
      </c>
      <c r="G134" s="27">
        <f>85433790+(100000)</f>
        <v>85533790</v>
      </c>
      <c r="H134" s="27"/>
      <c r="I134" s="27"/>
      <c r="J134" s="27"/>
      <c r="K134" s="26">
        <f t="shared" si="27"/>
        <v>17922633</v>
      </c>
      <c r="L134" s="27">
        <v>278098</v>
      </c>
      <c r="M134" s="27"/>
      <c r="N134" s="27"/>
      <c r="O134" s="27">
        <f>P134</f>
        <v>17644535</v>
      </c>
      <c r="P134" s="27">
        <f>453210+16895942+2315790-2315790+250383+(25000)+(20000)</f>
        <v>17644535</v>
      </c>
      <c r="Q134" s="26">
        <f t="shared" si="28"/>
        <v>103456423</v>
      </c>
    </row>
    <row r="135" spans="1:17" s="148" customFormat="1" ht="12.75">
      <c r="A135" s="146"/>
      <c r="B135" s="146"/>
      <c r="C135" s="146"/>
      <c r="D135" s="146"/>
      <c r="E135" s="136" t="s">
        <v>898</v>
      </c>
      <c r="F135" s="142">
        <f t="shared" si="26"/>
        <v>69555444</v>
      </c>
      <c r="G135" s="147">
        <v>69555444</v>
      </c>
      <c r="H135" s="147"/>
      <c r="I135" s="147"/>
      <c r="J135" s="147"/>
      <c r="K135" s="142">
        <f t="shared" si="27"/>
        <v>0</v>
      </c>
      <c r="L135" s="147"/>
      <c r="M135" s="147"/>
      <c r="N135" s="147"/>
      <c r="O135" s="147"/>
      <c r="P135" s="147"/>
      <c r="Q135" s="142">
        <f t="shared" si="28"/>
        <v>69555444</v>
      </c>
    </row>
    <row r="136" spans="1:17" s="148" customFormat="1" ht="48" hidden="1">
      <c r="A136" s="146"/>
      <c r="B136" s="146"/>
      <c r="C136" s="146"/>
      <c r="D136" s="146"/>
      <c r="E136" s="135" t="s">
        <v>896</v>
      </c>
      <c r="F136" s="147">
        <f>G136+J136</f>
        <v>0</v>
      </c>
      <c r="G136" s="147"/>
      <c r="H136" s="147"/>
      <c r="I136" s="147"/>
      <c r="J136" s="147"/>
      <c r="K136" s="147">
        <f>L136+O136</f>
        <v>0</v>
      </c>
      <c r="L136" s="147"/>
      <c r="M136" s="147"/>
      <c r="N136" s="147"/>
      <c r="O136" s="147"/>
      <c r="P136" s="147"/>
      <c r="Q136" s="147">
        <f>F136+K136</f>
        <v>0</v>
      </c>
    </row>
    <row r="137" spans="1:17" s="148" customFormat="1" ht="60" hidden="1">
      <c r="A137" s="146"/>
      <c r="B137" s="146"/>
      <c r="C137" s="146"/>
      <c r="D137" s="146"/>
      <c r="E137" s="136" t="s">
        <v>866</v>
      </c>
      <c r="F137" s="142">
        <f t="shared" si="26"/>
        <v>0</v>
      </c>
      <c r="G137" s="147"/>
      <c r="H137" s="147"/>
      <c r="I137" s="147"/>
      <c r="J137" s="147"/>
      <c r="K137" s="142">
        <f t="shared" si="27"/>
        <v>0</v>
      </c>
      <c r="L137" s="147"/>
      <c r="M137" s="147"/>
      <c r="N137" s="147"/>
      <c r="O137" s="147"/>
      <c r="P137" s="147"/>
      <c r="Q137" s="142">
        <f t="shared" si="28"/>
        <v>0</v>
      </c>
    </row>
    <row r="138" spans="1:17" ht="25.5">
      <c r="A138" s="50" t="s">
        <v>208</v>
      </c>
      <c r="B138" s="28" t="s">
        <v>40</v>
      </c>
      <c r="C138" s="50" t="s">
        <v>1027</v>
      </c>
      <c r="D138" s="50" t="s">
        <v>592</v>
      </c>
      <c r="E138" s="48" t="s">
        <v>209</v>
      </c>
      <c r="F138" s="26">
        <f t="shared" si="26"/>
        <v>6989843</v>
      </c>
      <c r="G138" s="27">
        <f>6984822+5021</f>
        <v>6989843</v>
      </c>
      <c r="H138" s="27"/>
      <c r="I138" s="27"/>
      <c r="J138" s="27"/>
      <c r="K138" s="26">
        <f t="shared" si="27"/>
        <v>0</v>
      </c>
      <c r="L138" s="27"/>
      <c r="M138" s="27"/>
      <c r="N138" s="27"/>
      <c r="O138" s="27"/>
      <c r="P138" s="27"/>
      <c r="Q138" s="26">
        <f t="shared" si="28"/>
        <v>6989843</v>
      </c>
    </row>
    <row r="139" spans="1:17" s="148" customFormat="1" ht="12.75">
      <c r="A139" s="146"/>
      <c r="B139" s="146"/>
      <c r="C139" s="146"/>
      <c r="D139" s="146"/>
      <c r="E139" s="136" t="s">
        <v>898</v>
      </c>
      <c r="F139" s="142">
        <f t="shared" si="26"/>
        <v>5951576</v>
      </c>
      <c r="G139" s="147">
        <v>5951576</v>
      </c>
      <c r="H139" s="147"/>
      <c r="I139" s="147"/>
      <c r="J139" s="147"/>
      <c r="K139" s="142">
        <f t="shared" si="27"/>
        <v>0</v>
      </c>
      <c r="L139" s="147"/>
      <c r="M139" s="147"/>
      <c r="N139" s="147"/>
      <c r="O139" s="147"/>
      <c r="P139" s="147"/>
      <c r="Q139" s="142">
        <f t="shared" si="28"/>
        <v>5951576</v>
      </c>
    </row>
    <row r="140" spans="1:17" s="148" customFormat="1" ht="48" hidden="1">
      <c r="A140" s="146"/>
      <c r="B140" s="146"/>
      <c r="C140" s="146"/>
      <c r="D140" s="146"/>
      <c r="E140" s="135" t="s">
        <v>896</v>
      </c>
      <c r="F140" s="147">
        <f t="shared" si="26"/>
        <v>0</v>
      </c>
      <c r="G140" s="147"/>
      <c r="H140" s="147"/>
      <c r="I140" s="147"/>
      <c r="J140" s="147"/>
      <c r="K140" s="147">
        <f t="shared" si="27"/>
        <v>0</v>
      </c>
      <c r="L140" s="147"/>
      <c r="M140" s="147"/>
      <c r="N140" s="147"/>
      <c r="O140" s="147"/>
      <c r="P140" s="147"/>
      <c r="Q140" s="147">
        <f t="shared" si="28"/>
        <v>0</v>
      </c>
    </row>
    <row r="141" spans="1:17" ht="25.5">
      <c r="A141" s="50" t="s">
        <v>210</v>
      </c>
      <c r="B141" s="28" t="s">
        <v>41</v>
      </c>
      <c r="C141" s="50" t="s">
        <v>1028</v>
      </c>
      <c r="D141" s="50" t="s">
        <v>593</v>
      </c>
      <c r="E141" s="49" t="s">
        <v>211</v>
      </c>
      <c r="F141" s="26">
        <f t="shared" si="26"/>
        <v>33626373</v>
      </c>
      <c r="G141" s="27">
        <f>33605688+(20685)</f>
        <v>33626373</v>
      </c>
      <c r="H141" s="27"/>
      <c r="I141" s="27"/>
      <c r="J141" s="27"/>
      <c r="K141" s="26">
        <f t="shared" si="27"/>
        <v>18945125</v>
      </c>
      <c r="L141" s="27">
        <v>14777005</v>
      </c>
      <c r="M141" s="27"/>
      <c r="N141" s="27"/>
      <c r="O141" s="27">
        <f>P141+651507</f>
        <v>4168120</v>
      </c>
      <c r="P141" s="27">
        <f>3221400+295213</f>
        <v>3516613</v>
      </c>
      <c r="Q141" s="26">
        <f t="shared" si="28"/>
        <v>52571498</v>
      </c>
    </row>
    <row r="142" spans="1:17" s="148" customFormat="1" ht="12.75">
      <c r="A142" s="146"/>
      <c r="B142" s="146"/>
      <c r="C142" s="146"/>
      <c r="D142" s="146"/>
      <c r="E142" s="136" t="s">
        <v>897</v>
      </c>
      <c r="F142" s="142">
        <f t="shared" si="26"/>
        <v>27926261</v>
      </c>
      <c r="G142" s="147">
        <v>27926261</v>
      </c>
      <c r="H142" s="147"/>
      <c r="I142" s="147"/>
      <c r="J142" s="147"/>
      <c r="K142" s="142">
        <f t="shared" si="27"/>
        <v>0</v>
      </c>
      <c r="L142" s="147"/>
      <c r="M142" s="147"/>
      <c r="N142" s="147"/>
      <c r="O142" s="147"/>
      <c r="P142" s="147"/>
      <c r="Q142" s="142">
        <f t="shared" si="28"/>
        <v>27926261</v>
      </c>
    </row>
    <row r="143" spans="1:17" s="148" customFormat="1" ht="48" hidden="1">
      <c r="A143" s="146"/>
      <c r="B143" s="146"/>
      <c r="C143" s="146"/>
      <c r="D143" s="146"/>
      <c r="E143" s="135" t="s">
        <v>896</v>
      </c>
      <c r="F143" s="147">
        <f>G143+J143</f>
        <v>0</v>
      </c>
      <c r="G143" s="147"/>
      <c r="H143" s="147"/>
      <c r="I143" s="147"/>
      <c r="J143" s="147"/>
      <c r="K143" s="147">
        <f>L143+O143</f>
        <v>0</v>
      </c>
      <c r="L143" s="147"/>
      <c r="M143" s="147"/>
      <c r="N143" s="147"/>
      <c r="O143" s="147"/>
      <c r="P143" s="147"/>
      <c r="Q143" s="147">
        <f>F143+K143</f>
        <v>0</v>
      </c>
    </row>
    <row r="144" spans="1:17" ht="38.25">
      <c r="A144" s="50" t="s">
        <v>212</v>
      </c>
      <c r="B144" s="28" t="s">
        <v>42</v>
      </c>
      <c r="C144" s="50" t="s">
        <v>1029</v>
      </c>
      <c r="D144" s="50" t="s">
        <v>594</v>
      </c>
      <c r="E144" s="48" t="s">
        <v>213</v>
      </c>
      <c r="F144" s="26">
        <f t="shared" si="26"/>
        <v>503982</v>
      </c>
      <c r="G144" s="27">
        <v>503982</v>
      </c>
      <c r="H144" s="27"/>
      <c r="I144" s="27"/>
      <c r="J144" s="27"/>
      <c r="K144" s="26">
        <f t="shared" si="27"/>
        <v>0</v>
      </c>
      <c r="L144" s="27"/>
      <c r="M144" s="27"/>
      <c r="N144" s="27"/>
      <c r="O144" s="27"/>
      <c r="P144" s="27"/>
      <c r="Q144" s="26">
        <f t="shared" si="28"/>
        <v>503982</v>
      </c>
    </row>
    <row r="145" spans="1:17" s="148" customFormat="1" ht="12.75">
      <c r="A145" s="146"/>
      <c r="B145" s="146"/>
      <c r="C145" s="146"/>
      <c r="D145" s="146"/>
      <c r="E145" s="136" t="s">
        <v>897</v>
      </c>
      <c r="F145" s="142">
        <f t="shared" si="26"/>
        <v>473832</v>
      </c>
      <c r="G145" s="147">
        <v>473832</v>
      </c>
      <c r="H145" s="147"/>
      <c r="I145" s="147"/>
      <c r="J145" s="147"/>
      <c r="K145" s="142">
        <f t="shared" si="27"/>
        <v>0</v>
      </c>
      <c r="L145" s="147"/>
      <c r="M145" s="147"/>
      <c r="N145" s="147"/>
      <c r="O145" s="147"/>
      <c r="P145" s="147"/>
      <c r="Q145" s="142">
        <f t="shared" si="28"/>
        <v>473832</v>
      </c>
    </row>
    <row r="146" spans="1:17" s="148" customFormat="1" ht="48" hidden="1">
      <c r="A146" s="146"/>
      <c r="B146" s="146"/>
      <c r="C146" s="146"/>
      <c r="D146" s="146"/>
      <c r="E146" s="135" t="s">
        <v>896</v>
      </c>
      <c r="F146" s="147">
        <f t="shared" si="26"/>
        <v>0</v>
      </c>
      <c r="G146" s="147"/>
      <c r="H146" s="147"/>
      <c r="I146" s="147"/>
      <c r="J146" s="147"/>
      <c r="K146" s="147">
        <f t="shared" si="27"/>
        <v>0</v>
      </c>
      <c r="L146" s="147"/>
      <c r="M146" s="147"/>
      <c r="N146" s="147"/>
      <c r="O146" s="147"/>
      <c r="P146" s="147"/>
      <c r="Q146" s="147">
        <f t="shared" si="28"/>
        <v>0</v>
      </c>
    </row>
    <row r="147" spans="1:17" ht="30" customHeight="1">
      <c r="A147" s="50" t="s">
        <v>479</v>
      </c>
      <c r="B147" s="50" t="s">
        <v>478</v>
      </c>
      <c r="C147" s="50" t="s">
        <v>1030</v>
      </c>
      <c r="D147" s="50" t="s">
        <v>595</v>
      </c>
      <c r="E147" s="48" t="s">
        <v>562</v>
      </c>
      <c r="F147" s="26">
        <f t="shared" si="26"/>
        <v>211150680</v>
      </c>
      <c r="G147" s="27">
        <f>211167770-1000000+(25000)-(10300)+(4000)+927010+(22200)+(15000)</f>
        <v>211150680</v>
      </c>
      <c r="H147" s="27"/>
      <c r="I147" s="27"/>
      <c r="J147" s="27"/>
      <c r="K147" s="26">
        <f t="shared" si="27"/>
        <v>13264887</v>
      </c>
      <c r="L147" s="27">
        <v>2618159</v>
      </c>
      <c r="M147" s="27"/>
      <c r="N147" s="27"/>
      <c r="O147" s="27">
        <f>P147</f>
        <v>10646728</v>
      </c>
      <c r="P147" s="27">
        <f>7599625+1109160+1219098+1268740+(16300)-421639+(46400)-1267431+1066475+(10000)</f>
        <v>10646728</v>
      </c>
      <c r="Q147" s="26">
        <f t="shared" si="28"/>
        <v>224415567</v>
      </c>
    </row>
    <row r="148" spans="1:17" s="148" customFormat="1" ht="12.75">
      <c r="A148" s="146"/>
      <c r="B148" s="146"/>
      <c r="C148" s="146"/>
      <c r="D148" s="146"/>
      <c r="E148" s="136" t="s">
        <v>897</v>
      </c>
      <c r="F148" s="142">
        <f t="shared" si="26"/>
        <v>146327692</v>
      </c>
      <c r="G148" s="147">
        <v>146327692</v>
      </c>
      <c r="H148" s="147"/>
      <c r="I148" s="147"/>
      <c r="J148" s="147"/>
      <c r="K148" s="142">
        <f t="shared" si="27"/>
        <v>0</v>
      </c>
      <c r="L148" s="147"/>
      <c r="M148" s="147"/>
      <c r="N148" s="147"/>
      <c r="O148" s="147"/>
      <c r="P148" s="147"/>
      <c r="Q148" s="142">
        <f t="shared" si="28"/>
        <v>146327692</v>
      </c>
    </row>
    <row r="149" spans="1:17" s="148" customFormat="1" ht="48" hidden="1">
      <c r="A149" s="146"/>
      <c r="B149" s="146"/>
      <c r="C149" s="146"/>
      <c r="D149" s="146"/>
      <c r="E149" s="135" t="s">
        <v>896</v>
      </c>
      <c r="F149" s="147">
        <f>G149+J149</f>
        <v>0</v>
      </c>
      <c r="G149" s="147"/>
      <c r="H149" s="147"/>
      <c r="I149" s="147"/>
      <c r="J149" s="147"/>
      <c r="K149" s="147">
        <f>L149+O149</f>
        <v>0</v>
      </c>
      <c r="L149" s="147"/>
      <c r="M149" s="147"/>
      <c r="N149" s="147"/>
      <c r="O149" s="147"/>
      <c r="P149" s="147"/>
      <c r="Q149" s="147">
        <f>F149+K149</f>
        <v>0</v>
      </c>
    </row>
    <row r="150" spans="1:17" ht="63.75">
      <c r="A150" s="50" t="s">
        <v>214</v>
      </c>
      <c r="B150" s="28" t="s">
        <v>44</v>
      </c>
      <c r="C150" s="50" t="s">
        <v>1031</v>
      </c>
      <c r="D150" s="50" t="s">
        <v>596</v>
      </c>
      <c r="E150" s="48" t="s">
        <v>1190</v>
      </c>
      <c r="F150" s="26">
        <f>G150+J150</f>
        <v>2930726</v>
      </c>
      <c r="G150" s="27">
        <v>2930726</v>
      </c>
      <c r="H150" s="27"/>
      <c r="I150" s="27"/>
      <c r="J150" s="27"/>
      <c r="K150" s="26">
        <f>L150+O150</f>
        <v>0</v>
      </c>
      <c r="L150" s="27"/>
      <c r="M150" s="27"/>
      <c r="N150" s="27"/>
      <c r="O150" s="27"/>
      <c r="P150" s="27"/>
      <c r="Q150" s="26">
        <f>F150+K150</f>
        <v>2930726</v>
      </c>
    </row>
    <row r="151" spans="1:17" ht="38.25" hidden="1">
      <c r="A151" s="50" t="s">
        <v>359</v>
      </c>
      <c r="B151" s="28" t="s">
        <v>45</v>
      </c>
      <c r="C151" s="50" t="s">
        <v>1032</v>
      </c>
      <c r="D151" s="28"/>
      <c r="E151" s="137" t="s">
        <v>215</v>
      </c>
      <c r="F151" s="26">
        <f>G151+J151</f>
        <v>0</v>
      </c>
      <c r="G151" s="27"/>
      <c r="H151" s="27"/>
      <c r="I151" s="27"/>
      <c r="J151" s="27"/>
      <c r="K151" s="26">
        <f>L151+O151</f>
        <v>0</v>
      </c>
      <c r="L151" s="27"/>
      <c r="M151" s="27"/>
      <c r="N151" s="27"/>
      <c r="O151" s="27"/>
      <c r="P151" s="27"/>
      <c r="Q151" s="26">
        <f>F151+K151</f>
        <v>0</v>
      </c>
    </row>
    <row r="152" spans="1:17" ht="25.5">
      <c r="A152" s="112" t="s">
        <v>359</v>
      </c>
      <c r="B152" s="112"/>
      <c r="C152" s="112" t="s">
        <v>1032</v>
      </c>
      <c r="D152" s="112"/>
      <c r="E152" s="115" t="s">
        <v>679</v>
      </c>
      <c r="F152" s="114">
        <f>G152+J152</f>
        <v>1536749</v>
      </c>
      <c r="G152" s="114">
        <f>G153</f>
        <v>1536749</v>
      </c>
      <c r="H152" s="114">
        <f>H153</f>
        <v>0</v>
      </c>
      <c r="I152" s="114">
        <f>I153</f>
        <v>0</v>
      </c>
      <c r="J152" s="114">
        <f>J153</f>
        <v>0</v>
      </c>
      <c r="K152" s="114">
        <f>K153</f>
        <v>0</v>
      </c>
      <c r="L152" s="114"/>
      <c r="M152" s="114">
        <f>M153</f>
        <v>0</v>
      </c>
      <c r="N152" s="114">
        <f>N153</f>
        <v>0</v>
      </c>
      <c r="O152" s="114">
        <f>O153</f>
        <v>0</v>
      </c>
      <c r="P152" s="114">
        <f>P153</f>
        <v>0</v>
      </c>
      <c r="Q152" s="114">
        <f>F152+K152</f>
        <v>1536749</v>
      </c>
    </row>
    <row r="153" spans="1:17" ht="42" customHeight="1">
      <c r="A153" s="50" t="s">
        <v>541</v>
      </c>
      <c r="B153" s="28" t="s">
        <v>84</v>
      </c>
      <c r="C153" s="50" t="s">
        <v>1033</v>
      </c>
      <c r="D153" s="50" t="s">
        <v>596</v>
      </c>
      <c r="E153" s="25" t="s">
        <v>102</v>
      </c>
      <c r="F153" s="26">
        <f>G153+J153</f>
        <v>1536749</v>
      </c>
      <c r="G153" s="27">
        <f>8853109-7316360</f>
        <v>1536749</v>
      </c>
      <c r="H153" s="27"/>
      <c r="I153" s="27"/>
      <c r="J153" s="27"/>
      <c r="K153" s="26">
        <f>L153+O153</f>
        <v>0</v>
      </c>
      <c r="L153" s="27"/>
      <c r="M153" s="27"/>
      <c r="N153" s="27"/>
      <c r="O153" s="27"/>
      <c r="P153" s="27"/>
      <c r="Q153" s="26">
        <f>F153+K153</f>
        <v>1536749</v>
      </c>
    </row>
    <row r="154" spans="1:17" ht="12.75">
      <c r="A154" s="85" t="s">
        <v>538</v>
      </c>
      <c r="B154" s="85" t="s">
        <v>43</v>
      </c>
      <c r="C154" s="85" t="s">
        <v>1034</v>
      </c>
      <c r="D154" s="85" t="s">
        <v>596</v>
      </c>
      <c r="E154" s="87" t="s">
        <v>451</v>
      </c>
      <c r="F154" s="88">
        <f t="shared" si="26"/>
        <v>1355715</v>
      </c>
      <c r="G154" s="88">
        <f>G155+G156</f>
        <v>1355715</v>
      </c>
      <c r="H154" s="88">
        <f>H155+H156</f>
        <v>0</v>
      </c>
      <c r="I154" s="88">
        <f>I155+I156</f>
        <v>0</v>
      </c>
      <c r="J154" s="88">
        <f>J155+J156</f>
        <v>0</v>
      </c>
      <c r="K154" s="26">
        <f t="shared" si="27"/>
        <v>0</v>
      </c>
      <c r="L154" s="88">
        <f>L155+L156</f>
        <v>0</v>
      </c>
      <c r="M154" s="88">
        <f>M155+M156</f>
        <v>0</v>
      </c>
      <c r="N154" s="88">
        <f>N155+N156</f>
        <v>0</v>
      </c>
      <c r="O154" s="88">
        <f>O155+O156</f>
        <v>0</v>
      </c>
      <c r="P154" s="88">
        <f>P155+P156</f>
        <v>0</v>
      </c>
      <c r="Q154" s="88">
        <f t="shared" si="28"/>
        <v>1355715</v>
      </c>
    </row>
    <row r="155" spans="1:17" ht="92.25" customHeight="1" hidden="1">
      <c r="A155" s="50" t="s">
        <v>539</v>
      </c>
      <c r="B155" s="28" t="s">
        <v>43</v>
      </c>
      <c r="C155" s="50" t="s">
        <v>1035</v>
      </c>
      <c r="D155" s="50" t="s">
        <v>596</v>
      </c>
      <c r="E155" s="48" t="s">
        <v>411</v>
      </c>
      <c r="F155" s="26">
        <f t="shared" si="26"/>
        <v>0</v>
      </c>
      <c r="G155" s="27"/>
      <c r="H155" s="27"/>
      <c r="I155" s="27"/>
      <c r="J155" s="27"/>
      <c r="K155" s="26">
        <f t="shared" si="27"/>
        <v>0</v>
      </c>
      <c r="L155" s="27"/>
      <c r="M155" s="27"/>
      <c r="N155" s="27"/>
      <c r="O155" s="27"/>
      <c r="P155" s="27"/>
      <c r="Q155" s="26">
        <f t="shared" si="28"/>
        <v>0</v>
      </c>
    </row>
    <row r="156" spans="1:17" s="169" customFormat="1" ht="51" hidden="1">
      <c r="A156" s="166" t="s">
        <v>540</v>
      </c>
      <c r="B156" s="166" t="s">
        <v>43</v>
      </c>
      <c r="C156" s="166" t="s">
        <v>1036</v>
      </c>
      <c r="D156" s="166" t="s">
        <v>596</v>
      </c>
      <c r="E156" s="167" t="s">
        <v>413</v>
      </c>
      <c r="F156" s="168">
        <f t="shared" si="26"/>
        <v>1355715</v>
      </c>
      <c r="G156" s="168">
        <v>1355715</v>
      </c>
      <c r="H156" s="168"/>
      <c r="I156" s="168"/>
      <c r="J156" s="168"/>
      <c r="K156" s="168">
        <f t="shared" si="27"/>
        <v>0</v>
      </c>
      <c r="L156" s="168"/>
      <c r="M156" s="168"/>
      <c r="N156" s="168"/>
      <c r="O156" s="168"/>
      <c r="P156" s="168"/>
      <c r="Q156" s="168">
        <f t="shared" si="28"/>
        <v>1355715</v>
      </c>
    </row>
    <row r="157" spans="1:17" s="148" customFormat="1" ht="12.75">
      <c r="A157" s="146"/>
      <c r="B157" s="146"/>
      <c r="C157" s="146"/>
      <c r="D157" s="146"/>
      <c r="E157" s="136" t="s">
        <v>897</v>
      </c>
      <c r="F157" s="142">
        <f t="shared" si="26"/>
        <v>1275939</v>
      </c>
      <c r="G157" s="147">
        <v>1275939</v>
      </c>
      <c r="H157" s="147"/>
      <c r="I157" s="147"/>
      <c r="J157" s="147"/>
      <c r="K157" s="142">
        <f t="shared" si="27"/>
        <v>0</v>
      </c>
      <c r="L157" s="147"/>
      <c r="M157" s="147"/>
      <c r="N157" s="147"/>
      <c r="O157" s="147"/>
      <c r="P157" s="147"/>
      <c r="Q157" s="142">
        <f t="shared" si="28"/>
        <v>1275939</v>
      </c>
    </row>
    <row r="158" spans="1:17" s="148" customFormat="1" ht="48" hidden="1">
      <c r="A158" s="146"/>
      <c r="B158" s="146"/>
      <c r="C158" s="146"/>
      <c r="D158" s="146"/>
      <c r="E158" s="135" t="s">
        <v>896</v>
      </c>
      <c r="F158" s="147">
        <f t="shared" si="26"/>
        <v>0</v>
      </c>
      <c r="G158" s="147"/>
      <c r="H158" s="147"/>
      <c r="I158" s="147"/>
      <c r="J158" s="147"/>
      <c r="K158" s="147">
        <f t="shared" si="27"/>
        <v>0</v>
      </c>
      <c r="L158" s="147"/>
      <c r="M158" s="147"/>
      <c r="N158" s="147"/>
      <c r="O158" s="147"/>
      <c r="P158" s="147"/>
      <c r="Q158" s="147">
        <f t="shared" si="28"/>
        <v>0</v>
      </c>
    </row>
    <row r="159" spans="1:17" ht="12.75">
      <c r="A159" s="112" t="s">
        <v>640</v>
      </c>
      <c r="B159" s="112" t="s">
        <v>629</v>
      </c>
      <c r="C159" s="112" t="s">
        <v>1021</v>
      </c>
      <c r="D159" s="112"/>
      <c r="E159" s="115" t="s">
        <v>631</v>
      </c>
      <c r="F159" s="26">
        <f t="shared" si="26"/>
        <v>0</v>
      </c>
      <c r="G159" s="114">
        <f>G160</f>
        <v>0</v>
      </c>
      <c r="H159" s="114">
        <f>H160</f>
        <v>0</v>
      </c>
      <c r="I159" s="114">
        <f>I160</f>
        <v>0</v>
      </c>
      <c r="J159" s="114">
        <f>J160</f>
        <v>0</v>
      </c>
      <c r="K159" s="114">
        <f t="shared" si="27"/>
        <v>26609553</v>
      </c>
      <c r="L159" s="114">
        <f>L160</f>
        <v>0</v>
      </c>
      <c r="M159" s="114">
        <f>M160</f>
        <v>0</v>
      </c>
      <c r="N159" s="114">
        <f>N160</f>
        <v>0</v>
      </c>
      <c r="O159" s="114">
        <f>O160</f>
        <v>26609553</v>
      </c>
      <c r="P159" s="114">
        <f>P160</f>
        <v>26609553</v>
      </c>
      <c r="Q159" s="114">
        <f t="shared" si="28"/>
        <v>26609553</v>
      </c>
    </row>
    <row r="160" spans="1:17" s="43" customFormat="1" ht="25.5">
      <c r="A160" s="50" t="s">
        <v>216</v>
      </c>
      <c r="B160" s="28" t="s">
        <v>87</v>
      </c>
      <c r="C160" s="50" t="s">
        <v>981</v>
      </c>
      <c r="D160" s="50" t="s">
        <v>577</v>
      </c>
      <c r="E160" s="48" t="s">
        <v>174</v>
      </c>
      <c r="F160" s="26">
        <f t="shared" si="26"/>
        <v>0</v>
      </c>
      <c r="G160" s="27"/>
      <c r="H160" s="27"/>
      <c r="I160" s="27"/>
      <c r="J160" s="27"/>
      <c r="K160" s="26">
        <f t="shared" si="27"/>
        <v>26609553</v>
      </c>
      <c r="L160" s="27"/>
      <c r="M160" s="27"/>
      <c r="N160" s="27"/>
      <c r="O160" s="27">
        <f>P160</f>
        <v>26609553</v>
      </c>
      <c r="P160" s="27">
        <f>7138160+23118915+1165000-4812522</f>
        <v>26609553</v>
      </c>
      <c r="Q160" s="26">
        <f t="shared" si="28"/>
        <v>26609553</v>
      </c>
    </row>
    <row r="161" spans="1:17" s="143" customFormat="1" ht="60" hidden="1">
      <c r="A161" s="146"/>
      <c r="B161" s="146"/>
      <c r="C161" s="146"/>
      <c r="D161" s="146"/>
      <c r="E161" s="136" t="s">
        <v>866</v>
      </c>
      <c r="F161" s="142">
        <f t="shared" si="26"/>
        <v>0</v>
      </c>
      <c r="G161" s="147"/>
      <c r="H161" s="147"/>
      <c r="I161" s="147"/>
      <c r="J161" s="147"/>
      <c r="K161" s="142">
        <f t="shared" si="27"/>
        <v>0</v>
      </c>
      <c r="L161" s="147"/>
      <c r="M161" s="147"/>
      <c r="N161" s="147"/>
      <c r="O161" s="147"/>
      <c r="P161" s="147"/>
      <c r="Q161" s="142">
        <f t="shared" si="28"/>
        <v>0</v>
      </c>
    </row>
    <row r="162" spans="1:18" s="2" customFormat="1" ht="39.75" customHeight="1">
      <c r="A162" s="62" t="s">
        <v>217</v>
      </c>
      <c r="B162" s="62" t="s">
        <v>155</v>
      </c>
      <c r="C162" s="62" t="s">
        <v>155</v>
      </c>
      <c r="D162" s="62"/>
      <c r="E162" s="61" t="s">
        <v>133</v>
      </c>
      <c r="F162" s="39">
        <f>G162+J162</f>
        <v>1555725879</v>
      </c>
      <c r="G162" s="39">
        <f>G163</f>
        <v>1555725879</v>
      </c>
      <c r="H162" s="39">
        <f>H163</f>
        <v>77387011</v>
      </c>
      <c r="I162" s="39">
        <f>I163</f>
        <v>4442362</v>
      </c>
      <c r="J162" s="39">
        <f>J163</f>
        <v>0</v>
      </c>
      <c r="K162" s="39">
        <f>L162+O162</f>
        <v>10447000</v>
      </c>
      <c r="L162" s="39">
        <f>L163</f>
        <v>160863</v>
      </c>
      <c r="M162" s="39">
        <f>M163</f>
        <v>103990</v>
      </c>
      <c r="N162" s="39">
        <f>N163</f>
        <v>0</v>
      </c>
      <c r="O162" s="39">
        <f>O163</f>
        <v>10286137</v>
      </c>
      <c r="P162" s="39">
        <f>P163</f>
        <v>10286137</v>
      </c>
      <c r="Q162" s="40">
        <f>F162+K162</f>
        <v>1566172879</v>
      </c>
      <c r="R162" s="191">
        <f>Q162-'[1]Місто'!$Q$160</f>
        <v>15025755</v>
      </c>
    </row>
    <row r="163" spans="1:17" s="2" customFormat="1" ht="25.5">
      <c r="A163" s="59" t="s">
        <v>218</v>
      </c>
      <c r="B163" s="31"/>
      <c r="C163" s="31"/>
      <c r="D163" s="31"/>
      <c r="E163" s="49" t="s">
        <v>133</v>
      </c>
      <c r="F163" s="26">
        <f>G163+J163</f>
        <v>1555725879</v>
      </c>
      <c r="G163" s="26">
        <f>G164+G166+G169+G243+G241</f>
        <v>1555725879</v>
      </c>
      <c r="H163" s="26">
        <f>H164+H166+H169+H243+H241</f>
        <v>77387011</v>
      </c>
      <c r="I163" s="26">
        <f>I164+I166+I169+I243+I241</f>
        <v>4442362</v>
      </c>
      <c r="J163" s="26">
        <f>J164+J166+J169+J243+J241</f>
        <v>0</v>
      </c>
      <c r="K163" s="26">
        <f>L163+O163</f>
        <v>10447000</v>
      </c>
      <c r="L163" s="26">
        <f>L164+L166+L169+L243+L241</f>
        <v>160863</v>
      </c>
      <c r="M163" s="26">
        <f>M164+M166+M169+M243+M241</f>
        <v>103990</v>
      </c>
      <c r="N163" s="26">
        <f>N164+N166+N169+N243+N241</f>
        <v>0</v>
      </c>
      <c r="O163" s="26">
        <f>O164+O166+O169+O243+O241</f>
        <v>10286137</v>
      </c>
      <c r="P163" s="26">
        <f>P164+P166+P169+P243+P241</f>
        <v>10286137</v>
      </c>
      <c r="Q163" s="26">
        <f>F163+K163</f>
        <v>1566172879</v>
      </c>
    </row>
    <row r="164" spans="1:17" s="2" customFormat="1" ht="12.75">
      <c r="A164" s="112" t="s">
        <v>680</v>
      </c>
      <c r="B164" s="111" t="s">
        <v>672</v>
      </c>
      <c r="C164" s="111" t="s">
        <v>973</v>
      </c>
      <c r="D164" s="111"/>
      <c r="E164" s="127" t="s">
        <v>674</v>
      </c>
      <c r="F164" s="26">
        <f aca="true" t="shared" si="29" ref="F164:F242">G164+J164</f>
        <v>68307883</v>
      </c>
      <c r="G164" s="123">
        <f>G165</f>
        <v>68307883</v>
      </c>
      <c r="H164" s="123">
        <f>H165</f>
        <v>51297302</v>
      </c>
      <c r="I164" s="123">
        <f>I165</f>
        <v>1601758</v>
      </c>
      <c r="J164" s="123">
        <f>J165</f>
        <v>0</v>
      </c>
      <c r="K164" s="26">
        <f aca="true" t="shared" si="30" ref="K164:K242">L164+O164</f>
        <v>2631517</v>
      </c>
      <c r="L164" s="123">
        <f>L165</f>
        <v>0</v>
      </c>
      <c r="M164" s="123">
        <f>M165</f>
        <v>0</v>
      </c>
      <c r="N164" s="123">
        <f>N165</f>
        <v>0</v>
      </c>
      <c r="O164" s="123">
        <f>O165</f>
        <v>2631517</v>
      </c>
      <c r="P164" s="123">
        <f>P165</f>
        <v>2631517</v>
      </c>
      <c r="Q164" s="26">
        <f aca="true" t="shared" si="31" ref="Q164:Q242">F164+K164</f>
        <v>70939400</v>
      </c>
    </row>
    <row r="165" spans="1:17" s="2" customFormat="1" ht="25.5">
      <c r="A165" s="28" t="s">
        <v>3</v>
      </c>
      <c r="B165" s="28" t="s">
        <v>33</v>
      </c>
      <c r="C165" s="50" t="s">
        <v>614</v>
      </c>
      <c r="D165" s="28" t="s">
        <v>575</v>
      </c>
      <c r="E165" s="44" t="s">
        <v>308</v>
      </c>
      <c r="F165" s="26">
        <f t="shared" si="29"/>
        <v>68307883</v>
      </c>
      <c r="G165" s="27">
        <v>68307883</v>
      </c>
      <c r="H165" s="27">
        <v>51297302</v>
      </c>
      <c r="I165" s="27">
        <v>1601758</v>
      </c>
      <c r="J165" s="27"/>
      <c r="K165" s="26">
        <f t="shared" si="30"/>
        <v>2631517</v>
      </c>
      <c r="L165" s="27"/>
      <c r="M165" s="27"/>
      <c r="N165" s="27"/>
      <c r="O165" s="27">
        <f>P165</f>
        <v>2631517</v>
      </c>
      <c r="P165" s="27">
        <f>1174764+1225873+230880</f>
        <v>2631517</v>
      </c>
      <c r="Q165" s="26">
        <f t="shared" si="31"/>
        <v>70939400</v>
      </c>
    </row>
    <row r="166" spans="1:17" s="2" customFormat="1" ht="12.75">
      <c r="A166" s="116" t="s">
        <v>641</v>
      </c>
      <c r="B166" s="117" t="s">
        <v>621</v>
      </c>
      <c r="C166" s="117" t="s">
        <v>1037</v>
      </c>
      <c r="D166" s="117"/>
      <c r="E166" s="118" t="s">
        <v>623</v>
      </c>
      <c r="F166" s="26">
        <f t="shared" si="29"/>
        <v>3129152</v>
      </c>
      <c r="G166" s="119">
        <f>G167</f>
        <v>3129152</v>
      </c>
      <c r="H166" s="119">
        <f>H167</f>
        <v>0</v>
      </c>
      <c r="I166" s="119">
        <f>I167</f>
        <v>0</v>
      </c>
      <c r="J166" s="119">
        <f>J167</f>
        <v>0</v>
      </c>
      <c r="K166" s="26">
        <f t="shared" si="30"/>
        <v>0</v>
      </c>
      <c r="L166" s="119">
        <f>L167</f>
        <v>0</v>
      </c>
      <c r="M166" s="119">
        <f>M167</f>
        <v>0</v>
      </c>
      <c r="N166" s="119">
        <f>N167</f>
        <v>0</v>
      </c>
      <c r="O166" s="119">
        <f>O167</f>
        <v>0</v>
      </c>
      <c r="P166" s="119">
        <f>P167</f>
        <v>0</v>
      </c>
      <c r="Q166" s="26">
        <f t="shared" si="31"/>
        <v>3129152</v>
      </c>
    </row>
    <row r="167" spans="1:17" s="2" customFormat="1" ht="91.5" customHeight="1">
      <c r="A167" s="7" t="s">
        <v>542</v>
      </c>
      <c r="B167" s="7" t="s">
        <v>31</v>
      </c>
      <c r="C167" s="7" t="s">
        <v>589</v>
      </c>
      <c r="D167" s="7" t="s">
        <v>579</v>
      </c>
      <c r="E167" s="10" t="s">
        <v>1180</v>
      </c>
      <c r="F167" s="26">
        <f t="shared" si="29"/>
        <v>3129152</v>
      </c>
      <c r="G167" s="18">
        <v>3129152</v>
      </c>
      <c r="H167" s="18"/>
      <c r="I167" s="18"/>
      <c r="J167" s="18"/>
      <c r="K167" s="26">
        <f t="shared" si="30"/>
        <v>0</v>
      </c>
      <c r="L167" s="18"/>
      <c r="M167" s="18"/>
      <c r="N167" s="18"/>
      <c r="O167" s="18"/>
      <c r="P167" s="18"/>
      <c r="Q167" s="26">
        <f t="shared" si="31"/>
        <v>3129152</v>
      </c>
    </row>
    <row r="168" spans="1:17" s="143" customFormat="1" ht="24">
      <c r="A168" s="138"/>
      <c r="B168" s="139"/>
      <c r="C168" s="139"/>
      <c r="D168" s="139"/>
      <c r="E168" s="140" t="s">
        <v>900</v>
      </c>
      <c r="F168" s="141">
        <f t="shared" si="29"/>
        <v>3129152</v>
      </c>
      <c r="G168" s="141">
        <v>3129152</v>
      </c>
      <c r="H168" s="141"/>
      <c r="I168" s="141"/>
      <c r="J168" s="141"/>
      <c r="K168" s="142"/>
      <c r="L168" s="141"/>
      <c r="M168" s="141"/>
      <c r="N168" s="141"/>
      <c r="O168" s="141"/>
      <c r="P168" s="141"/>
      <c r="Q168" s="141">
        <f t="shared" si="31"/>
        <v>3129152</v>
      </c>
    </row>
    <row r="169" spans="1:17" s="2" customFormat="1" ht="25.5">
      <c r="A169" s="116" t="s">
        <v>642</v>
      </c>
      <c r="B169" s="116" t="s">
        <v>624</v>
      </c>
      <c r="C169" s="116" t="s">
        <v>1105</v>
      </c>
      <c r="D169" s="116"/>
      <c r="E169" s="120" t="s">
        <v>626</v>
      </c>
      <c r="F169" s="26">
        <f>G169+J169</f>
        <v>1484288844</v>
      </c>
      <c r="G169" s="121">
        <f>G170+G184+G198+G206+G225+G227+G229+G230+G233+G234+G235+G237+G239</f>
        <v>1484288844</v>
      </c>
      <c r="H169" s="121">
        <f>H170+H184+H198+H206+H225+H227+H229+H230+H233+H234+H235+H237+H239</f>
        <v>26089709</v>
      </c>
      <c r="I169" s="121">
        <f>I170+I184+I198+I206+I225+I227+I229+I230+I233+I234+I235+I237+I239</f>
        <v>2840604</v>
      </c>
      <c r="J169" s="121">
        <f>J170+J184+J198+J206+J225+J227+J229+J230+J233+J234+J235+J237+J239</f>
        <v>0</v>
      </c>
      <c r="K169" s="26">
        <f t="shared" si="30"/>
        <v>546363</v>
      </c>
      <c r="L169" s="121">
        <f>L170+L184+L198+L206+L225+L227+L229+L230+L233+L234+L235+L237+L239</f>
        <v>160863</v>
      </c>
      <c r="M169" s="121">
        <f>M170+M184+M198+M206+M225+M227+M229+M230+M233+M234+M235+M237+M239</f>
        <v>103990</v>
      </c>
      <c r="N169" s="121">
        <f>N170+N184+N198+N206+N225+N227+N229+N230+N233+N234+N235+N237+N239</f>
        <v>0</v>
      </c>
      <c r="O169" s="121">
        <f>O170+O184+O198+O206+O225+O227+O229+O230+O233+O234+O235+O237+O239</f>
        <v>385500</v>
      </c>
      <c r="P169" s="121">
        <f>P170+P184+P198+P206+P225+P227+P229+P230+P233+P234+P235+P237+P239</f>
        <v>385500</v>
      </c>
      <c r="Q169" s="26">
        <f t="shared" si="31"/>
        <v>1484835207</v>
      </c>
    </row>
    <row r="170" spans="1:17" s="2" customFormat="1" ht="87.75" customHeight="1">
      <c r="A170" s="116" t="s">
        <v>645</v>
      </c>
      <c r="B170" s="116"/>
      <c r="C170" s="116" t="s">
        <v>1038</v>
      </c>
      <c r="D170" s="116"/>
      <c r="E170" s="120" t="s">
        <v>646</v>
      </c>
      <c r="F170" s="26">
        <f t="shared" si="29"/>
        <v>574455100</v>
      </c>
      <c r="G170" s="121">
        <f>G171+G173+G176+G178+G180+G182</f>
        <v>574455100</v>
      </c>
      <c r="H170" s="121">
        <f>H171+H173+H176+H178+H180+H182</f>
        <v>0</v>
      </c>
      <c r="I170" s="121">
        <f>I171+I173+I176+I178+I180+I182</f>
        <v>0</v>
      </c>
      <c r="J170" s="121">
        <f>J171+J173+J176+J178+J180+J182</f>
        <v>0</v>
      </c>
      <c r="K170" s="26">
        <f t="shared" si="30"/>
        <v>0</v>
      </c>
      <c r="L170" s="121">
        <f>L171+L173+L176+L178+L180+L182</f>
        <v>0</v>
      </c>
      <c r="M170" s="121">
        <f>M171+M173+M176+M178+M180+M182</f>
        <v>0</v>
      </c>
      <c r="N170" s="121">
        <f>N171+N173+N176+N178+N180+N182</f>
        <v>0</v>
      </c>
      <c r="O170" s="121">
        <f>O171+O173+O176+O178+O180+O182</f>
        <v>0</v>
      </c>
      <c r="P170" s="121">
        <f>P171+P173+P176+P178+P180+P182</f>
        <v>0</v>
      </c>
      <c r="Q170" s="26">
        <f t="shared" si="31"/>
        <v>574455100</v>
      </c>
    </row>
    <row r="171" spans="1:17" s="2" customFormat="1" ht="214.5" customHeight="1">
      <c r="A171" s="7" t="s">
        <v>335</v>
      </c>
      <c r="B171" s="7" t="s">
        <v>74</v>
      </c>
      <c r="C171" s="7" t="s">
        <v>1039</v>
      </c>
      <c r="D171" s="7" t="s">
        <v>597</v>
      </c>
      <c r="E171" s="29" t="s">
        <v>219</v>
      </c>
      <c r="F171" s="26">
        <f t="shared" si="29"/>
        <v>38481437</v>
      </c>
      <c r="G171" s="18">
        <f>42083500-3602063</f>
        <v>38481437</v>
      </c>
      <c r="H171" s="18"/>
      <c r="I171" s="18"/>
      <c r="J171" s="18"/>
      <c r="K171" s="26">
        <f t="shared" si="30"/>
        <v>0</v>
      </c>
      <c r="L171" s="18"/>
      <c r="M171" s="18"/>
      <c r="N171" s="18"/>
      <c r="O171" s="18"/>
      <c r="P171" s="18"/>
      <c r="Q171" s="26">
        <f t="shared" si="31"/>
        <v>38481437</v>
      </c>
    </row>
    <row r="172" spans="1:17" s="143" customFormat="1" ht="24">
      <c r="A172" s="138"/>
      <c r="B172" s="139"/>
      <c r="C172" s="139"/>
      <c r="D172" s="139"/>
      <c r="E172" s="140" t="s">
        <v>900</v>
      </c>
      <c r="F172" s="141">
        <f t="shared" si="29"/>
        <v>38481437</v>
      </c>
      <c r="G172" s="141">
        <f>G171</f>
        <v>38481437</v>
      </c>
      <c r="H172" s="141"/>
      <c r="I172" s="141"/>
      <c r="J172" s="141"/>
      <c r="K172" s="142"/>
      <c r="L172" s="141"/>
      <c r="M172" s="141"/>
      <c r="N172" s="141"/>
      <c r="O172" s="141"/>
      <c r="P172" s="141"/>
      <c r="Q172" s="141">
        <f t="shared" si="31"/>
        <v>38481437</v>
      </c>
    </row>
    <row r="173" spans="1:17" s="2" customFormat="1" ht="345.75" customHeight="1">
      <c r="A173" s="7" t="s">
        <v>337</v>
      </c>
      <c r="B173" s="55" t="s">
        <v>78</v>
      </c>
      <c r="C173" s="55" t="s">
        <v>1040</v>
      </c>
      <c r="D173" s="55" t="s">
        <v>597</v>
      </c>
      <c r="E173" s="56" t="s">
        <v>1185</v>
      </c>
      <c r="F173" s="26">
        <f t="shared" si="29"/>
        <v>6568627</v>
      </c>
      <c r="G173" s="57">
        <f>5325100+1243527</f>
        <v>6568627</v>
      </c>
      <c r="H173" s="57"/>
      <c r="I173" s="57"/>
      <c r="J173" s="57"/>
      <c r="K173" s="26">
        <f t="shared" si="30"/>
        <v>0</v>
      </c>
      <c r="L173" s="57"/>
      <c r="M173" s="57"/>
      <c r="N173" s="57"/>
      <c r="O173" s="57"/>
      <c r="P173" s="57"/>
      <c r="Q173" s="26">
        <f t="shared" si="31"/>
        <v>6568627</v>
      </c>
    </row>
    <row r="174" spans="1:17" s="2" customFormat="1" ht="205.5" customHeight="1">
      <c r="A174" s="53"/>
      <c r="B174" s="53"/>
      <c r="C174" s="53"/>
      <c r="D174" s="53"/>
      <c r="E174" s="58" t="s">
        <v>1186</v>
      </c>
      <c r="F174" s="26">
        <f t="shared" si="29"/>
        <v>0</v>
      </c>
      <c r="G174" s="54"/>
      <c r="H174" s="54"/>
      <c r="I174" s="54"/>
      <c r="J174" s="54"/>
      <c r="K174" s="26">
        <f t="shared" si="30"/>
        <v>0</v>
      </c>
      <c r="L174" s="54"/>
      <c r="M174" s="54"/>
      <c r="N174" s="54"/>
      <c r="O174" s="54"/>
      <c r="P174" s="54"/>
      <c r="Q174" s="26">
        <f t="shared" si="31"/>
        <v>0</v>
      </c>
    </row>
    <row r="175" spans="1:17" s="143" customFormat="1" ht="24">
      <c r="A175" s="138"/>
      <c r="B175" s="139"/>
      <c r="C175" s="139"/>
      <c r="D175" s="139"/>
      <c r="E175" s="140" t="s">
        <v>900</v>
      </c>
      <c r="F175" s="26">
        <f t="shared" si="29"/>
        <v>6568627</v>
      </c>
      <c r="G175" s="141">
        <f>G173</f>
        <v>6568627</v>
      </c>
      <c r="H175" s="141"/>
      <c r="I175" s="141"/>
      <c r="J175" s="141"/>
      <c r="K175" s="142"/>
      <c r="L175" s="141"/>
      <c r="M175" s="141"/>
      <c r="N175" s="141"/>
      <c r="O175" s="141"/>
      <c r="P175" s="141"/>
      <c r="Q175" s="26">
        <f t="shared" si="31"/>
        <v>6568627</v>
      </c>
    </row>
    <row r="176" spans="1:17" s="2" customFormat="1" ht="95.25" customHeight="1">
      <c r="A176" s="7" t="s">
        <v>338</v>
      </c>
      <c r="B176" s="7" t="s">
        <v>80</v>
      </c>
      <c r="C176" s="7" t="s">
        <v>1041</v>
      </c>
      <c r="D176" s="7" t="s">
        <v>598</v>
      </c>
      <c r="E176" s="30" t="s">
        <v>220</v>
      </c>
      <c r="F176" s="26">
        <f t="shared" si="29"/>
        <v>2864714</v>
      </c>
      <c r="G176" s="18">
        <f>2464000+400714</f>
        <v>2864714</v>
      </c>
      <c r="H176" s="18"/>
      <c r="I176" s="18"/>
      <c r="J176" s="18"/>
      <c r="K176" s="26">
        <f t="shared" si="30"/>
        <v>0</v>
      </c>
      <c r="L176" s="18"/>
      <c r="M176" s="18"/>
      <c r="N176" s="18"/>
      <c r="O176" s="18"/>
      <c r="P176" s="18"/>
      <c r="Q176" s="26">
        <f t="shared" si="31"/>
        <v>2864714</v>
      </c>
    </row>
    <row r="177" spans="1:17" s="143" customFormat="1" ht="24">
      <c r="A177" s="138"/>
      <c r="B177" s="139"/>
      <c r="C177" s="139"/>
      <c r="D177" s="139"/>
      <c r="E177" s="140" t="s">
        <v>900</v>
      </c>
      <c r="F177" s="141">
        <f t="shared" si="29"/>
        <v>2864714</v>
      </c>
      <c r="G177" s="141">
        <f>G176</f>
        <v>2864714</v>
      </c>
      <c r="H177" s="141"/>
      <c r="I177" s="141"/>
      <c r="J177" s="141"/>
      <c r="K177" s="142"/>
      <c r="L177" s="141"/>
      <c r="M177" s="141"/>
      <c r="N177" s="141"/>
      <c r="O177" s="141"/>
      <c r="P177" s="141"/>
      <c r="Q177" s="141">
        <f t="shared" si="31"/>
        <v>2864714</v>
      </c>
    </row>
    <row r="178" spans="1:17" s="2" customFormat="1" ht="25.5">
      <c r="A178" s="7" t="s">
        <v>342</v>
      </c>
      <c r="B178" s="7" t="s">
        <v>72</v>
      </c>
      <c r="C178" s="7" t="s">
        <v>1042</v>
      </c>
      <c r="D178" s="7" t="s">
        <v>598</v>
      </c>
      <c r="E178" s="10" t="s">
        <v>492</v>
      </c>
      <c r="F178" s="26">
        <f t="shared" si="29"/>
        <v>2918861</v>
      </c>
      <c r="G178" s="18">
        <f>2684000+234861</f>
        <v>2918861</v>
      </c>
      <c r="H178" s="18"/>
      <c r="I178" s="18"/>
      <c r="J178" s="18"/>
      <c r="K178" s="26">
        <f t="shared" si="30"/>
        <v>0</v>
      </c>
      <c r="L178" s="18"/>
      <c r="M178" s="18"/>
      <c r="N178" s="18"/>
      <c r="O178" s="18"/>
      <c r="P178" s="18"/>
      <c r="Q178" s="26">
        <f t="shared" si="31"/>
        <v>2918861</v>
      </c>
    </row>
    <row r="179" spans="1:17" s="143" customFormat="1" ht="24">
      <c r="A179" s="138"/>
      <c r="B179" s="139"/>
      <c r="C179" s="139"/>
      <c r="D179" s="139"/>
      <c r="E179" s="140" t="s">
        <v>900</v>
      </c>
      <c r="F179" s="141">
        <f t="shared" si="29"/>
        <v>2918861</v>
      </c>
      <c r="G179" s="141">
        <f>G178</f>
        <v>2918861</v>
      </c>
      <c r="H179" s="141"/>
      <c r="I179" s="141"/>
      <c r="J179" s="141"/>
      <c r="K179" s="142"/>
      <c r="L179" s="141"/>
      <c r="M179" s="141"/>
      <c r="N179" s="141"/>
      <c r="O179" s="141"/>
      <c r="P179" s="141"/>
      <c r="Q179" s="141">
        <f t="shared" si="31"/>
        <v>2918861</v>
      </c>
    </row>
    <row r="180" spans="1:17" ht="38.25">
      <c r="A180" s="7" t="s">
        <v>351</v>
      </c>
      <c r="B180" s="7" t="s">
        <v>62</v>
      </c>
      <c r="C180" s="7" t="s">
        <v>1043</v>
      </c>
      <c r="D180" s="7" t="s">
        <v>589</v>
      </c>
      <c r="E180" s="46" t="s">
        <v>230</v>
      </c>
      <c r="F180" s="26">
        <f t="shared" si="29"/>
        <v>523621461</v>
      </c>
      <c r="G180" s="18">
        <f>498788000+24833461</f>
        <v>523621461</v>
      </c>
      <c r="H180" s="18"/>
      <c r="I180" s="18"/>
      <c r="J180" s="18"/>
      <c r="K180" s="26">
        <f t="shared" si="30"/>
        <v>0</v>
      </c>
      <c r="L180" s="18"/>
      <c r="M180" s="18"/>
      <c r="N180" s="18"/>
      <c r="O180" s="18"/>
      <c r="P180" s="18"/>
      <c r="Q180" s="26">
        <f t="shared" si="31"/>
        <v>523621461</v>
      </c>
    </row>
    <row r="181" spans="1:17" s="143" customFormat="1" ht="24">
      <c r="A181" s="138"/>
      <c r="B181" s="139"/>
      <c r="C181" s="139"/>
      <c r="D181" s="139"/>
      <c r="E181" s="140" t="s">
        <v>900</v>
      </c>
      <c r="F181" s="141">
        <f t="shared" si="29"/>
        <v>523621461</v>
      </c>
      <c r="G181" s="141">
        <f>G180</f>
        <v>523621461</v>
      </c>
      <c r="H181" s="141"/>
      <c r="I181" s="141"/>
      <c r="J181" s="141"/>
      <c r="K181" s="142"/>
      <c r="L181" s="141"/>
      <c r="M181" s="141"/>
      <c r="N181" s="141"/>
      <c r="O181" s="141"/>
      <c r="P181" s="141"/>
      <c r="Q181" s="141">
        <f t="shared" si="31"/>
        <v>523621461</v>
      </c>
    </row>
    <row r="182" spans="1:17" ht="63.75" hidden="1">
      <c r="A182" s="7" t="s">
        <v>543</v>
      </c>
      <c r="B182" s="7" t="s">
        <v>511</v>
      </c>
      <c r="C182" s="7" t="s">
        <v>1044</v>
      </c>
      <c r="D182" s="7" t="s">
        <v>589</v>
      </c>
      <c r="E182" s="3" t="s">
        <v>512</v>
      </c>
      <c r="F182" s="26">
        <f t="shared" si="29"/>
        <v>0</v>
      </c>
      <c r="G182" s="18"/>
      <c r="H182" s="18"/>
      <c r="I182" s="18"/>
      <c r="J182" s="18"/>
      <c r="K182" s="26">
        <f t="shared" si="30"/>
        <v>0</v>
      </c>
      <c r="L182" s="18"/>
      <c r="M182" s="18"/>
      <c r="N182" s="18"/>
      <c r="O182" s="18"/>
      <c r="P182" s="18"/>
      <c r="Q182" s="26">
        <f t="shared" si="31"/>
        <v>0</v>
      </c>
    </row>
    <row r="183" spans="1:17" s="143" customFormat="1" ht="24" hidden="1">
      <c r="A183" s="138"/>
      <c r="B183" s="139"/>
      <c r="C183" s="139"/>
      <c r="D183" s="139"/>
      <c r="E183" s="140" t="s">
        <v>900</v>
      </c>
      <c r="F183" s="142"/>
      <c r="G183" s="141"/>
      <c r="H183" s="141"/>
      <c r="I183" s="141"/>
      <c r="J183" s="141"/>
      <c r="K183" s="142"/>
      <c r="L183" s="141"/>
      <c r="M183" s="141"/>
      <c r="N183" s="141"/>
      <c r="O183" s="141"/>
      <c r="P183" s="141"/>
      <c r="Q183" s="142"/>
    </row>
    <row r="184" spans="1:17" ht="51">
      <c r="A184" s="7" t="s">
        <v>648</v>
      </c>
      <c r="B184" s="116"/>
      <c r="C184" s="116" t="s">
        <v>1045</v>
      </c>
      <c r="D184" s="116"/>
      <c r="E184" s="124" t="s">
        <v>1191</v>
      </c>
      <c r="F184" s="26">
        <f t="shared" si="29"/>
        <v>1228800</v>
      </c>
      <c r="G184" s="121">
        <f>G185+G187+G190+G192+G194+G196</f>
        <v>1228800</v>
      </c>
      <c r="H184" s="121">
        <f>H185+H187+H190+H192+H194+H196</f>
        <v>0</v>
      </c>
      <c r="I184" s="121">
        <f>I185+I187+I190+I192+I194+I196</f>
        <v>0</v>
      </c>
      <c r="J184" s="121">
        <f>J185+J187+J190+J192+J194+J196</f>
        <v>0</v>
      </c>
      <c r="K184" s="26">
        <f t="shared" si="30"/>
        <v>0</v>
      </c>
      <c r="L184" s="121">
        <f>L185+L187+L190+L192+L194+L196</f>
        <v>0</v>
      </c>
      <c r="M184" s="121">
        <f>M185+M187+M190+M192+M194+M196</f>
        <v>0</v>
      </c>
      <c r="N184" s="121">
        <f>N185+N187+N190+N192+N194+N196</f>
        <v>0</v>
      </c>
      <c r="O184" s="121">
        <f>O185+O187+O190+O192+O194+O196</f>
        <v>0</v>
      </c>
      <c r="P184" s="121">
        <f>P185+P187+P190+P192+P194+P196</f>
        <v>0</v>
      </c>
      <c r="Q184" s="26">
        <f t="shared" si="31"/>
        <v>1228800</v>
      </c>
    </row>
    <row r="185" spans="1:17" s="2" customFormat="1" ht="180.75" customHeight="1">
      <c r="A185" s="7" t="s">
        <v>360</v>
      </c>
      <c r="B185" s="7" t="s">
        <v>76</v>
      </c>
      <c r="C185" s="7" t="s">
        <v>1046</v>
      </c>
      <c r="D185" s="7" t="s">
        <v>597</v>
      </c>
      <c r="E185" s="29" t="s">
        <v>762</v>
      </c>
      <c r="F185" s="26">
        <f t="shared" si="29"/>
        <v>201254</v>
      </c>
      <c r="G185" s="18">
        <v>201254</v>
      </c>
      <c r="H185" s="18"/>
      <c r="I185" s="18"/>
      <c r="J185" s="18"/>
      <c r="K185" s="26">
        <f t="shared" si="30"/>
        <v>0</v>
      </c>
      <c r="L185" s="18"/>
      <c r="M185" s="18"/>
      <c r="N185" s="18"/>
      <c r="O185" s="18"/>
      <c r="P185" s="18"/>
      <c r="Q185" s="26">
        <f t="shared" si="31"/>
        <v>201254</v>
      </c>
    </row>
    <row r="186" spans="1:17" s="143" customFormat="1" ht="24">
      <c r="A186" s="138"/>
      <c r="B186" s="139"/>
      <c r="C186" s="139"/>
      <c r="D186" s="139"/>
      <c r="E186" s="140" t="s">
        <v>900</v>
      </c>
      <c r="F186" s="141">
        <f t="shared" si="29"/>
        <v>201254</v>
      </c>
      <c r="G186" s="141">
        <f>G185</f>
        <v>201254</v>
      </c>
      <c r="H186" s="141"/>
      <c r="I186" s="141"/>
      <c r="J186" s="141"/>
      <c r="K186" s="142"/>
      <c r="L186" s="141"/>
      <c r="M186" s="141"/>
      <c r="N186" s="141"/>
      <c r="O186" s="141"/>
      <c r="P186" s="141"/>
      <c r="Q186" s="141">
        <f t="shared" si="31"/>
        <v>201254</v>
      </c>
    </row>
    <row r="187" spans="1:17" s="2" customFormat="1" ht="315" customHeight="1">
      <c r="A187" s="55" t="s">
        <v>564</v>
      </c>
      <c r="B187" s="55" t="s">
        <v>79</v>
      </c>
      <c r="C187" s="55" t="s">
        <v>1047</v>
      </c>
      <c r="D187" s="55" t="s">
        <v>597</v>
      </c>
      <c r="E187" s="56" t="s">
        <v>1187</v>
      </c>
      <c r="F187" s="144">
        <f t="shared" si="29"/>
        <v>4000</v>
      </c>
      <c r="G187" s="57">
        <v>4000</v>
      </c>
      <c r="H187" s="57"/>
      <c r="I187" s="57"/>
      <c r="J187" s="57"/>
      <c r="K187" s="144">
        <f t="shared" si="30"/>
        <v>0</v>
      </c>
      <c r="L187" s="57"/>
      <c r="M187" s="57"/>
      <c r="N187" s="57"/>
      <c r="O187" s="57"/>
      <c r="P187" s="57"/>
      <c r="Q187" s="144">
        <f t="shared" si="31"/>
        <v>4000</v>
      </c>
    </row>
    <row r="188" spans="1:17" s="2" customFormat="1" ht="48" customHeight="1">
      <c r="A188" s="53"/>
      <c r="B188" s="53"/>
      <c r="C188" s="53"/>
      <c r="D188" s="53"/>
      <c r="E188" s="58" t="s">
        <v>1188</v>
      </c>
      <c r="F188" s="145">
        <f t="shared" si="29"/>
        <v>0</v>
      </c>
      <c r="G188" s="54"/>
      <c r="H188" s="54"/>
      <c r="I188" s="54"/>
      <c r="J188" s="54"/>
      <c r="K188" s="145">
        <f t="shared" si="30"/>
        <v>0</v>
      </c>
      <c r="L188" s="54"/>
      <c r="M188" s="54"/>
      <c r="N188" s="54"/>
      <c r="O188" s="54"/>
      <c r="P188" s="54"/>
      <c r="Q188" s="145">
        <f t="shared" si="31"/>
        <v>0</v>
      </c>
    </row>
    <row r="189" spans="1:17" s="143" customFormat="1" ht="24">
      <c r="A189" s="138"/>
      <c r="B189" s="139"/>
      <c r="C189" s="139"/>
      <c r="D189" s="139"/>
      <c r="E189" s="140" t="s">
        <v>900</v>
      </c>
      <c r="F189" s="141">
        <f t="shared" si="29"/>
        <v>4000</v>
      </c>
      <c r="G189" s="141">
        <v>4000</v>
      </c>
      <c r="H189" s="141"/>
      <c r="I189" s="141"/>
      <c r="J189" s="141"/>
      <c r="K189" s="142"/>
      <c r="L189" s="141"/>
      <c r="M189" s="141"/>
      <c r="N189" s="141"/>
      <c r="O189" s="141"/>
      <c r="P189" s="141"/>
      <c r="Q189" s="141">
        <f t="shared" si="31"/>
        <v>4000</v>
      </c>
    </row>
    <row r="190" spans="1:17" s="2" customFormat="1" ht="96">
      <c r="A190" s="7" t="s">
        <v>339</v>
      </c>
      <c r="B190" s="7" t="s">
        <v>81</v>
      </c>
      <c r="C190" s="7" t="s">
        <v>1048</v>
      </c>
      <c r="D190" s="7" t="s">
        <v>598</v>
      </c>
      <c r="E190" s="30" t="s">
        <v>221</v>
      </c>
      <c r="F190" s="26">
        <f t="shared" si="29"/>
        <v>8000</v>
      </c>
      <c r="G190" s="18">
        <v>8000</v>
      </c>
      <c r="H190" s="18"/>
      <c r="I190" s="18"/>
      <c r="J190" s="18"/>
      <c r="K190" s="26">
        <f t="shared" si="30"/>
        <v>0</v>
      </c>
      <c r="L190" s="18"/>
      <c r="M190" s="18"/>
      <c r="N190" s="18"/>
      <c r="O190" s="18"/>
      <c r="P190" s="18"/>
      <c r="Q190" s="26">
        <f t="shared" si="31"/>
        <v>8000</v>
      </c>
    </row>
    <row r="191" spans="1:17" s="143" customFormat="1" ht="24">
      <c r="A191" s="138"/>
      <c r="B191" s="139"/>
      <c r="C191" s="139"/>
      <c r="D191" s="139"/>
      <c r="E191" s="140" t="s">
        <v>900</v>
      </c>
      <c r="F191" s="141">
        <f t="shared" si="29"/>
        <v>8000</v>
      </c>
      <c r="G191" s="141">
        <f>G190</f>
        <v>8000</v>
      </c>
      <c r="H191" s="141"/>
      <c r="I191" s="141"/>
      <c r="J191" s="141"/>
      <c r="K191" s="142"/>
      <c r="L191" s="141"/>
      <c r="M191" s="141"/>
      <c r="N191" s="141"/>
      <c r="O191" s="141"/>
      <c r="P191" s="141"/>
      <c r="Q191" s="141">
        <f t="shared" si="31"/>
        <v>8000</v>
      </c>
    </row>
    <row r="192" spans="1:17" s="2" customFormat="1" ht="38.25">
      <c r="A192" s="7" t="s">
        <v>343</v>
      </c>
      <c r="B192" s="7" t="s">
        <v>73</v>
      </c>
      <c r="C192" s="7" t="s">
        <v>1049</v>
      </c>
      <c r="D192" s="7" t="s">
        <v>598</v>
      </c>
      <c r="E192" s="10" t="s">
        <v>0</v>
      </c>
      <c r="F192" s="26">
        <f t="shared" si="29"/>
        <v>51246</v>
      </c>
      <c r="G192" s="18">
        <v>51246</v>
      </c>
      <c r="H192" s="18"/>
      <c r="I192" s="18"/>
      <c r="J192" s="18"/>
      <c r="K192" s="26">
        <f t="shared" si="30"/>
        <v>0</v>
      </c>
      <c r="L192" s="18"/>
      <c r="M192" s="18"/>
      <c r="N192" s="18"/>
      <c r="O192" s="18"/>
      <c r="P192" s="18"/>
      <c r="Q192" s="26">
        <f t="shared" si="31"/>
        <v>51246</v>
      </c>
    </row>
    <row r="193" spans="1:17" s="143" customFormat="1" ht="24">
      <c r="A193" s="138"/>
      <c r="B193" s="139"/>
      <c r="C193" s="139"/>
      <c r="D193" s="139"/>
      <c r="E193" s="140" t="s">
        <v>900</v>
      </c>
      <c r="F193" s="141">
        <f t="shared" si="29"/>
        <v>51246</v>
      </c>
      <c r="G193" s="141">
        <f>G192</f>
        <v>51246</v>
      </c>
      <c r="H193" s="141"/>
      <c r="I193" s="141"/>
      <c r="J193" s="141"/>
      <c r="K193" s="142"/>
      <c r="L193" s="141"/>
      <c r="M193" s="141"/>
      <c r="N193" s="141"/>
      <c r="O193" s="141"/>
      <c r="P193" s="141"/>
      <c r="Q193" s="141">
        <f t="shared" si="31"/>
        <v>51246</v>
      </c>
    </row>
    <row r="194" spans="1:17" ht="51">
      <c r="A194" s="7" t="s">
        <v>352</v>
      </c>
      <c r="B194" s="7" t="s">
        <v>107</v>
      </c>
      <c r="C194" s="7" t="s">
        <v>1050</v>
      </c>
      <c r="D194" s="7" t="s">
        <v>589</v>
      </c>
      <c r="E194" s="3" t="s">
        <v>231</v>
      </c>
      <c r="F194" s="26">
        <f t="shared" si="29"/>
        <v>964300</v>
      </c>
      <c r="G194" s="18">
        <v>964300</v>
      </c>
      <c r="H194" s="18"/>
      <c r="I194" s="18"/>
      <c r="J194" s="18"/>
      <c r="K194" s="26">
        <f t="shared" si="30"/>
        <v>0</v>
      </c>
      <c r="L194" s="18"/>
      <c r="M194" s="18"/>
      <c r="N194" s="18"/>
      <c r="O194" s="18"/>
      <c r="P194" s="18"/>
      <c r="Q194" s="26">
        <f t="shared" si="31"/>
        <v>964300</v>
      </c>
    </row>
    <row r="195" spans="1:17" s="143" customFormat="1" ht="24">
      <c r="A195" s="138"/>
      <c r="B195" s="139"/>
      <c r="C195" s="139"/>
      <c r="D195" s="139"/>
      <c r="E195" s="140" t="s">
        <v>900</v>
      </c>
      <c r="F195" s="141">
        <f t="shared" si="29"/>
        <v>964300</v>
      </c>
      <c r="G195" s="141">
        <f>G194</f>
        <v>964300</v>
      </c>
      <c r="H195" s="141"/>
      <c r="I195" s="141"/>
      <c r="J195" s="141"/>
      <c r="K195" s="142"/>
      <c r="L195" s="141"/>
      <c r="M195" s="141"/>
      <c r="N195" s="141"/>
      <c r="O195" s="141"/>
      <c r="P195" s="141"/>
      <c r="Q195" s="141">
        <f t="shared" si="31"/>
        <v>964300</v>
      </c>
    </row>
    <row r="196" spans="1:17" ht="76.5" hidden="1">
      <c r="A196" s="7" t="s">
        <v>353</v>
      </c>
      <c r="B196" s="7" t="s">
        <v>109</v>
      </c>
      <c r="C196" s="7" t="s">
        <v>1051</v>
      </c>
      <c r="D196" s="7" t="s">
        <v>589</v>
      </c>
      <c r="E196" s="3" t="s">
        <v>71</v>
      </c>
      <c r="F196" s="26">
        <f t="shared" si="29"/>
        <v>0</v>
      </c>
      <c r="G196" s="18"/>
      <c r="H196" s="18"/>
      <c r="I196" s="18"/>
      <c r="J196" s="18"/>
      <c r="K196" s="26">
        <f t="shared" si="30"/>
        <v>0</v>
      </c>
      <c r="L196" s="18"/>
      <c r="M196" s="18"/>
      <c r="N196" s="18"/>
      <c r="O196" s="18"/>
      <c r="P196" s="18"/>
      <c r="Q196" s="26">
        <f t="shared" si="31"/>
        <v>0</v>
      </c>
    </row>
    <row r="197" spans="1:17" s="143" customFormat="1" ht="24" hidden="1">
      <c r="A197" s="138"/>
      <c r="B197" s="139"/>
      <c r="C197" s="139"/>
      <c r="D197" s="139"/>
      <c r="E197" s="140" t="s">
        <v>900</v>
      </c>
      <c r="F197" s="142"/>
      <c r="G197" s="141"/>
      <c r="H197" s="141"/>
      <c r="I197" s="141"/>
      <c r="J197" s="141"/>
      <c r="K197" s="142"/>
      <c r="L197" s="141"/>
      <c r="M197" s="141"/>
      <c r="N197" s="141"/>
      <c r="O197" s="141"/>
      <c r="P197" s="141"/>
      <c r="Q197" s="142"/>
    </row>
    <row r="198" spans="1:17" ht="231.75" customHeight="1">
      <c r="A198" s="7" t="s">
        <v>647</v>
      </c>
      <c r="B198" s="116"/>
      <c r="C198" s="116" t="s">
        <v>1052</v>
      </c>
      <c r="D198" s="116"/>
      <c r="E198" s="124" t="s">
        <v>899</v>
      </c>
      <c r="F198" s="26">
        <f t="shared" si="29"/>
        <v>69462336</v>
      </c>
      <c r="G198" s="121">
        <f>G199+G200+G201+G202+G203+G204+G205</f>
        <v>69462336</v>
      </c>
      <c r="H198" s="121">
        <f>H199+H200+H201+H202+H203+H204+H205</f>
        <v>0</v>
      </c>
      <c r="I198" s="121">
        <f>I199+I200+I201+I202+I203+I204+I205</f>
        <v>0</v>
      </c>
      <c r="J198" s="121">
        <f>J199+J200+J201+J202+J203+J204+J205</f>
        <v>0</v>
      </c>
      <c r="K198" s="26">
        <f t="shared" si="30"/>
        <v>80000</v>
      </c>
      <c r="L198" s="121">
        <f>L199+L200+L201+L202+L203+L204+L205</f>
        <v>0</v>
      </c>
      <c r="M198" s="121">
        <f>M199+M200+M201+M202+M203+M204+M205</f>
        <v>0</v>
      </c>
      <c r="N198" s="121">
        <f>N199+N200+N201+N202+N203+N204+N205</f>
        <v>0</v>
      </c>
      <c r="O198" s="121">
        <f>O199+O200+O201+O202+O203+O204+O205</f>
        <v>80000</v>
      </c>
      <c r="P198" s="121">
        <f>P199+P200+P201+P202+P203+P204+P205</f>
        <v>80000</v>
      </c>
      <c r="Q198" s="26">
        <f t="shared" si="31"/>
        <v>69542336</v>
      </c>
    </row>
    <row r="199" spans="1:17" s="2" customFormat="1" ht="216.75" customHeight="1">
      <c r="A199" s="7" t="s">
        <v>336</v>
      </c>
      <c r="B199" s="7" t="s">
        <v>77</v>
      </c>
      <c r="C199" s="7" t="s">
        <v>1053</v>
      </c>
      <c r="D199" s="7" t="s">
        <v>597</v>
      </c>
      <c r="E199" s="29" t="s">
        <v>563</v>
      </c>
      <c r="F199" s="26">
        <f t="shared" si="29"/>
        <v>2511906</v>
      </c>
      <c r="G199" s="18">
        <v>2511906</v>
      </c>
      <c r="H199" s="18"/>
      <c r="I199" s="18"/>
      <c r="J199" s="18"/>
      <c r="K199" s="26">
        <f t="shared" si="30"/>
        <v>80000</v>
      </c>
      <c r="L199" s="18"/>
      <c r="M199" s="18"/>
      <c r="N199" s="18"/>
      <c r="O199" s="18">
        <f>P199</f>
        <v>80000</v>
      </c>
      <c r="P199" s="18">
        <v>80000</v>
      </c>
      <c r="Q199" s="26">
        <f t="shared" si="31"/>
        <v>2591906</v>
      </c>
    </row>
    <row r="200" spans="1:17" s="2" customFormat="1" ht="83.25" customHeight="1">
      <c r="A200" s="7" t="s">
        <v>340</v>
      </c>
      <c r="B200" s="7" t="s">
        <v>82</v>
      </c>
      <c r="C200" s="7" t="s">
        <v>1054</v>
      </c>
      <c r="D200" s="7" t="s">
        <v>598</v>
      </c>
      <c r="E200" s="30" t="s">
        <v>222</v>
      </c>
      <c r="F200" s="26">
        <f t="shared" si="29"/>
        <v>81291</v>
      </c>
      <c r="G200" s="18">
        <v>81291</v>
      </c>
      <c r="H200" s="18"/>
      <c r="I200" s="18"/>
      <c r="J200" s="18"/>
      <c r="K200" s="26">
        <f t="shared" si="30"/>
        <v>0</v>
      </c>
      <c r="L200" s="18"/>
      <c r="M200" s="18"/>
      <c r="N200" s="18"/>
      <c r="O200" s="18"/>
      <c r="P200" s="18"/>
      <c r="Q200" s="26">
        <f t="shared" si="31"/>
        <v>81291</v>
      </c>
    </row>
    <row r="201" spans="1:17" s="2" customFormat="1" ht="25.5">
      <c r="A201" s="7" t="s">
        <v>341</v>
      </c>
      <c r="B201" s="7" t="s">
        <v>30</v>
      </c>
      <c r="C201" s="7" t="s">
        <v>1055</v>
      </c>
      <c r="D201" s="7" t="s">
        <v>598</v>
      </c>
      <c r="E201" s="10" t="s">
        <v>565</v>
      </c>
      <c r="F201" s="26">
        <f t="shared" si="29"/>
        <v>3924640</v>
      </c>
      <c r="G201" s="18">
        <v>3924640</v>
      </c>
      <c r="H201" s="18"/>
      <c r="I201" s="18"/>
      <c r="J201" s="18"/>
      <c r="K201" s="26">
        <f t="shared" si="30"/>
        <v>0</v>
      </c>
      <c r="L201" s="18"/>
      <c r="M201" s="18"/>
      <c r="N201" s="18"/>
      <c r="O201" s="18"/>
      <c r="P201" s="18"/>
      <c r="Q201" s="26">
        <f t="shared" si="31"/>
        <v>3924640</v>
      </c>
    </row>
    <row r="202" spans="1:17" ht="42.75" customHeight="1">
      <c r="A202" s="50" t="s">
        <v>355</v>
      </c>
      <c r="B202" s="28" t="s">
        <v>66</v>
      </c>
      <c r="C202" s="50" t="s">
        <v>1056</v>
      </c>
      <c r="D202" s="50" t="s">
        <v>598</v>
      </c>
      <c r="E202" s="25" t="s">
        <v>29</v>
      </c>
      <c r="F202" s="26">
        <f t="shared" si="29"/>
        <v>11200000</v>
      </c>
      <c r="G202" s="27">
        <v>11200000</v>
      </c>
      <c r="H202" s="27"/>
      <c r="I202" s="27"/>
      <c r="J202" s="27"/>
      <c r="K202" s="26">
        <f t="shared" si="30"/>
        <v>0</v>
      </c>
      <c r="L202" s="27"/>
      <c r="M202" s="27"/>
      <c r="N202" s="27"/>
      <c r="O202" s="27"/>
      <c r="P202" s="27"/>
      <c r="Q202" s="26">
        <f t="shared" si="31"/>
        <v>11200000</v>
      </c>
    </row>
    <row r="203" spans="1:17" ht="38.25">
      <c r="A203" s="50" t="s">
        <v>356</v>
      </c>
      <c r="B203" s="28" t="s">
        <v>114</v>
      </c>
      <c r="C203" s="50" t="s">
        <v>1057</v>
      </c>
      <c r="D203" s="50" t="s">
        <v>598</v>
      </c>
      <c r="E203" s="25" t="s">
        <v>120</v>
      </c>
      <c r="F203" s="26">
        <f t="shared" si="29"/>
        <v>1744499</v>
      </c>
      <c r="G203" s="27">
        <v>1744499</v>
      </c>
      <c r="H203" s="27"/>
      <c r="I203" s="27"/>
      <c r="J203" s="27"/>
      <c r="K203" s="26">
        <f t="shared" si="30"/>
        <v>0</v>
      </c>
      <c r="L203" s="27"/>
      <c r="M203" s="27"/>
      <c r="N203" s="27"/>
      <c r="O203" s="27"/>
      <c r="P203" s="27"/>
      <c r="Q203" s="26">
        <f t="shared" si="31"/>
        <v>1744499</v>
      </c>
    </row>
    <row r="204" spans="1:17" s="2" customFormat="1" ht="38.25">
      <c r="A204" s="50" t="s">
        <v>357</v>
      </c>
      <c r="B204" s="28" t="s">
        <v>112</v>
      </c>
      <c r="C204" s="50" t="s">
        <v>1058</v>
      </c>
      <c r="D204" s="50" t="s">
        <v>598</v>
      </c>
      <c r="E204" s="25" t="s">
        <v>113</v>
      </c>
      <c r="F204" s="26">
        <f t="shared" si="29"/>
        <v>5000000</v>
      </c>
      <c r="G204" s="27">
        <v>5000000</v>
      </c>
      <c r="H204" s="27"/>
      <c r="I204" s="27"/>
      <c r="J204" s="27"/>
      <c r="K204" s="26">
        <f t="shared" si="30"/>
        <v>0</v>
      </c>
      <c r="L204" s="27"/>
      <c r="M204" s="27"/>
      <c r="N204" s="27"/>
      <c r="O204" s="27"/>
      <c r="P204" s="27"/>
      <c r="Q204" s="26">
        <f t="shared" si="31"/>
        <v>5000000</v>
      </c>
    </row>
    <row r="205" spans="1:17" s="2" customFormat="1" ht="38.25">
      <c r="A205" s="50" t="s">
        <v>358</v>
      </c>
      <c r="B205" s="28" t="s">
        <v>67</v>
      </c>
      <c r="C205" s="50" t="s">
        <v>1059</v>
      </c>
      <c r="D205" s="50" t="s">
        <v>598</v>
      </c>
      <c r="E205" s="48" t="s">
        <v>318</v>
      </c>
      <c r="F205" s="26">
        <f t="shared" si="29"/>
        <v>45000000</v>
      </c>
      <c r="G205" s="27">
        <v>45000000</v>
      </c>
      <c r="H205" s="27"/>
      <c r="I205" s="27"/>
      <c r="J205" s="27"/>
      <c r="K205" s="26">
        <f t="shared" si="30"/>
        <v>0</v>
      </c>
      <c r="L205" s="27"/>
      <c r="M205" s="27"/>
      <c r="N205" s="27"/>
      <c r="O205" s="27"/>
      <c r="P205" s="27"/>
      <c r="Q205" s="26">
        <f t="shared" si="31"/>
        <v>45000000</v>
      </c>
    </row>
    <row r="206" spans="1:17" s="2" customFormat="1" ht="51">
      <c r="A206" s="116" t="s">
        <v>649</v>
      </c>
      <c r="B206" s="117"/>
      <c r="C206" s="117"/>
      <c r="D206" s="117"/>
      <c r="E206" s="125" t="s">
        <v>650</v>
      </c>
      <c r="F206" s="26">
        <f t="shared" si="29"/>
        <v>717502307</v>
      </c>
      <c r="G206" s="119">
        <f>G207+G209+G211+G213+G215+G217+G219+G221+G223</f>
        <v>717502307</v>
      </c>
      <c r="H206" s="119">
        <f>H207+H209+H211+H213+H215+H217+H219+H221+H223</f>
        <v>0</v>
      </c>
      <c r="I206" s="119">
        <f>I207+I209+I211+I213+I215+I217+I219+I221+I223</f>
        <v>0</v>
      </c>
      <c r="J206" s="119">
        <f>J207+J209+J211+J213+J215+J217+J219+J221+J223</f>
        <v>0</v>
      </c>
      <c r="K206" s="26">
        <f t="shared" si="30"/>
        <v>0</v>
      </c>
      <c r="L206" s="119">
        <f>L207+L209+L211+L213+L215+L217+L219+L221+L223</f>
        <v>0</v>
      </c>
      <c r="M206" s="119">
        <f>M207+M209+M211+M213+M215+M217+M219+M221+M223</f>
        <v>0</v>
      </c>
      <c r="N206" s="119">
        <f>N207+N209+N211+N213+N215+N217+N219+N221+N223</f>
        <v>0</v>
      </c>
      <c r="O206" s="119">
        <f>O207+O209+O211+O213+O215+O217+O219+O221+O223</f>
        <v>0</v>
      </c>
      <c r="P206" s="119">
        <f>P207+P209+P211+P213+P215+P217+P219+P221+P223</f>
        <v>0</v>
      </c>
      <c r="Q206" s="26">
        <f t="shared" si="31"/>
        <v>717502307</v>
      </c>
    </row>
    <row r="207" spans="1:17" s="2" customFormat="1" ht="24.75" customHeight="1">
      <c r="A207" s="7" t="s">
        <v>344</v>
      </c>
      <c r="B207" s="7" t="s">
        <v>68</v>
      </c>
      <c r="C207" s="7" t="s">
        <v>1060</v>
      </c>
      <c r="D207" s="7" t="s">
        <v>584</v>
      </c>
      <c r="E207" s="10" t="s">
        <v>223</v>
      </c>
      <c r="F207" s="18">
        <f t="shared" si="29"/>
        <v>6512097</v>
      </c>
      <c r="G207" s="18">
        <v>6512097</v>
      </c>
      <c r="H207" s="18"/>
      <c r="I207" s="18"/>
      <c r="J207" s="18"/>
      <c r="K207" s="26">
        <f t="shared" si="30"/>
        <v>0</v>
      </c>
      <c r="L207" s="18"/>
      <c r="M207" s="18"/>
      <c r="N207" s="18"/>
      <c r="O207" s="18"/>
      <c r="P207" s="18"/>
      <c r="Q207" s="26">
        <f t="shared" si="31"/>
        <v>6512097</v>
      </c>
    </row>
    <row r="208" spans="1:17" s="143" customFormat="1" ht="24">
      <c r="A208" s="138"/>
      <c r="B208" s="139"/>
      <c r="C208" s="139"/>
      <c r="D208" s="139"/>
      <c r="E208" s="140" t="s">
        <v>900</v>
      </c>
      <c r="F208" s="18">
        <f t="shared" si="29"/>
        <v>6512097</v>
      </c>
      <c r="G208" s="18">
        <v>6512097</v>
      </c>
      <c r="H208" s="141"/>
      <c r="I208" s="141"/>
      <c r="J208" s="141"/>
      <c r="K208" s="142"/>
      <c r="L208" s="141"/>
      <c r="M208" s="141"/>
      <c r="N208" s="141"/>
      <c r="O208" s="141"/>
      <c r="P208" s="141"/>
      <c r="Q208" s="26">
        <f t="shared" si="31"/>
        <v>6512097</v>
      </c>
    </row>
    <row r="209" spans="1:17" s="2" customFormat="1" ht="27" customHeight="1">
      <c r="A209" s="7" t="s">
        <v>345</v>
      </c>
      <c r="B209" s="7" t="s">
        <v>69</v>
      </c>
      <c r="C209" s="7" t="s">
        <v>1061</v>
      </c>
      <c r="D209" s="7" t="s">
        <v>584</v>
      </c>
      <c r="E209" s="10" t="s">
        <v>557</v>
      </c>
      <c r="F209" s="18">
        <f t="shared" si="29"/>
        <v>1790267</v>
      </c>
      <c r="G209" s="18">
        <v>1790267</v>
      </c>
      <c r="H209" s="18"/>
      <c r="I209" s="18"/>
      <c r="J209" s="18"/>
      <c r="K209" s="26">
        <f t="shared" si="30"/>
        <v>0</v>
      </c>
      <c r="L209" s="18"/>
      <c r="M209" s="18"/>
      <c r="N209" s="18"/>
      <c r="O209" s="18"/>
      <c r="P209" s="18"/>
      <c r="Q209" s="26">
        <f t="shared" si="31"/>
        <v>1790267</v>
      </c>
    </row>
    <row r="210" spans="1:17" s="143" customFormat="1" ht="24">
      <c r="A210" s="138"/>
      <c r="B210" s="139"/>
      <c r="C210" s="139"/>
      <c r="D210" s="139"/>
      <c r="E210" s="140" t="s">
        <v>900</v>
      </c>
      <c r="F210" s="18">
        <f t="shared" si="29"/>
        <v>1790267</v>
      </c>
      <c r="G210" s="18">
        <v>1790267</v>
      </c>
      <c r="H210" s="141"/>
      <c r="I210" s="141"/>
      <c r="J210" s="141"/>
      <c r="K210" s="142"/>
      <c r="L210" s="141"/>
      <c r="M210" s="141"/>
      <c r="N210" s="141"/>
      <c r="O210" s="141"/>
      <c r="P210" s="141"/>
      <c r="Q210" s="26">
        <f t="shared" si="31"/>
        <v>1790267</v>
      </c>
    </row>
    <row r="211" spans="1:17" s="2" customFormat="1" ht="25.5">
      <c r="A211" s="7" t="s">
        <v>346</v>
      </c>
      <c r="B211" s="7" t="s">
        <v>70</v>
      </c>
      <c r="C211" s="7" t="s">
        <v>1062</v>
      </c>
      <c r="D211" s="7" t="s">
        <v>584</v>
      </c>
      <c r="E211" s="10" t="s">
        <v>224</v>
      </c>
      <c r="F211" s="18">
        <f t="shared" si="29"/>
        <v>335264891</v>
      </c>
      <c r="G211" s="18">
        <v>335264891</v>
      </c>
      <c r="H211" s="18"/>
      <c r="I211" s="18"/>
      <c r="J211" s="18"/>
      <c r="K211" s="26">
        <f t="shared" si="30"/>
        <v>0</v>
      </c>
      <c r="L211" s="18"/>
      <c r="M211" s="18"/>
      <c r="N211" s="18"/>
      <c r="O211" s="18"/>
      <c r="P211" s="18"/>
      <c r="Q211" s="26">
        <f t="shared" si="31"/>
        <v>335264891</v>
      </c>
    </row>
    <row r="212" spans="1:17" s="143" customFormat="1" ht="24">
      <c r="A212" s="138"/>
      <c r="B212" s="139"/>
      <c r="C212" s="139"/>
      <c r="D212" s="139"/>
      <c r="E212" s="140" t="s">
        <v>900</v>
      </c>
      <c r="F212" s="18">
        <f t="shared" si="29"/>
        <v>335264891</v>
      </c>
      <c r="G212" s="18">
        <v>335264891</v>
      </c>
      <c r="H212" s="141"/>
      <c r="I212" s="141"/>
      <c r="J212" s="141"/>
      <c r="K212" s="142"/>
      <c r="L212" s="141"/>
      <c r="M212" s="141"/>
      <c r="N212" s="141"/>
      <c r="O212" s="141"/>
      <c r="P212" s="141"/>
      <c r="Q212" s="26">
        <f t="shared" si="31"/>
        <v>335264891</v>
      </c>
    </row>
    <row r="213" spans="1:17" s="2" customFormat="1" ht="24.75" customHeight="1">
      <c r="A213" s="7" t="s">
        <v>361</v>
      </c>
      <c r="B213" s="7" t="s">
        <v>61</v>
      </c>
      <c r="C213" s="7" t="s">
        <v>1063</v>
      </c>
      <c r="D213" s="7" t="s">
        <v>584</v>
      </c>
      <c r="E213" s="46" t="s">
        <v>225</v>
      </c>
      <c r="F213" s="18">
        <f t="shared" si="29"/>
        <v>29560226</v>
      </c>
      <c r="G213" s="18">
        <v>29560226</v>
      </c>
      <c r="H213" s="18"/>
      <c r="I213" s="18"/>
      <c r="J213" s="18"/>
      <c r="K213" s="26">
        <f t="shared" si="30"/>
        <v>0</v>
      </c>
      <c r="L213" s="18"/>
      <c r="M213" s="18"/>
      <c r="N213" s="18"/>
      <c r="O213" s="18"/>
      <c r="P213" s="18"/>
      <c r="Q213" s="26">
        <f t="shared" si="31"/>
        <v>29560226</v>
      </c>
    </row>
    <row r="214" spans="1:17" s="143" customFormat="1" ht="24">
      <c r="A214" s="138"/>
      <c r="B214" s="139"/>
      <c r="C214" s="139"/>
      <c r="D214" s="139"/>
      <c r="E214" s="140" t="s">
        <v>900</v>
      </c>
      <c r="F214" s="18">
        <f t="shared" si="29"/>
        <v>29560226</v>
      </c>
      <c r="G214" s="18">
        <v>29560226</v>
      </c>
      <c r="H214" s="141"/>
      <c r="I214" s="141"/>
      <c r="J214" s="141"/>
      <c r="K214" s="142"/>
      <c r="L214" s="141"/>
      <c r="M214" s="141"/>
      <c r="N214" s="141"/>
      <c r="O214" s="141"/>
      <c r="P214" s="141"/>
      <c r="Q214" s="26">
        <f t="shared" si="31"/>
        <v>29560226</v>
      </c>
    </row>
    <row r="215" spans="1:17" s="2" customFormat="1" ht="27.75" customHeight="1">
      <c r="A215" s="7" t="s">
        <v>347</v>
      </c>
      <c r="B215" s="7" t="s">
        <v>85</v>
      </c>
      <c r="C215" s="7" t="s">
        <v>1064</v>
      </c>
      <c r="D215" s="7" t="s">
        <v>584</v>
      </c>
      <c r="E215" s="10" t="s">
        <v>226</v>
      </c>
      <c r="F215" s="18">
        <f t="shared" si="29"/>
        <v>150695538</v>
      </c>
      <c r="G215" s="18">
        <v>150695538</v>
      </c>
      <c r="H215" s="18"/>
      <c r="I215" s="18"/>
      <c r="J215" s="18"/>
      <c r="K215" s="26">
        <f t="shared" si="30"/>
        <v>0</v>
      </c>
      <c r="L215" s="18"/>
      <c r="M215" s="18"/>
      <c r="N215" s="18"/>
      <c r="O215" s="18"/>
      <c r="P215" s="18"/>
      <c r="Q215" s="26">
        <f t="shared" si="31"/>
        <v>150695538</v>
      </c>
    </row>
    <row r="216" spans="1:17" s="143" customFormat="1" ht="24">
      <c r="A216" s="138"/>
      <c r="B216" s="139"/>
      <c r="C216" s="139"/>
      <c r="D216" s="139"/>
      <c r="E216" s="140" t="s">
        <v>900</v>
      </c>
      <c r="F216" s="18">
        <f t="shared" si="29"/>
        <v>150695538</v>
      </c>
      <c r="G216" s="18">
        <v>150695538</v>
      </c>
      <c r="H216" s="141"/>
      <c r="I216" s="141"/>
      <c r="J216" s="141"/>
      <c r="K216" s="142"/>
      <c r="L216" s="141"/>
      <c r="M216" s="141"/>
      <c r="N216" s="141"/>
      <c r="O216" s="141"/>
      <c r="P216" s="141"/>
      <c r="Q216" s="26">
        <f t="shared" si="31"/>
        <v>150695538</v>
      </c>
    </row>
    <row r="217" spans="1:17" s="2" customFormat="1" ht="25.5" customHeight="1">
      <c r="A217" s="7" t="s">
        <v>348</v>
      </c>
      <c r="B217" s="7" t="s">
        <v>119</v>
      </c>
      <c r="C217" s="7" t="s">
        <v>1065</v>
      </c>
      <c r="D217" s="7" t="s">
        <v>584</v>
      </c>
      <c r="E217" s="10" t="s">
        <v>227</v>
      </c>
      <c r="F217" s="18">
        <f t="shared" si="29"/>
        <v>7954168</v>
      </c>
      <c r="G217" s="18">
        <v>7954168</v>
      </c>
      <c r="H217" s="18"/>
      <c r="I217" s="18"/>
      <c r="J217" s="18"/>
      <c r="K217" s="26">
        <f t="shared" si="30"/>
        <v>0</v>
      </c>
      <c r="L217" s="18"/>
      <c r="M217" s="18"/>
      <c r="N217" s="18"/>
      <c r="O217" s="18"/>
      <c r="P217" s="18"/>
      <c r="Q217" s="26">
        <f t="shared" si="31"/>
        <v>7954168</v>
      </c>
    </row>
    <row r="218" spans="1:17" s="143" customFormat="1" ht="24">
      <c r="A218" s="138"/>
      <c r="B218" s="139"/>
      <c r="C218" s="139"/>
      <c r="D218" s="139"/>
      <c r="E218" s="140" t="s">
        <v>900</v>
      </c>
      <c r="F218" s="18">
        <f t="shared" si="29"/>
        <v>7954168</v>
      </c>
      <c r="G218" s="18">
        <v>7954168</v>
      </c>
      <c r="H218" s="141"/>
      <c r="I218" s="141"/>
      <c r="J218" s="141"/>
      <c r="K218" s="142"/>
      <c r="L218" s="141"/>
      <c r="M218" s="141"/>
      <c r="N218" s="141"/>
      <c r="O218" s="141"/>
      <c r="P218" s="141"/>
      <c r="Q218" s="26">
        <f t="shared" si="31"/>
        <v>7954168</v>
      </c>
    </row>
    <row r="219" spans="1:17" ht="25.5">
      <c r="A219" s="7" t="s">
        <v>349</v>
      </c>
      <c r="B219" s="7" t="s">
        <v>108</v>
      </c>
      <c r="C219" s="7" t="s">
        <v>1066</v>
      </c>
      <c r="D219" s="7" t="s">
        <v>584</v>
      </c>
      <c r="E219" s="10" t="s">
        <v>228</v>
      </c>
      <c r="F219" s="18">
        <f t="shared" si="29"/>
        <v>624372</v>
      </c>
      <c r="G219" s="18">
        <v>624372</v>
      </c>
      <c r="H219" s="18"/>
      <c r="I219" s="18"/>
      <c r="J219" s="18"/>
      <c r="K219" s="26">
        <f t="shared" si="30"/>
        <v>0</v>
      </c>
      <c r="L219" s="18"/>
      <c r="M219" s="18"/>
      <c r="N219" s="18"/>
      <c r="O219" s="18"/>
      <c r="P219" s="18"/>
      <c r="Q219" s="26">
        <f t="shared" si="31"/>
        <v>624372</v>
      </c>
    </row>
    <row r="220" spans="1:17" s="143" customFormat="1" ht="24">
      <c r="A220" s="138"/>
      <c r="B220" s="139"/>
      <c r="C220" s="139"/>
      <c r="D220" s="139"/>
      <c r="E220" s="140" t="s">
        <v>900</v>
      </c>
      <c r="F220" s="18">
        <f t="shared" si="29"/>
        <v>624372</v>
      </c>
      <c r="G220" s="141">
        <v>624372</v>
      </c>
      <c r="H220" s="141"/>
      <c r="I220" s="141"/>
      <c r="J220" s="141"/>
      <c r="K220" s="142"/>
      <c r="L220" s="141"/>
      <c r="M220" s="141"/>
      <c r="N220" s="141"/>
      <c r="O220" s="141"/>
      <c r="P220" s="141"/>
      <c r="Q220" s="26">
        <f t="shared" si="31"/>
        <v>624372</v>
      </c>
    </row>
    <row r="221" spans="1:17" s="2" customFormat="1" ht="28.5" customHeight="1">
      <c r="A221" s="7" t="s">
        <v>350</v>
      </c>
      <c r="B221" s="7" t="s">
        <v>83</v>
      </c>
      <c r="C221" s="7" t="s">
        <v>1067</v>
      </c>
      <c r="D221" s="7" t="s">
        <v>584</v>
      </c>
      <c r="E221" s="10" t="s">
        <v>229</v>
      </c>
      <c r="F221" s="18">
        <f t="shared" si="29"/>
        <v>80783470</v>
      </c>
      <c r="G221" s="18">
        <v>80783470</v>
      </c>
      <c r="H221" s="18"/>
      <c r="I221" s="18"/>
      <c r="J221" s="18"/>
      <c r="K221" s="26">
        <f t="shared" si="30"/>
        <v>0</v>
      </c>
      <c r="L221" s="18"/>
      <c r="M221" s="18"/>
      <c r="N221" s="18"/>
      <c r="O221" s="18"/>
      <c r="P221" s="18"/>
      <c r="Q221" s="26">
        <f t="shared" si="31"/>
        <v>80783470</v>
      </c>
    </row>
    <row r="222" spans="1:17" s="143" customFormat="1" ht="24">
      <c r="A222" s="138"/>
      <c r="B222" s="139"/>
      <c r="C222" s="139"/>
      <c r="D222" s="139"/>
      <c r="E222" s="140" t="s">
        <v>900</v>
      </c>
      <c r="F222" s="18">
        <f t="shared" si="29"/>
        <v>80783470</v>
      </c>
      <c r="G222" s="18">
        <v>80783470</v>
      </c>
      <c r="H222" s="141"/>
      <c r="I222" s="141"/>
      <c r="J222" s="141"/>
      <c r="K222" s="142"/>
      <c r="L222" s="141"/>
      <c r="M222" s="141"/>
      <c r="N222" s="141"/>
      <c r="O222" s="141"/>
      <c r="P222" s="141"/>
      <c r="Q222" s="26">
        <f t="shared" si="31"/>
        <v>80783470</v>
      </c>
    </row>
    <row r="223" spans="1:17" ht="37.5" customHeight="1">
      <c r="A223" s="7" t="s">
        <v>354</v>
      </c>
      <c r="B223" s="7" t="s">
        <v>65</v>
      </c>
      <c r="C223" s="7" t="s">
        <v>1068</v>
      </c>
      <c r="D223" s="7" t="s">
        <v>600</v>
      </c>
      <c r="E223" s="10" t="s">
        <v>234</v>
      </c>
      <c r="F223" s="18">
        <f t="shared" si="29"/>
        <v>104317278</v>
      </c>
      <c r="G223" s="18">
        <v>104317278</v>
      </c>
      <c r="H223" s="18"/>
      <c r="I223" s="18"/>
      <c r="J223" s="18"/>
      <c r="K223" s="26">
        <f t="shared" si="30"/>
        <v>0</v>
      </c>
      <c r="L223" s="18"/>
      <c r="M223" s="18"/>
      <c r="N223" s="18"/>
      <c r="O223" s="18"/>
      <c r="P223" s="18"/>
      <c r="Q223" s="26">
        <f t="shared" si="31"/>
        <v>104317278</v>
      </c>
    </row>
    <row r="224" spans="1:17" s="143" customFormat="1" ht="24">
      <c r="A224" s="138"/>
      <c r="B224" s="139"/>
      <c r="C224" s="139"/>
      <c r="D224" s="139"/>
      <c r="E224" s="140" t="s">
        <v>900</v>
      </c>
      <c r="F224" s="18">
        <f t="shared" si="29"/>
        <v>104317278</v>
      </c>
      <c r="G224" s="18">
        <v>104317278</v>
      </c>
      <c r="H224" s="141"/>
      <c r="I224" s="141"/>
      <c r="J224" s="141"/>
      <c r="K224" s="142"/>
      <c r="L224" s="141"/>
      <c r="M224" s="141"/>
      <c r="N224" s="141"/>
      <c r="O224" s="141"/>
      <c r="P224" s="141"/>
      <c r="Q224" s="26">
        <f t="shared" si="31"/>
        <v>104317278</v>
      </c>
    </row>
    <row r="225" spans="1:17" ht="38.25">
      <c r="A225" s="116" t="s">
        <v>560</v>
      </c>
      <c r="B225" s="117" t="s">
        <v>559</v>
      </c>
      <c r="C225" s="117" t="s">
        <v>1069</v>
      </c>
      <c r="D225" s="117" t="s">
        <v>600</v>
      </c>
      <c r="E225" s="125" t="s">
        <v>558</v>
      </c>
      <c r="F225" s="18">
        <f t="shared" si="29"/>
        <v>8723995</v>
      </c>
      <c r="G225" s="119">
        <v>8723995</v>
      </c>
      <c r="H225" s="119"/>
      <c r="I225" s="119"/>
      <c r="J225" s="119"/>
      <c r="K225" s="26">
        <f t="shared" si="30"/>
        <v>0</v>
      </c>
      <c r="L225" s="119"/>
      <c r="M225" s="119"/>
      <c r="N225" s="119"/>
      <c r="O225" s="119"/>
      <c r="P225" s="119"/>
      <c r="Q225" s="26">
        <f t="shared" si="31"/>
        <v>8723995</v>
      </c>
    </row>
    <row r="226" spans="1:17" s="143" customFormat="1" ht="24">
      <c r="A226" s="138"/>
      <c r="B226" s="139"/>
      <c r="C226" s="139"/>
      <c r="D226" s="139"/>
      <c r="E226" s="140" t="s">
        <v>900</v>
      </c>
      <c r="F226" s="18">
        <f t="shared" si="29"/>
        <v>8723995</v>
      </c>
      <c r="G226" s="18">
        <v>8723995</v>
      </c>
      <c r="H226" s="141"/>
      <c r="I226" s="141"/>
      <c r="J226" s="141"/>
      <c r="K226" s="142"/>
      <c r="L226" s="141"/>
      <c r="M226" s="141"/>
      <c r="N226" s="141"/>
      <c r="O226" s="141"/>
      <c r="P226" s="141"/>
      <c r="Q226" s="26">
        <f t="shared" si="31"/>
        <v>8723995</v>
      </c>
    </row>
    <row r="227" spans="1:17" ht="80.25" customHeight="1">
      <c r="A227" s="112" t="s">
        <v>651</v>
      </c>
      <c r="B227" s="112"/>
      <c r="C227" s="112" t="s">
        <v>1137</v>
      </c>
      <c r="D227" s="112"/>
      <c r="E227" s="115" t="s">
        <v>652</v>
      </c>
      <c r="F227" s="27">
        <f t="shared" si="29"/>
        <v>32936950</v>
      </c>
      <c r="G227" s="114">
        <f>G228</f>
        <v>32936950</v>
      </c>
      <c r="H227" s="114">
        <f>H228</f>
        <v>22137585</v>
      </c>
      <c r="I227" s="114">
        <f>I228</f>
        <v>2698959</v>
      </c>
      <c r="J227" s="114">
        <f>J228</f>
        <v>0</v>
      </c>
      <c r="K227" s="26">
        <f t="shared" si="30"/>
        <v>275363</v>
      </c>
      <c r="L227" s="114">
        <f>L228</f>
        <v>160863</v>
      </c>
      <c r="M227" s="114">
        <f>M228</f>
        <v>103990</v>
      </c>
      <c r="N227" s="114">
        <f>N228</f>
        <v>0</v>
      </c>
      <c r="O227" s="114">
        <f>O228</f>
        <v>114500</v>
      </c>
      <c r="P227" s="114">
        <f>P228</f>
        <v>114500</v>
      </c>
      <c r="Q227" s="26">
        <f t="shared" si="31"/>
        <v>33212313</v>
      </c>
    </row>
    <row r="228" spans="1:17" ht="63.75" customHeight="1">
      <c r="A228" s="50" t="s">
        <v>387</v>
      </c>
      <c r="B228" s="28" t="s">
        <v>48</v>
      </c>
      <c r="C228" s="50" t="s">
        <v>1070</v>
      </c>
      <c r="D228" s="50" t="s">
        <v>601</v>
      </c>
      <c r="E228" s="48" t="s">
        <v>232</v>
      </c>
      <c r="F228" s="27">
        <f t="shared" si="29"/>
        <v>32936950</v>
      </c>
      <c r="G228" s="27">
        <f>32926450+(10000)+(500)</f>
        <v>32936950</v>
      </c>
      <c r="H228" s="27">
        <v>22137585</v>
      </c>
      <c r="I228" s="27">
        <v>2698959</v>
      </c>
      <c r="J228" s="27"/>
      <c r="K228" s="26">
        <f t="shared" si="30"/>
        <v>275363</v>
      </c>
      <c r="L228" s="27">
        <v>160863</v>
      </c>
      <c r="M228" s="27">
        <v>103990</v>
      </c>
      <c r="N228" s="27"/>
      <c r="O228" s="27">
        <f>P228</f>
        <v>114500</v>
      </c>
      <c r="P228" s="27">
        <f>((94500))+(10000)+(10000)</f>
        <v>114500</v>
      </c>
      <c r="Q228" s="26">
        <f t="shared" si="31"/>
        <v>33212313</v>
      </c>
    </row>
    <row r="229" spans="1:17" ht="27.75" customHeight="1">
      <c r="A229" s="116" t="s">
        <v>968</v>
      </c>
      <c r="B229" s="117" t="s">
        <v>785</v>
      </c>
      <c r="C229" s="117" t="s">
        <v>1007</v>
      </c>
      <c r="D229" s="117" t="s">
        <v>787</v>
      </c>
      <c r="E229" s="125" t="s">
        <v>786</v>
      </c>
      <c r="F229" s="27">
        <f t="shared" si="29"/>
        <v>599842</v>
      </c>
      <c r="G229" s="119">
        <v>599842</v>
      </c>
      <c r="H229" s="119">
        <v>491674</v>
      </c>
      <c r="I229" s="119"/>
      <c r="J229" s="119"/>
      <c r="K229" s="26">
        <f t="shared" si="30"/>
        <v>0</v>
      </c>
      <c r="L229" s="119"/>
      <c r="M229" s="119"/>
      <c r="N229" s="119"/>
      <c r="O229" s="119"/>
      <c r="P229" s="119"/>
      <c r="Q229" s="26">
        <f t="shared" si="31"/>
        <v>599842</v>
      </c>
    </row>
    <row r="230" spans="1:17" ht="25.5">
      <c r="A230" s="112" t="s">
        <v>653</v>
      </c>
      <c r="B230" s="112"/>
      <c r="C230" s="112" t="s">
        <v>1002</v>
      </c>
      <c r="D230" s="112"/>
      <c r="E230" s="115" t="s">
        <v>756</v>
      </c>
      <c r="F230" s="26">
        <f t="shared" si="29"/>
        <v>4594793</v>
      </c>
      <c r="G230" s="114">
        <f>G231+G232</f>
        <v>4594793</v>
      </c>
      <c r="H230" s="114">
        <f>H231+H232</f>
        <v>3460450</v>
      </c>
      <c r="I230" s="114">
        <f>I231+I232</f>
        <v>141645</v>
      </c>
      <c r="J230" s="114">
        <f>J231+J232</f>
        <v>0</v>
      </c>
      <c r="K230" s="26">
        <f t="shared" si="30"/>
        <v>0</v>
      </c>
      <c r="L230" s="114">
        <f>L231+L232</f>
        <v>0</v>
      </c>
      <c r="M230" s="114">
        <f>M231+M232</f>
        <v>0</v>
      </c>
      <c r="N230" s="114">
        <f>N231+N232</f>
        <v>0</v>
      </c>
      <c r="O230" s="114">
        <f>O231+O232</f>
        <v>0</v>
      </c>
      <c r="P230" s="114">
        <f>P231+P232</f>
        <v>0</v>
      </c>
      <c r="Q230" s="26">
        <f t="shared" si="31"/>
        <v>4594793</v>
      </c>
    </row>
    <row r="231" spans="1:17" ht="25.5">
      <c r="A231" s="50" t="s">
        <v>454</v>
      </c>
      <c r="B231" s="7" t="s">
        <v>90</v>
      </c>
      <c r="C231" s="7" t="s">
        <v>1003</v>
      </c>
      <c r="D231" s="7" t="s">
        <v>584</v>
      </c>
      <c r="E231" s="48" t="s">
        <v>379</v>
      </c>
      <c r="F231" s="26">
        <f t="shared" si="29"/>
        <v>4234660</v>
      </c>
      <c r="G231" s="18">
        <v>4234660</v>
      </c>
      <c r="H231" s="18">
        <v>3204456</v>
      </c>
      <c r="I231" s="18">
        <v>141645</v>
      </c>
      <c r="J231" s="18"/>
      <c r="K231" s="26">
        <f t="shared" si="30"/>
        <v>0</v>
      </c>
      <c r="L231" s="18"/>
      <c r="M231" s="18"/>
      <c r="N231" s="18"/>
      <c r="O231" s="18"/>
      <c r="P231" s="18"/>
      <c r="Q231" s="26">
        <f t="shared" si="31"/>
        <v>4234660</v>
      </c>
    </row>
    <row r="232" spans="1:17" ht="25.5">
      <c r="A232" s="50" t="s">
        <v>455</v>
      </c>
      <c r="B232" s="7" t="s">
        <v>91</v>
      </c>
      <c r="C232" s="7" t="s">
        <v>1004</v>
      </c>
      <c r="D232" s="7" t="s">
        <v>584</v>
      </c>
      <c r="E232" s="25" t="s">
        <v>115</v>
      </c>
      <c r="F232" s="26">
        <f t="shared" si="29"/>
        <v>360133</v>
      </c>
      <c r="G232" s="18">
        <v>360133</v>
      </c>
      <c r="H232" s="18">
        <v>255994</v>
      </c>
      <c r="I232" s="18"/>
      <c r="J232" s="18"/>
      <c r="K232" s="26">
        <f t="shared" si="30"/>
        <v>0</v>
      </c>
      <c r="L232" s="18"/>
      <c r="M232" s="18"/>
      <c r="N232" s="18"/>
      <c r="O232" s="18"/>
      <c r="P232" s="18"/>
      <c r="Q232" s="26">
        <f t="shared" si="31"/>
        <v>360133</v>
      </c>
    </row>
    <row r="233" spans="1:17" ht="25.5" hidden="1">
      <c r="A233" s="50" t="s">
        <v>456</v>
      </c>
      <c r="B233" s="7" t="s">
        <v>47</v>
      </c>
      <c r="C233" s="7" t="s">
        <v>1005</v>
      </c>
      <c r="D233" s="7"/>
      <c r="E233" s="25" t="s">
        <v>453</v>
      </c>
      <c r="F233" s="26">
        <f t="shared" si="29"/>
        <v>0</v>
      </c>
      <c r="G233" s="18"/>
      <c r="H233" s="18"/>
      <c r="I233" s="18"/>
      <c r="J233" s="18"/>
      <c r="K233" s="26">
        <f t="shared" si="30"/>
        <v>0</v>
      </c>
      <c r="L233" s="18"/>
      <c r="M233" s="18"/>
      <c r="N233" s="18"/>
      <c r="O233" s="18"/>
      <c r="P233" s="18"/>
      <c r="Q233" s="26">
        <f t="shared" si="31"/>
        <v>0</v>
      </c>
    </row>
    <row r="234" spans="1:17" ht="76.5" hidden="1">
      <c r="A234" s="50" t="s">
        <v>386</v>
      </c>
      <c r="B234" s="28" t="s">
        <v>96</v>
      </c>
      <c r="C234" s="50" t="s">
        <v>1006</v>
      </c>
      <c r="D234" s="28"/>
      <c r="E234" s="48" t="s">
        <v>198</v>
      </c>
      <c r="F234" s="26">
        <f t="shared" si="29"/>
        <v>0</v>
      </c>
      <c r="G234" s="27"/>
      <c r="H234" s="27"/>
      <c r="I234" s="27"/>
      <c r="J234" s="27"/>
      <c r="K234" s="26">
        <f t="shared" si="30"/>
        <v>0</v>
      </c>
      <c r="L234" s="27"/>
      <c r="M234" s="27"/>
      <c r="N234" s="27"/>
      <c r="O234" s="27"/>
      <c r="P234" s="27"/>
      <c r="Q234" s="26">
        <f t="shared" si="31"/>
        <v>0</v>
      </c>
    </row>
    <row r="235" spans="1:17" ht="105" customHeight="1">
      <c r="A235" s="112" t="s">
        <v>654</v>
      </c>
      <c r="B235" s="112"/>
      <c r="C235" s="112" t="s">
        <v>1071</v>
      </c>
      <c r="D235" s="112"/>
      <c r="E235" s="115" t="s">
        <v>655</v>
      </c>
      <c r="F235" s="114">
        <f t="shared" si="29"/>
        <v>3530339</v>
      </c>
      <c r="G235" s="114">
        <f>G236</f>
        <v>3530339</v>
      </c>
      <c r="H235" s="114">
        <f>H236</f>
        <v>0</v>
      </c>
      <c r="I235" s="114">
        <f>I236</f>
        <v>0</v>
      </c>
      <c r="J235" s="114">
        <f>J236</f>
        <v>0</v>
      </c>
      <c r="K235" s="26">
        <f t="shared" si="30"/>
        <v>0</v>
      </c>
      <c r="L235" s="114">
        <f>L236</f>
        <v>0</v>
      </c>
      <c r="M235" s="114">
        <f>M236</f>
        <v>0</v>
      </c>
      <c r="N235" s="114">
        <f>N236</f>
        <v>0</v>
      </c>
      <c r="O235" s="114">
        <f>O236</f>
        <v>0</v>
      </c>
      <c r="P235" s="114">
        <f>P236</f>
        <v>0</v>
      </c>
      <c r="Q235" s="26">
        <f t="shared" si="31"/>
        <v>3530339</v>
      </c>
    </row>
    <row r="236" spans="1:17" ht="76.5">
      <c r="A236" s="50" t="s">
        <v>388</v>
      </c>
      <c r="B236" s="50" t="s">
        <v>126</v>
      </c>
      <c r="C236" s="50" t="s">
        <v>1072</v>
      </c>
      <c r="D236" s="50" t="s">
        <v>600</v>
      </c>
      <c r="E236" s="48" t="s">
        <v>414</v>
      </c>
      <c r="F236" s="27">
        <f t="shared" si="29"/>
        <v>3530339</v>
      </c>
      <c r="G236" s="27">
        <v>3530339</v>
      </c>
      <c r="H236" s="27"/>
      <c r="I236" s="27"/>
      <c r="J236" s="27"/>
      <c r="K236" s="26">
        <f t="shared" si="30"/>
        <v>0</v>
      </c>
      <c r="L236" s="27"/>
      <c r="M236" s="27"/>
      <c r="N236" s="27"/>
      <c r="O236" s="27"/>
      <c r="P236" s="27"/>
      <c r="Q236" s="26">
        <f t="shared" si="31"/>
        <v>3530339</v>
      </c>
    </row>
    <row r="237" spans="1:17" ht="25.5">
      <c r="A237" s="112" t="s">
        <v>656</v>
      </c>
      <c r="B237" s="112"/>
      <c r="C237" s="112" t="s">
        <v>1073</v>
      </c>
      <c r="D237" s="112"/>
      <c r="E237" s="115" t="s">
        <v>657</v>
      </c>
      <c r="F237" s="27">
        <f t="shared" si="29"/>
        <v>2577808</v>
      </c>
      <c r="G237" s="114">
        <f>G238</f>
        <v>2577808</v>
      </c>
      <c r="H237" s="114">
        <f>H238</f>
        <v>0</v>
      </c>
      <c r="I237" s="114">
        <f>I238</f>
        <v>0</v>
      </c>
      <c r="J237" s="114">
        <f>J238</f>
        <v>0</v>
      </c>
      <c r="K237" s="26">
        <f t="shared" si="30"/>
        <v>191000</v>
      </c>
      <c r="L237" s="114">
        <f>L238</f>
        <v>0</v>
      </c>
      <c r="M237" s="114">
        <f>M238</f>
        <v>0</v>
      </c>
      <c r="N237" s="114">
        <f>N238</f>
        <v>0</v>
      </c>
      <c r="O237" s="114">
        <f>O238</f>
        <v>191000</v>
      </c>
      <c r="P237" s="114">
        <f>P238</f>
        <v>191000</v>
      </c>
      <c r="Q237" s="26">
        <f t="shared" si="31"/>
        <v>2768808</v>
      </c>
    </row>
    <row r="238" spans="1:17" ht="51">
      <c r="A238" s="50" t="s">
        <v>389</v>
      </c>
      <c r="B238" s="28" t="s">
        <v>75</v>
      </c>
      <c r="C238" s="50" t="s">
        <v>1074</v>
      </c>
      <c r="D238" s="50" t="s">
        <v>597</v>
      </c>
      <c r="E238" s="49" t="s">
        <v>233</v>
      </c>
      <c r="F238" s="27">
        <f t="shared" si="29"/>
        <v>2577808</v>
      </c>
      <c r="G238" s="27">
        <f>2453308+((40000))+(34500)+(7000)+(20000)+(23000)</f>
        <v>2577808</v>
      </c>
      <c r="H238" s="27"/>
      <c r="I238" s="27"/>
      <c r="J238" s="27"/>
      <c r="K238" s="26">
        <f t="shared" si="30"/>
        <v>191000</v>
      </c>
      <c r="L238" s="27"/>
      <c r="M238" s="27"/>
      <c r="N238" s="27"/>
      <c r="O238" s="27">
        <f>P238</f>
        <v>191000</v>
      </c>
      <c r="P238" s="27">
        <f>((170000))+(12000)+(9000)</f>
        <v>191000</v>
      </c>
      <c r="Q238" s="26">
        <f t="shared" si="31"/>
        <v>2768808</v>
      </c>
    </row>
    <row r="239" spans="1:17" ht="27.75" customHeight="1">
      <c r="A239" s="89" t="s">
        <v>415</v>
      </c>
      <c r="B239" s="90" t="s">
        <v>46</v>
      </c>
      <c r="C239" s="90" t="s">
        <v>1075</v>
      </c>
      <c r="D239" s="90" t="s">
        <v>599</v>
      </c>
      <c r="E239" s="91" t="s">
        <v>327</v>
      </c>
      <c r="F239" s="92">
        <f t="shared" si="29"/>
        <v>68676574</v>
      </c>
      <c r="G239" s="92">
        <f>G240</f>
        <v>68676574</v>
      </c>
      <c r="H239" s="92">
        <f>H240</f>
        <v>0</v>
      </c>
      <c r="I239" s="92">
        <f>I240</f>
        <v>0</v>
      </c>
      <c r="J239" s="92">
        <f>J240</f>
        <v>0</v>
      </c>
      <c r="K239" s="92">
        <f t="shared" si="30"/>
        <v>0</v>
      </c>
      <c r="L239" s="92">
        <f>L240</f>
        <v>0</v>
      </c>
      <c r="M239" s="92">
        <f>M240</f>
        <v>0</v>
      </c>
      <c r="N239" s="92">
        <f>N240</f>
        <v>0</v>
      </c>
      <c r="O239" s="92">
        <f>O240</f>
        <v>0</v>
      </c>
      <c r="P239" s="92">
        <f>P240</f>
        <v>0</v>
      </c>
      <c r="Q239" s="92">
        <f t="shared" si="31"/>
        <v>68676574</v>
      </c>
    </row>
    <row r="240" spans="1:17" s="174" customFormat="1" ht="42" customHeight="1" hidden="1">
      <c r="A240" s="170" t="s">
        <v>385</v>
      </c>
      <c r="B240" s="171" t="s">
        <v>46</v>
      </c>
      <c r="C240" s="170" t="s">
        <v>1076</v>
      </c>
      <c r="D240" s="170" t="s">
        <v>599</v>
      </c>
      <c r="E240" s="172" t="s">
        <v>491</v>
      </c>
      <c r="F240" s="173">
        <f t="shared" si="29"/>
        <v>68676574</v>
      </c>
      <c r="G240" s="173">
        <f>46926406+(9600000)+(22400000)-(104000)-(1959587)-(234332)-(1438265)-(1664617)-(545240)-(306832)-(10000)-(2100649)-(1632751)-(253559)</f>
        <v>68676574</v>
      </c>
      <c r="H240" s="173"/>
      <c r="I240" s="173"/>
      <c r="J240" s="173"/>
      <c r="K240" s="173">
        <f t="shared" si="30"/>
        <v>0</v>
      </c>
      <c r="L240" s="173"/>
      <c r="M240" s="173"/>
      <c r="N240" s="173"/>
      <c r="O240" s="173"/>
      <c r="P240" s="173"/>
      <c r="Q240" s="173">
        <f t="shared" si="31"/>
        <v>68676574</v>
      </c>
    </row>
    <row r="241" spans="1:17" ht="12.75">
      <c r="A241" s="112" t="s">
        <v>643</v>
      </c>
      <c r="B241" s="111" t="s">
        <v>629</v>
      </c>
      <c r="C241" s="111" t="s">
        <v>1021</v>
      </c>
      <c r="D241" s="111"/>
      <c r="E241" s="122" t="s">
        <v>631</v>
      </c>
      <c r="F241" s="123">
        <f t="shared" si="29"/>
        <v>0</v>
      </c>
      <c r="G241" s="123">
        <f>G242</f>
        <v>0</v>
      </c>
      <c r="H241" s="123">
        <f>H242</f>
        <v>0</v>
      </c>
      <c r="I241" s="123">
        <f>I242</f>
        <v>0</v>
      </c>
      <c r="J241" s="123">
        <f>J242</f>
        <v>0</v>
      </c>
      <c r="K241" s="123">
        <f t="shared" si="30"/>
        <v>7269120</v>
      </c>
      <c r="L241" s="123">
        <f>L242</f>
        <v>0</v>
      </c>
      <c r="M241" s="123">
        <f>M242</f>
        <v>0</v>
      </c>
      <c r="N241" s="123">
        <f>N242</f>
        <v>0</v>
      </c>
      <c r="O241" s="123">
        <f>O242</f>
        <v>7269120</v>
      </c>
      <c r="P241" s="123">
        <f>P242</f>
        <v>7269120</v>
      </c>
      <c r="Q241" s="123">
        <f t="shared" si="31"/>
        <v>7269120</v>
      </c>
    </row>
    <row r="242" spans="1:17" ht="25.5">
      <c r="A242" s="50" t="s">
        <v>235</v>
      </c>
      <c r="B242" s="28" t="s">
        <v>87</v>
      </c>
      <c r="C242" s="50" t="s">
        <v>981</v>
      </c>
      <c r="D242" s="50" t="s">
        <v>577</v>
      </c>
      <c r="E242" s="49" t="s">
        <v>174</v>
      </c>
      <c r="F242" s="26">
        <f t="shared" si="29"/>
        <v>0</v>
      </c>
      <c r="G242" s="27"/>
      <c r="H242" s="27"/>
      <c r="I242" s="27"/>
      <c r="J242" s="27"/>
      <c r="K242" s="26">
        <f t="shared" si="30"/>
        <v>7269120</v>
      </c>
      <c r="L242" s="27"/>
      <c r="M242" s="27"/>
      <c r="N242" s="27"/>
      <c r="O242" s="27">
        <f>P242</f>
        <v>7269120</v>
      </c>
      <c r="P242" s="27">
        <f>7500000-230880</f>
        <v>7269120</v>
      </c>
      <c r="Q242" s="26">
        <f t="shared" si="31"/>
        <v>7269120</v>
      </c>
    </row>
    <row r="243" spans="1:17" s="41" customFormat="1" ht="12.75" hidden="1">
      <c r="A243" s="112" t="s">
        <v>908</v>
      </c>
      <c r="B243" s="111" t="s">
        <v>98</v>
      </c>
      <c r="C243" s="111" t="s">
        <v>1016</v>
      </c>
      <c r="D243" s="111"/>
      <c r="E243" s="122" t="s">
        <v>99</v>
      </c>
      <c r="F243" s="27">
        <f>G243+J243</f>
        <v>0</v>
      </c>
      <c r="G243" s="114">
        <f aca="true" t="shared" si="32" ref="G243:J244">G244</f>
        <v>0</v>
      </c>
      <c r="H243" s="114">
        <f t="shared" si="32"/>
        <v>0</v>
      </c>
      <c r="I243" s="114">
        <f t="shared" si="32"/>
        <v>0</v>
      </c>
      <c r="J243" s="114">
        <f t="shared" si="32"/>
        <v>0</v>
      </c>
      <c r="K243" s="27">
        <f>L243+O243</f>
        <v>0</v>
      </c>
      <c r="L243" s="114">
        <f aca="true" t="shared" si="33" ref="L243:P244">L244</f>
        <v>0</v>
      </c>
      <c r="M243" s="114">
        <f t="shared" si="33"/>
        <v>0</v>
      </c>
      <c r="N243" s="114">
        <f t="shared" si="33"/>
        <v>0</v>
      </c>
      <c r="O243" s="114">
        <f t="shared" si="33"/>
        <v>0</v>
      </c>
      <c r="P243" s="114">
        <f t="shared" si="33"/>
        <v>0</v>
      </c>
      <c r="Q243" s="27">
        <f>F243+K243</f>
        <v>0</v>
      </c>
    </row>
    <row r="244" spans="1:17" ht="54.75" customHeight="1" hidden="1">
      <c r="A244" s="93" t="s">
        <v>909</v>
      </c>
      <c r="B244" s="85" t="s">
        <v>53</v>
      </c>
      <c r="C244" s="85" t="s">
        <v>993</v>
      </c>
      <c r="D244" s="85" t="s">
        <v>578</v>
      </c>
      <c r="E244" s="87" t="s">
        <v>432</v>
      </c>
      <c r="F244" s="26">
        <f>G244+J244</f>
        <v>0</v>
      </c>
      <c r="G244" s="88">
        <f t="shared" si="32"/>
        <v>0</v>
      </c>
      <c r="H244" s="88">
        <f t="shared" si="32"/>
        <v>0</v>
      </c>
      <c r="I244" s="88">
        <f t="shared" si="32"/>
        <v>0</v>
      </c>
      <c r="J244" s="88">
        <f t="shared" si="32"/>
        <v>0</v>
      </c>
      <c r="K244" s="26">
        <f>L244+O244</f>
        <v>0</v>
      </c>
      <c r="L244" s="88">
        <f t="shared" si="33"/>
        <v>0</v>
      </c>
      <c r="M244" s="88">
        <f t="shared" si="33"/>
        <v>0</v>
      </c>
      <c r="N244" s="88">
        <f t="shared" si="33"/>
        <v>0</v>
      </c>
      <c r="O244" s="88">
        <f t="shared" si="33"/>
        <v>0</v>
      </c>
      <c r="P244" s="88">
        <f t="shared" si="33"/>
        <v>0</v>
      </c>
      <c r="Q244" s="26">
        <f>F244+K244</f>
        <v>0</v>
      </c>
    </row>
    <row r="245" spans="1:17" ht="25.5" hidden="1">
      <c r="A245" s="59" t="s">
        <v>910</v>
      </c>
      <c r="B245" s="28" t="s">
        <v>53</v>
      </c>
      <c r="C245" s="50" t="s">
        <v>994</v>
      </c>
      <c r="D245" s="50" t="s">
        <v>578</v>
      </c>
      <c r="E245" s="48" t="s">
        <v>175</v>
      </c>
      <c r="F245" s="26">
        <f>G245+J245</f>
        <v>0</v>
      </c>
      <c r="G245" s="27"/>
      <c r="H245" s="27"/>
      <c r="I245" s="27"/>
      <c r="J245" s="27"/>
      <c r="K245" s="26">
        <f>L245+O245</f>
        <v>0</v>
      </c>
      <c r="L245" s="27"/>
      <c r="M245" s="27"/>
      <c r="N245" s="27"/>
      <c r="O245" s="27"/>
      <c r="P245" s="27"/>
      <c r="Q245" s="26">
        <f>F245+K245</f>
        <v>0</v>
      </c>
    </row>
    <row r="246" spans="1:18" ht="25.5">
      <c r="A246" s="62" t="s">
        <v>236</v>
      </c>
      <c r="B246" s="62" t="s">
        <v>156</v>
      </c>
      <c r="C246" s="62" t="s">
        <v>156</v>
      </c>
      <c r="D246" s="62"/>
      <c r="E246" s="61" t="s">
        <v>141</v>
      </c>
      <c r="F246" s="39">
        <f>G246+J246</f>
        <v>6241736</v>
      </c>
      <c r="G246" s="39">
        <f>G247</f>
        <v>6241736</v>
      </c>
      <c r="H246" s="39">
        <f>H247</f>
        <v>3969668</v>
      </c>
      <c r="I246" s="39">
        <f>I247</f>
        <v>180823</v>
      </c>
      <c r="J246" s="39">
        <f>J247</f>
        <v>0</v>
      </c>
      <c r="K246" s="39">
        <f>L246+O246</f>
        <v>108583</v>
      </c>
      <c r="L246" s="39">
        <f>L247</f>
        <v>0</v>
      </c>
      <c r="M246" s="39">
        <f>M247</f>
        <v>0</v>
      </c>
      <c r="N246" s="39">
        <f>N247</f>
        <v>0</v>
      </c>
      <c r="O246" s="39">
        <f>O247</f>
        <v>108583</v>
      </c>
      <c r="P246" s="39">
        <f>P247</f>
        <v>108583</v>
      </c>
      <c r="Q246" s="40">
        <f>F246+K246</f>
        <v>6350319</v>
      </c>
      <c r="R246" s="164">
        <f>Q246-'[1]Місто'!$Q$244</f>
        <v>-110407</v>
      </c>
    </row>
    <row r="247" spans="1:17" ht="25.5">
      <c r="A247" s="31" t="s">
        <v>237</v>
      </c>
      <c r="B247" s="31"/>
      <c r="C247" s="31"/>
      <c r="D247" s="31"/>
      <c r="E247" s="49" t="s">
        <v>141</v>
      </c>
      <c r="F247" s="27">
        <f>G247+J247</f>
        <v>6241736</v>
      </c>
      <c r="G247" s="27">
        <f>G248+G250+G252</f>
        <v>6241736</v>
      </c>
      <c r="H247" s="27">
        <f>H248+H250+H252</f>
        <v>3969668</v>
      </c>
      <c r="I247" s="27">
        <f>I248+I250+I252</f>
        <v>180823</v>
      </c>
      <c r="J247" s="27">
        <f>J248+J250+J252</f>
        <v>0</v>
      </c>
      <c r="K247" s="27">
        <f>L247+O247</f>
        <v>108583</v>
      </c>
      <c r="L247" s="27">
        <f>L248+L250+L252</f>
        <v>0</v>
      </c>
      <c r="M247" s="27">
        <f>M248+M250+M252</f>
        <v>0</v>
      </c>
      <c r="N247" s="27">
        <f>N248+N250+N252</f>
        <v>0</v>
      </c>
      <c r="O247" s="27">
        <f>O248+O250+O252</f>
        <v>108583</v>
      </c>
      <c r="P247" s="27">
        <f>P248+P250+P252</f>
        <v>108583</v>
      </c>
      <c r="Q247" s="27">
        <f>F247+K247</f>
        <v>6350319</v>
      </c>
    </row>
    <row r="248" spans="1:17" ht="12.75">
      <c r="A248" s="112" t="s">
        <v>681</v>
      </c>
      <c r="B248" s="111" t="s">
        <v>672</v>
      </c>
      <c r="C248" s="111" t="s">
        <v>973</v>
      </c>
      <c r="D248" s="111"/>
      <c r="E248" s="127" t="s">
        <v>674</v>
      </c>
      <c r="F248" s="27">
        <f aca="true" t="shared" si="34" ref="F248:F254">G248+J248</f>
        <v>5422805</v>
      </c>
      <c r="G248" s="114">
        <f>G249</f>
        <v>5422805</v>
      </c>
      <c r="H248" s="114">
        <f>H249</f>
        <v>3969668</v>
      </c>
      <c r="I248" s="114">
        <f>I249</f>
        <v>180823</v>
      </c>
      <c r="J248" s="114">
        <f>J249</f>
        <v>0</v>
      </c>
      <c r="K248" s="27">
        <f aca="true" t="shared" si="35" ref="K248:K254">L248+O248</f>
        <v>0</v>
      </c>
      <c r="L248" s="114">
        <f>L249</f>
        <v>0</v>
      </c>
      <c r="M248" s="114">
        <f>M249</f>
        <v>0</v>
      </c>
      <c r="N248" s="114">
        <f>N249</f>
        <v>0</v>
      </c>
      <c r="O248" s="114">
        <f>O249</f>
        <v>0</v>
      </c>
      <c r="P248" s="114">
        <f>P249</f>
        <v>0</v>
      </c>
      <c r="Q248" s="27">
        <f aca="true" t="shared" si="36" ref="Q248:Q254">F248+K248</f>
        <v>5422805</v>
      </c>
    </row>
    <row r="249" spans="1:17" ht="25.5">
      <c r="A249" s="50" t="s">
        <v>4</v>
      </c>
      <c r="B249" s="28" t="s">
        <v>33</v>
      </c>
      <c r="C249" s="50" t="s">
        <v>614</v>
      </c>
      <c r="D249" s="50" t="s">
        <v>575</v>
      </c>
      <c r="E249" s="51" t="s">
        <v>1189</v>
      </c>
      <c r="F249" s="27">
        <f t="shared" si="34"/>
        <v>5422805</v>
      </c>
      <c r="G249" s="27">
        <f>5533212-129273+18866</f>
        <v>5422805</v>
      </c>
      <c r="H249" s="27">
        <v>3969668</v>
      </c>
      <c r="I249" s="27">
        <v>180823</v>
      </c>
      <c r="J249" s="27"/>
      <c r="K249" s="27">
        <f t="shared" si="35"/>
        <v>0</v>
      </c>
      <c r="L249" s="27"/>
      <c r="M249" s="27"/>
      <c r="N249" s="27"/>
      <c r="O249" s="27"/>
      <c r="P249" s="27"/>
      <c r="Q249" s="27">
        <f t="shared" si="36"/>
        <v>5422805</v>
      </c>
    </row>
    <row r="250" spans="1:17" s="2" customFormat="1" ht="13.5" customHeight="1">
      <c r="A250" s="116" t="s">
        <v>1139</v>
      </c>
      <c r="B250" s="116" t="s">
        <v>621</v>
      </c>
      <c r="C250" s="116" t="s">
        <v>1037</v>
      </c>
      <c r="D250" s="116"/>
      <c r="E250" s="120" t="s">
        <v>623</v>
      </c>
      <c r="F250" s="26">
        <f t="shared" si="34"/>
        <v>312136</v>
      </c>
      <c r="G250" s="121">
        <f>G251</f>
        <v>312136</v>
      </c>
      <c r="H250" s="121">
        <f>H251</f>
        <v>0</v>
      </c>
      <c r="I250" s="121">
        <f>I251</f>
        <v>0</v>
      </c>
      <c r="J250" s="121">
        <f>J251</f>
        <v>0</v>
      </c>
      <c r="K250" s="26">
        <f t="shared" si="35"/>
        <v>108583</v>
      </c>
      <c r="L250" s="121">
        <f>L251</f>
        <v>0</v>
      </c>
      <c r="M250" s="121">
        <f>M251</f>
        <v>0</v>
      </c>
      <c r="N250" s="121">
        <f>N251</f>
        <v>0</v>
      </c>
      <c r="O250" s="121">
        <f>O251</f>
        <v>108583</v>
      </c>
      <c r="P250" s="121">
        <f>P251</f>
        <v>108583</v>
      </c>
      <c r="Q250" s="133">
        <f t="shared" si="36"/>
        <v>420719</v>
      </c>
    </row>
    <row r="251" spans="1:17" ht="91.5" customHeight="1">
      <c r="A251" s="50" t="s">
        <v>859</v>
      </c>
      <c r="B251" s="7" t="s">
        <v>31</v>
      </c>
      <c r="C251" s="7" t="s">
        <v>589</v>
      </c>
      <c r="D251" s="7" t="s">
        <v>579</v>
      </c>
      <c r="E251" s="10" t="s">
        <v>1180</v>
      </c>
      <c r="F251" s="27">
        <f t="shared" si="34"/>
        <v>312136</v>
      </c>
      <c r="G251" s="27">
        <v>312136</v>
      </c>
      <c r="H251" s="27"/>
      <c r="I251" s="27"/>
      <c r="J251" s="27"/>
      <c r="K251" s="27">
        <f t="shared" si="35"/>
        <v>108583</v>
      </c>
      <c r="L251" s="27"/>
      <c r="M251" s="27"/>
      <c r="N251" s="27"/>
      <c r="O251" s="27">
        <f>P251</f>
        <v>108583</v>
      </c>
      <c r="P251" s="27">
        <v>108583</v>
      </c>
      <c r="Q251" s="27">
        <f t="shared" si="36"/>
        <v>420719</v>
      </c>
    </row>
    <row r="252" spans="1:17" s="2" customFormat="1" ht="25.5">
      <c r="A252" s="116" t="s">
        <v>1138</v>
      </c>
      <c r="B252" s="116" t="s">
        <v>624</v>
      </c>
      <c r="C252" s="116" t="s">
        <v>1105</v>
      </c>
      <c r="D252" s="116"/>
      <c r="E252" s="120" t="s">
        <v>626</v>
      </c>
      <c r="F252" s="26">
        <f t="shared" si="34"/>
        <v>506795</v>
      </c>
      <c r="G252" s="121">
        <f>G253</f>
        <v>506795</v>
      </c>
      <c r="H252" s="134">
        <f aca="true" t="shared" si="37" ref="H252:J253">H253</f>
        <v>0</v>
      </c>
      <c r="I252" s="134">
        <f t="shared" si="37"/>
        <v>0</v>
      </c>
      <c r="J252" s="134">
        <f t="shared" si="37"/>
        <v>0</v>
      </c>
      <c r="K252" s="26">
        <f t="shared" si="35"/>
        <v>0</v>
      </c>
      <c r="L252" s="134">
        <f aca="true" t="shared" si="38" ref="L252:P253">L253</f>
        <v>0</v>
      </c>
      <c r="M252" s="134">
        <f t="shared" si="38"/>
        <v>0</v>
      </c>
      <c r="N252" s="134">
        <f t="shared" si="38"/>
        <v>0</v>
      </c>
      <c r="O252" s="134">
        <f t="shared" si="38"/>
        <v>0</v>
      </c>
      <c r="P252" s="134">
        <f t="shared" si="38"/>
        <v>0</v>
      </c>
      <c r="Q252" s="133">
        <f t="shared" si="36"/>
        <v>506795</v>
      </c>
    </row>
    <row r="253" spans="1:17" ht="25.5">
      <c r="A253" s="50" t="s">
        <v>863</v>
      </c>
      <c r="B253" s="7"/>
      <c r="C253" s="7" t="s">
        <v>1077</v>
      </c>
      <c r="D253" s="7"/>
      <c r="E253" s="48" t="s">
        <v>862</v>
      </c>
      <c r="F253" s="27">
        <f t="shared" si="34"/>
        <v>506795</v>
      </c>
      <c r="G253" s="27">
        <f>G254</f>
        <v>506795</v>
      </c>
      <c r="H253" s="27">
        <f t="shared" si="37"/>
        <v>0</v>
      </c>
      <c r="I253" s="27">
        <f t="shared" si="37"/>
        <v>0</v>
      </c>
      <c r="J253" s="27">
        <f t="shared" si="37"/>
        <v>0</v>
      </c>
      <c r="K253" s="27">
        <f t="shared" si="35"/>
        <v>0</v>
      </c>
      <c r="L253" s="27">
        <f t="shared" si="38"/>
        <v>0</v>
      </c>
      <c r="M253" s="27">
        <f t="shared" si="38"/>
        <v>0</v>
      </c>
      <c r="N253" s="27">
        <f t="shared" si="38"/>
        <v>0</v>
      </c>
      <c r="O253" s="27">
        <f t="shared" si="38"/>
        <v>0</v>
      </c>
      <c r="P253" s="27">
        <f t="shared" si="38"/>
        <v>0</v>
      </c>
      <c r="Q253" s="27">
        <f t="shared" si="36"/>
        <v>506795</v>
      </c>
    </row>
    <row r="254" spans="1:17" ht="39" customHeight="1">
      <c r="A254" s="50" t="s">
        <v>860</v>
      </c>
      <c r="B254" s="7" t="s">
        <v>855</v>
      </c>
      <c r="C254" s="7" t="s">
        <v>1078</v>
      </c>
      <c r="D254" s="7" t="s">
        <v>856</v>
      </c>
      <c r="E254" s="10" t="s">
        <v>861</v>
      </c>
      <c r="F254" s="27">
        <f t="shared" si="34"/>
        <v>506795</v>
      </c>
      <c r="G254" s="27">
        <v>506795</v>
      </c>
      <c r="H254" s="27"/>
      <c r="I254" s="27"/>
      <c r="J254" s="27"/>
      <c r="K254" s="27">
        <f t="shared" si="35"/>
        <v>0</v>
      </c>
      <c r="L254" s="27"/>
      <c r="M254" s="27"/>
      <c r="N254" s="27"/>
      <c r="O254" s="27"/>
      <c r="P254" s="27"/>
      <c r="Q254" s="27">
        <f t="shared" si="36"/>
        <v>506795</v>
      </c>
    </row>
    <row r="255" spans="1:18" s="2" customFormat="1" ht="40.5" customHeight="1">
      <c r="A255" s="11" t="s">
        <v>238</v>
      </c>
      <c r="B255" s="11" t="s">
        <v>152</v>
      </c>
      <c r="C255" s="11" t="s">
        <v>152</v>
      </c>
      <c r="D255" s="11"/>
      <c r="E255" s="13" t="s">
        <v>814</v>
      </c>
      <c r="F255" s="21">
        <f aca="true" t="shared" si="39" ref="F255:F260">G255+J255</f>
        <v>2666830</v>
      </c>
      <c r="G255" s="21">
        <f>G256</f>
        <v>2666830</v>
      </c>
      <c r="H255" s="21">
        <f aca="true" t="shared" si="40" ref="H255:J257">H256</f>
        <v>1847607</v>
      </c>
      <c r="I255" s="21">
        <f t="shared" si="40"/>
        <v>83453</v>
      </c>
      <c r="J255" s="21">
        <f t="shared" si="40"/>
        <v>0</v>
      </c>
      <c r="K255" s="21">
        <f aca="true" t="shared" si="41" ref="K255:K260">L255+O255</f>
        <v>0</v>
      </c>
      <c r="L255" s="21">
        <f aca="true" t="shared" si="42" ref="L255:P257">L256</f>
        <v>0</v>
      </c>
      <c r="M255" s="21">
        <f t="shared" si="42"/>
        <v>0</v>
      </c>
      <c r="N255" s="21">
        <f t="shared" si="42"/>
        <v>0</v>
      </c>
      <c r="O255" s="21">
        <f t="shared" si="42"/>
        <v>0</v>
      </c>
      <c r="P255" s="21">
        <f t="shared" si="42"/>
        <v>0</v>
      </c>
      <c r="Q255" s="40">
        <f aca="true" t="shared" si="43" ref="Q255:Q260">F255+K255</f>
        <v>2666830</v>
      </c>
      <c r="R255" s="191">
        <f>Q255-'[1]Місто'!$Q$253</f>
        <v>12150</v>
      </c>
    </row>
    <row r="256" spans="1:17" s="2" customFormat="1" ht="39.75" customHeight="1">
      <c r="A256" s="7" t="s">
        <v>239</v>
      </c>
      <c r="B256" s="7"/>
      <c r="C256" s="7"/>
      <c r="D256" s="7"/>
      <c r="E256" s="124" t="s">
        <v>814</v>
      </c>
      <c r="F256" s="18">
        <f t="shared" si="39"/>
        <v>2666830</v>
      </c>
      <c r="G256" s="18">
        <f>G257</f>
        <v>2666830</v>
      </c>
      <c r="H256" s="18">
        <f t="shared" si="40"/>
        <v>1847607</v>
      </c>
      <c r="I256" s="18">
        <f t="shared" si="40"/>
        <v>83453</v>
      </c>
      <c r="J256" s="18">
        <f t="shared" si="40"/>
        <v>0</v>
      </c>
      <c r="K256" s="18">
        <f t="shared" si="41"/>
        <v>0</v>
      </c>
      <c r="L256" s="18">
        <f t="shared" si="42"/>
        <v>0</v>
      </c>
      <c r="M256" s="18">
        <f t="shared" si="42"/>
        <v>0</v>
      </c>
      <c r="N256" s="18">
        <f t="shared" si="42"/>
        <v>0</v>
      </c>
      <c r="O256" s="18">
        <f t="shared" si="42"/>
        <v>0</v>
      </c>
      <c r="P256" s="18">
        <f t="shared" si="42"/>
        <v>0</v>
      </c>
      <c r="Q256" s="18">
        <f t="shared" si="43"/>
        <v>2666830</v>
      </c>
    </row>
    <row r="257" spans="1:17" s="2" customFormat="1" ht="12.75">
      <c r="A257" s="117" t="s">
        <v>682</v>
      </c>
      <c r="B257" s="116" t="s">
        <v>672</v>
      </c>
      <c r="C257" s="116" t="s">
        <v>973</v>
      </c>
      <c r="D257" s="116"/>
      <c r="E257" s="124" t="s">
        <v>674</v>
      </c>
      <c r="F257" s="18">
        <f t="shared" si="39"/>
        <v>2666830</v>
      </c>
      <c r="G257" s="121">
        <f>G258</f>
        <v>2666830</v>
      </c>
      <c r="H257" s="121">
        <f t="shared" si="40"/>
        <v>1847607</v>
      </c>
      <c r="I257" s="121">
        <f t="shared" si="40"/>
        <v>83453</v>
      </c>
      <c r="J257" s="121">
        <f t="shared" si="40"/>
        <v>0</v>
      </c>
      <c r="K257" s="18">
        <f t="shared" si="41"/>
        <v>0</v>
      </c>
      <c r="L257" s="121">
        <f t="shared" si="42"/>
        <v>0</v>
      </c>
      <c r="M257" s="121">
        <f t="shared" si="42"/>
        <v>0</v>
      </c>
      <c r="N257" s="121">
        <f t="shared" si="42"/>
        <v>0</v>
      </c>
      <c r="O257" s="121">
        <f t="shared" si="42"/>
        <v>0</v>
      </c>
      <c r="P257" s="121">
        <f t="shared" si="42"/>
        <v>0</v>
      </c>
      <c r="Q257" s="18">
        <f t="shared" si="43"/>
        <v>2666830</v>
      </c>
    </row>
    <row r="258" spans="1:17" s="2" customFormat="1" ht="25.5">
      <c r="A258" s="6" t="s">
        <v>5</v>
      </c>
      <c r="B258" s="6" t="s">
        <v>33</v>
      </c>
      <c r="C258" s="6" t="s">
        <v>614</v>
      </c>
      <c r="D258" s="6" t="s">
        <v>575</v>
      </c>
      <c r="E258" s="51" t="s">
        <v>891</v>
      </c>
      <c r="F258" s="18">
        <f t="shared" si="39"/>
        <v>2666830</v>
      </c>
      <c r="G258" s="18">
        <f>2654680-62535+74685</f>
        <v>2666830</v>
      </c>
      <c r="H258" s="18">
        <f>1786390+61217</f>
        <v>1847607</v>
      </c>
      <c r="I258" s="18">
        <v>83453</v>
      </c>
      <c r="J258" s="18"/>
      <c r="K258" s="18">
        <f t="shared" si="41"/>
        <v>0</v>
      </c>
      <c r="L258" s="18"/>
      <c r="M258" s="18"/>
      <c r="N258" s="18"/>
      <c r="O258" s="18"/>
      <c r="P258" s="18"/>
      <c r="Q258" s="18">
        <f t="shared" si="43"/>
        <v>2666830</v>
      </c>
    </row>
    <row r="259" spans="1:18" ht="25.5">
      <c r="A259" s="62" t="s">
        <v>240</v>
      </c>
      <c r="B259" s="62" t="s">
        <v>161</v>
      </c>
      <c r="C259" s="62" t="s">
        <v>161</v>
      </c>
      <c r="D259" s="62"/>
      <c r="E259" s="61" t="s">
        <v>799</v>
      </c>
      <c r="F259" s="39">
        <f t="shared" si="39"/>
        <v>135951784</v>
      </c>
      <c r="G259" s="39">
        <f>G260</f>
        <v>135951784</v>
      </c>
      <c r="H259" s="39">
        <f>H260</f>
        <v>90576682</v>
      </c>
      <c r="I259" s="39">
        <f>I260</f>
        <v>7173052</v>
      </c>
      <c r="J259" s="39">
        <f>J260</f>
        <v>0</v>
      </c>
      <c r="K259" s="39">
        <f t="shared" si="41"/>
        <v>21356937</v>
      </c>
      <c r="L259" s="39">
        <f>L260</f>
        <v>7140037</v>
      </c>
      <c r="M259" s="39">
        <f>M260</f>
        <v>3635393</v>
      </c>
      <c r="N259" s="39">
        <f>N260</f>
        <v>868395</v>
      </c>
      <c r="O259" s="39">
        <f>O260</f>
        <v>14216900</v>
      </c>
      <c r="P259" s="39">
        <f>P260</f>
        <v>14216900</v>
      </c>
      <c r="Q259" s="40">
        <f t="shared" si="43"/>
        <v>157308721</v>
      </c>
      <c r="R259" s="164">
        <f>Q259-'[1]Місто'!$Q$257</f>
        <v>647833</v>
      </c>
    </row>
    <row r="260" spans="1:17" ht="25.5">
      <c r="A260" s="59" t="s">
        <v>241</v>
      </c>
      <c r="B260" s="31"/>
      <c r="C260" s="31"/>
      <c r="D260" s="31"/>
      <c r="E260" s="69" t="s">
        <v>799</v>
      </c>
      <c r="F260" s="26">
        <f t="shared" si="39"/>
        <v>135951784</v>
      </c>
      <c r="G260" s="26">
        <f>G261+G263+G277+G275</f>
        <v>135951784</v>
      </c>
      <c r="H260" s="26">
        <f>H261+H263+H277+H275</f>
        <v>90576682</v>
      </c>
      <c r="I260" s="26">
        <f>I261+I263+I277+I275</f>
        <v>7173052</v>
      </c>
      <c r="J260" s="26">
        <f>J261+J263+J277+J275</f>
        <v>0</v>
      </c>
      <c r="K260" s="26">
        <f t="shared" si="41"/>
        <v>21356937</v>
      </c>
      <c r="L260" s="26">
        <f>L261+L263+L277+L275</f>
        <v>7140037</v>
      </c>
      <c r="M260" s="26">
        <f>M261+M263+M277+M275</f>
        <v>3635393</v>
      </c>
      <c r="N260" s="26">
        <f>N261+N263+N277+N275</f>
        <v>868395</v>
      </c>
      <c r="O260" s="26">
        <f>O261+O263+O277+O275</f>
        <v>14216900</v>
      </c>
      <c r="P260" s="26">
        <f>P261+P263+P277+P275</f>
        <v>14216900</v>
      </c>
      <c r="Q260" s="26">
        <f t="shared" si="43"/>
        <v>157308721</v>
      </c>
    </row>
    <row r="261" spans="1:17" ht="12.75">
      <c r="A261" s="112" t="s">
        <v>683</v>
      </c>
      <c r="B261" s="111" t="s">
        <v>672</v>
      </c>
      <c r="C261" s="111" t="s">
        <v>973</v>
      </c>
      <c r="D261" s="111"/>
      <c r="E261" s="128" t="s">
        <v>674</v>
      </c>
      <c r="F261" s="26">
        <f aca="true" t="shared" si="44" ref="F261:F278">G261+J261</f>
        <v>2589183</v>
      </c>
      <c r="G261" s="123">
        <f>G262</f>
        <v>2589183</v>
      </c>
      <c r="H261" s="123">
        <f>H262</f>
        <v>1949043</v>
      </c>
      <c r="I261" s="123">
        <f>I262</f>
        <v>157181</v>
      </c>
      <c r="J261" s="123">
        <f>J262</f>
        <v>0</v>
      </c>
      <c r="K261" s="26">
        <f aca="true" t="shared" si="45" ref="K261:K278">L261+O261</f>
        <v>1546654</v>
      </c>
      <c r="L261" s="123">
        <f>L262</f>
        <v>0</v>
      </c>
      <c r="M261" s="123">
        <f>M262</f>
        <v>0</v>
      </c>
      <c r="N261" s="123">
        <f>N262</f>
        <v>0</v>
      </c>
      <c r="O261" s="123">
        <f>O262</f>
        <v>1546654</v>
      </c>
      <c r="P261" s="123">
        <f>P262</f>
        <v>1546654</v>
      </c>
      <c r="Q261" s="26">
        <f aca="true" t="shared" si="46" ref="Q261:Q278">F261+K261</f>
        <v>4135837</v>
      </c>
    </row>
    <row r="262" spans="1:17" ht="25.5">
      <c r="A262" s="50" t="s">
        <v>6</v>
      </c>
      <c r="B262" s="28" t="s">
        <v>33</v>
      </c>
      <c r="C262" s="50" t="s">
        <v>614</v>
      </c>
      <c r="D262" s="50" t="s">
        <v>575</v>
      </c>
      <c r="E262" s="51" t="s">
        <v>972</v>
      </c>
      <c r="F262" s="26">
        <f t="shared" si="44"/>
        <v>2589183</v>
      </c>
      <c r="G262" s="27">
        <f>2630606-41423</f>
        <v>2589183</v>
      </c>
      <c r="H262" s="27">
        <v>1949043</v>
      </c>
      <c r="I262" s="27">
        <v>157181</v>
      </c>
      <c r="J262" s="27"/>
      <c r="K262" s="26">
        <f t="shared" si="45"/>
        <v>1546654</v>
      </c>
      <c r="L262" s="27"/>
      <c r="M262" s="27"/>
      <c r="N262" s="27"/>
      <c r="O262" s="27">
        <f>P262</f>
        <v>1546654</v>
      </c>
      <c r="P262" s="27">
        <v>1546654</v>
      </c>
      <c r="Q262" s="26">
        <f t="shared" si="46"/>
        <v>4135837</v>
      </c>
    </row>
    <row r="263" spans="1:17" ht="12.75">
      <c r="A263" s="112" t="s">
        <v>659</v>
      </c>
      <c r="B263" s="112" t="s">
        <v>660</v>
      </c>
      <c r="C263" s="112" t="s">
        <v>1079</v>
      </c>
      <c r="D263" s="112"/>
      <c r="E263" s="113" t="s">
        <v>658</v>
      </c>
      <c r="F263" s="26">
        <f t="shared" si="44"/>
        <v>132740396</v>
      </c>
      <c r="G263" s="114">
        <f>G264+G265+G266+G267+G268+G269</f>
        <v>132740396</v>
      </c>
      <c r="H263" s="114">
        <f>H264+H265+H266+H267+H268+H269</f>
        <v>88622639</v>
      </c>
      <c r="I263" s="114">
        <f>I264+I265+I266+I267+I268+I269</f>
        <v>7015871</v>
      </c>
      <c r="J263" s="114">
        <f>J264+J265+J266+J267+J268+J269</f>
        <v>0</v>
      </c>
      <c r="K263" s="26">
        <f t="shared" si="45"/>
        <v>18334733</v>
      </c>
      <c r="L263" s="114">
        <f>L264+L265+L266+L267+L268+L269</f>
        <v>7140037</v>
      </c>
      <c r="M263" s="114">
        <f>M264+M265+M266+M267+M268+M269</f>
        <v>3635393</v>
      </c>
      <c r="N263" s="114">
        <f>N264+N265+N266+N267+N268+N269</f>
        <v>868395</v>
      </c>
      <c r="O263" s="114">
        <f>O264+O265+O266+O267+O268+O269</f>
        <v>11194696</v>
      </c>
      <c r="P263" s="114">
        <f>P264+P265+P266+P267+P268+P269</f>
        <v>11194696</v>
      </c>
      <c r="Q263" s="26">
        <f t="shared" si="46"/>
        <v>151075129</v>
      </c>
    </row>
    <row r="264" spans="1:17" ht="12.75">
      <c r="A264" s="50" t="s">
        <v>242</v>
      </c>
      <c r="B264" s="28">
        <v>110102</v>
      </c>
      <c r="C264" s="50" t="s">
        <v>1080</v>
      </c>
      <c r="D264" s="50" t="s">
        <v>602</v>
      </c>
      <c r="E264" s="48" t="s">
        <v>49</v>
      </c>
      <c r="F264" s="26">
        <f t="shared" si="44"/>
        <v>7923779</v>
      </c>
      <c r="G264" s="27">
        <v>7923779</v>
      </c>
      <c r="H264" s="27"/>
      <c r="I264" s="27"/>
      <c r="J264" s="27"/>
      <c r="K264" s="26">
        <f t="shared" si="45"/>
        <v>808480</v>
      </c>
      <c r="L264" s="27"/>
      <c r="M264" s="27"/>
      <c r="N264" s="27"/>
      <c r="O264" s="27">
        <f>P264</f>
        <v>808480</v>
      </c>
      <c r="P264" s="27">
        <v>808480</v>
      </c>
      <c r="Q264" s="26">
        <f t="shared" si="46"/>
        <v>8732259</v>
      </c>
    </row>
    <row r="265" spans="1:17" ht="12.75">
      <c r="A265" s="50" t="s">
        <v>243</v>
      </c>
      <c r="B265" s="28">
        <v>110201</v>
      </c>
      <c r="C265" s="50" t="s">
        <v>1081</v>
      </c>
      <c r="D265" s="50" t="s">
        <v>603</v>
      </c>
      <c r="E265" s="48" t="s">
        <v>50</v>
      </c>
      <c r="F265" s="26">
        <f t="shared" si="44"/>
        <v>23472177</v>
      </c>
      <c r="G265" s="27">
        <f>23400177+(10000)+(25000)+(12000)+(17000)+(8000)</f>
        <v>23472177</v>
      </c>
      <c r="H265" s="27">
        <v>15886809</v>
      </c>
      <c r="I265" s="27">
        <v>1702769</v>
      </c>
      <c r="J265" s="27"/>
      <c r="K265" s="26">
        <f t="shared" si="45"/>
        <v>1326933</v>
      </c>
      <c r="L265" s="27">
        <v>6500</v>
      </c>
      <c r="M265" s="27"/>
      <c r="N265" s="27">
        <v>3497</v>
      </c>
      <c r="O265" s="27">
        <f>P265</f>
        <v>1320433</v>
      </c>
      <c r="P265" s="27">
        <f>985409+(25000)+(13000)+(13000)+242524+(30500)+(11000)</f>
        <v>1320433</v>
      </c>
      <c r="Q265" s="26">
        <f t="shared" si="46"/>
        <v>24799110</v>
      </c>
    </row>
    <row r="266" spans="1:17" ht="26.25" customHeight="1">
      <c r="A266" s="50" t="s">
        <v>244</v>
      </c>
      <c r="B266" s="28">
        <v>110204</v>
      </c>
      <c r="C266" s="50" t="s">
        <v>1082</v>
      </c>
      <c r="D266" s="50" t="s">
        <v>604</v>
      </c>
      <c r="E266" s="48" t="s">
        <v>92</v>
      </c>
      <c r="F266" s="26">
        <f t="shared" si="44"/>
        <v>15729325</v>
      </c>
      <c r="G266" s="27">
        <f>15702225+(500000)-(472900)</f>
        <v>15729325</v>
      </c>
      <c r="H266" s="27">
        <v>9539335</v>
      </c>
      <c r="I266" s="27">
        <v>3071130</v>
      </c>
      <c r="J266" s="27"/>
      <c r="K266" s="26">
        <f t="shared" si="45"/>
        <v>7131767</v>
      </c>
      <c r="L266" s="27">
        <v>1948897</v>
      </c>
      <c r="M266" s="27">
        <v>812596</v>
      </c>
      <c r="N266" s="27">
        <v>293670</v>
      </c>
      <c r="O266" s="27">
        <f>P266</f>
        <v>5182870</v>
      </c>
      <c r="P266" s="27">
        <f>4657870+(500000)+(25000)</f>
        <v>5182870</v>
      </c>
      <c r="Q266" s="26">
        <f t="shared" si="46"/>
        <v>22861092</v>
      </c>
    </row>
    <row r="267" spans="1:17" ht="12.75">
      <c r="A267" s="50" t="s">
        <v>326</v>
      </c>
      <c r="B267" s="28">
        <v>110205</v>
      </c>
      <c r="C267" s="50" t="s">
        <v>1083</v>
      </c>
      <c r="D267" s="50" t="s">
        <v>582</v>
      </c>
      <c r="E267" s="48" t="s">
        <v>51</v>
      </c>
      <c r="F267" s="26">
        <f t="shared" si="44"/>
        <v>76521888</v>
      </c>
      <c r="G267" s="27">
        <f>76359453+134435+(13000)+(15000)</f>
        <v>76521888</v>
      </c>
      <c r="H267" s="27">
        <v>60161747</v>
      </c>
      <c r="I267" s="27">
        <v>1958091</v>
      </c>
      <c r="J267" s="27"/>
      <c r="K267" s="26">
        <f t="shared" si="45"/>
        <v>9052913</v>
      </c>
      <c r="L267" s="27">
        <v>5170000</v>
      </c>
      <c r="M267" s="27">
        <v>2812135</v>
      </c>
      <c r="N267" s="27">
        <v>570718</v>
      </c>
      <c r="O267" s="27">
        <f>P267</f>
        <v>3882913</v>
      </c>
      <c r="P267" s="27">
        <f>4059872+65565-242524</f>
        <v>3882913</v>
      </c>
      <c r="Q267" s="26">
        <f t="shared" si="46"/>
        <v>85574801</v>
      </c>
    </row>
    <row r="268" spans="1:17" ht="12.75">
      <c r="A268" s="50" t="s">
        <v>245</v>
      </c>
      <c r="B268" s="28" t="s">
        <v>105</v>
      </c>
      <c r="C268" s="50" t="s">
        <v>1084</v>
      </c>
      <c r="D268" s="50" t="s">
        <v>605</v>
      </c>
      <c r="E268" s="25" t="s">
        <v>106</v>
      </c>
      <c r="F268" s="26">
        <f t="shared" si="44"/>
        <v>2726604</v>
      </c>
      <c r="G268" s="27">
        <v>2726604</v>
      </c>
      <c r="H268" s="27"/>
      <c r="I268" s="27"/>
      <c r="J268" s="27"/>
      <c r="K268" s="26">
        <f t="shared" si="45"/>
        <v>0</v>
      </c>
      <c r="L268" s="27"/>
      <c r="M268" s="27"/>
      <c r="N268" s="27"/>
      <c r="O268" s="27"/>
      <c r="P268" s="27"/>
      <c r="Q268" s="26">
        <f t="shared" si="46"/>
        <v>2726604</v>
      </c>
    </row>
    <row r="269" spans="1:17" ht="25.5">
      <c r="A269" s="85" t="s">
        <v>544</v>
      </c>
      <c r="B269" s="85" t="s">
        <v>246</v>
      </c>
      <c r="C269" s="85" t="s">
        <v>1085</v>
      </c>
      <c r="D269" s="85" t="s">
        <v>606</v>
      </c>
      <c r="E269" s="87" t="s">
        <v>416</v>
      </c>
      <c r="F269" s="26">
        <f t="shared" si="44"/>
        <v>6366623</v>
      </c>
      <c r="G269" s="88">
        <f>G270+G271+G272+G273+G274</f>
        <v>6366623</v>
      </c>
      <c r="H269" s="88">
        <f>H270+H271+H272+H273+H274</f>
        <v>3034748</v>
      </c>
      <c r="I269" s="88">
        <f>I270+I271+I272+I273+I274</f>
        <v>283881</v>
      </c>
      <c r="J269" s="88">
        <f>J270+J271+J272+J273+J274</f>
        <v>0</v>
      </c>
      <c r="K269" s="26">
        <f t="shared" si="45"/>
        <v>14640</v>
      </c>
      <c r="L269" s="88">
        <f>L270+L271+L272+L273+L274</f>
        <v>14640</v>
      </c>
      <c r="M269" s="88">
        <f>M270+M271+M272+M273+M274</f>
        <v>10662</v>
      </c>
      <c r="N269" s="88">
        <f>N270+N271+N272+N273+N274</f>
        <v>510</v>
      </c>
      <c r="O269" s="88">
        <f>O270+O271+O272+O273+O274</f>
        <v>0</v>
      </c>
      <c r="P269" s="88">
        <f>P270+P271+P272+P273+P274</f>
        <v>0</v>
      </c>
      <c r="Q269" s="26">
        <f t="shared" si="46"/>
        <v>6381263</v>
      </c>
    </row>
    <row r="270" spans="1:17" s="169" customFormat="1" ht="25.5" hidden="1">
      <c r="A270" s="170" t="s">
        <v>545</v>
      </c>
      <c r="B270" s="171">
        <v>110502</v>
      </c>
      <c r="C270" s="170" t="s">
        <v>1086</v>
      </c>
      <c r="D270" s="170" t="s">
        <v>606</v>
      </c>
      <c r="E270" s="175" t="s">
        <v>247</v>
      </c>
      <c r="F270" s="173">
        <f t="shared" si="44"/>
        <v>1977770</v>
      </c>
      <c r="G270" s="173">
        <f>2009635-31865</f>
        <v>1977770</v>
      </c>
      <c r="H270" s="176">
        <v>1471597</v>
      </c>
      <c r="I270" s="176">
        <v>49760</v>
      </c>
      <c r="J270" s="176"/>
      <c r="K270" s="173">
        <f t="shared" si="45"/>
        <v>0</v>
      </c>
      <c r="L270" s="177"/>
      <c r="M270" s="177"/>
      <c r="N270" s="177"/>
      <c r="O270" s="176"/>
      <c r="P270" s="173"/>
      <c r="Q270" s="173">
        <f t="shared" si="46"/>
        <v>1977770</v>
      </c>
    </row>
    <row r="271" spans="1:17" s="169" customFormat="1" ht="12.75" hidden="1">
      <c r="A271" s="170" t="s">
        <v>546</v>
      </c>
      <c r="B271" s="170" t="s">
        <v>246</v>
      </c>
      <c r="C271" s="170" t="s">
        <v>1087</v>
      </c>
      <c r="D271" s="170" t="s">
        <v>606</v>
      </c>
      <c r="E271" s="178" t="s">
        <v>499</v>
      </c>
      <c r="F271" s="173">
        <f t="shared" si="44"/>
        <v>430392</v>
      </c>
      <c r="G271" s="176">
        <v>430392</v>
      </c>
      <c r="H271" s="176">
        <v>346733</v>
      </c>
      <c r="I271" s="176"/>
      <c r="J271" s="176"/>
      <c r="K271" s="173">
        <f t="shared" si="45"/>
        <v>0</v>
      </c>
      <c r="L271" s="176"/>
      <c r="M271" s="173"/>
      <c r="N271" s="173"/>
      <c r="O271" s="176"/>
      <c r="P271" s="173"/>
      <c r="Q271" s="173">
        <f t="shared" si="46"/>
        <v>430392</v>
      </c>
    </row>
    <row r="272" spans="1:17" s="169" customFormat="1" ht="12.75" hidden="1">
      <c r="A272" s="170" t="s">
        <v>547</v>
      </c>
      <c r="B272" s="170" t="s">
        <v>246</v>
      </c>
      <c r="C272" s="170" t="s">
        <v>1088</v>
      </c>
      <c r="D272" s="170" t="s">
        <v>606</v>
      </c>
      <c r="E272" s="175" t="s">
        <v>248</v>
      </c>
      <c r="F272" s="173">
        <f t="shared" si="44"/>
        <v>887659</v>
      </c>
      <c r="G272" s="176">
        <v>887659</v>
      </c>
      <c r="H272" s="176">
        <v>73000</v>
      </c>
      <c r="I272" s="176"/>
      <c r="J272" s="176"/>
      <c r="K272" s="173">
        <f t="shared" si="45"/>
        <v>0</v>
      </c>
      <c r="L272" s="176"/>
      <c r="M272" s="173"/>
      <c r="N272" s="173"/>
      <c r="O272" s="173"/>
      <c r="P272" s="173"/>
      <c r="Q272" s="173">
        <f t="shared" si="46"/>
        <v>887659</v>
      </c>
    </row>
    <row r="273" spans="1:17" s="169" customFormat="1" ht="38.25" hidden="1">
      <c r="A273" s="170" t="s">
        <v>548</v>
      </c>
      <c r="B273" s="170" t="s">
        <v>246</v>
      </c>
      <c r="C273" s="170" t="s">
        <v>1089</v>
      </c>
      <c r="D273" s="170" t="s">
        <v>606</v>
      </c>
      <c r="E273" s="175" t="s">
        <v>249</v>
      </c>
      <c r="F273" s="173">
        <f t="shared" si="44"/>
        <v>3070802</v>
      </c>
      <c r="G273" s="176">
        <f>2546281+524521</f>
        <v>3070802</v>
      </c>
      <c r="H273" s="176">
        <f>864122+279296</f>
        <v>1143418</v>
      </c>
      <c r="I273" s="176">
        <f>52341+181780</f>
        <v>234121</v>
      </c>
      <c r="J273" s="176"/>
      <c r="K273" s="173">
        <f t="shared" si="45"/>
        <v>14640</v>
      </c>
      <c r="L273" s="176">
        <v>14640</v>
      </c>
      <c r="M273" s="173">
        <v>10662</v>
      </c>
      <c r="N273" s="173">
        <v>510</v>
      </c>
      <c r="O273" s="173"/>
      <c r="P273" s="173"/>
      <c r="Q273" s="173">
        <f t="shared" si="46"/>
        <v>3085442</v>
      </c>
    </row>
    <row r="274" spans="1:17" s="169" customFormat="1" ht="25.5" hidden="1">
      <c r="A274" s="170" t="s">
        <v>549</v>
      </c>
      <c r="B274" s="170" t="s">
        <v>246</v>
      </c>
      <c r="C274" s="170" t="s">
        <v>1090</v>
      </c>
      <c r="D274" s="170" t="s">
        <v>606</v>
      </c>
      <c r="E274" s="175" t="s">
        <v>250</v>
      </c>
      <c r="F274" s="173">
        <f t="shared" si="44"/>
        <v>0</v>
      </c>
      <c r="G274" s="176"/>
      <c r="H274" s="176"/>
      <c r="I274" s="176"/>
      <c r="J274" s="176"/>
      <c r="K274" s="173">
        <f t="shared" si="45"/>
        <v>0</v>
      </c>
      <c r="L274" s="176"/>
      <c r="M274" s="173"/>
      <c r="N274" s="173"/>
      <c r="O274" s="173"/>
      <c r="P274" s="173"/>
      <c r="Q274" s="173">
        <f t="shared" si="46"/>
        <v>0</v>
      </c>
    </row>
    <row r="275" spans="1:17" ht="12.75">
      <c r="A275" s="112" t="s">
        <v>661</v>
      </c>
      <c r="B275" s="112" t="s">
        <v>629</v>
      </c>
      <c r="C275" s="112" t="s">
        <v>1021</v>
      </c>
      <c r="D275" s="112"/>
      <c r="E275" s="115" t="s">
        <v>631</v>
      </c>
      <c r="F275" s="26">
        <f>G275+J275</f>
        <v>0</v>
      </c>
      <c r="G275" s="114">
        <f>G276</f>
        <v>0</v>
      </c>
      <c r="H275" s="114">
        <f>H276</f>
        <v>0</v>
      </c>
      <c r="I275" s="114">
        <f>I276</f>
        <v>0</v>
      </c>
      <c r="J275" s="114">
        <f>J276</f>
        <v>0</v>
      </c>
      <c r="K275" s="26">
        <f>L275+O275</f>
        <v>1475550</v>
      </c>
      <c r="L275" s="114">
        <f>L276</f>
        <v>0</v>
      </c>
      <c r="M275" s="114">
        <f>M276</f>
        <v>0</v>
      </c>
      <c r="N275" s="114">
        <f>N276</f>
        <v>0</v>
      </c>
      <c r="O275" s="114">
        <f>O276</f>
        <v>1475550</v>
      </c>
      <c r="P275" s="114">
        <f>P276</f>
        <v>1475550</v>
      </c>
      <c r="Q275" s="26">
        <f>F275+K275</f>
        <v>1475550</v>
      </c>
    </row>
    <row r="276" spans="1:17" s="41" customFormat="1" ht="27.75" customHeight="1">
      <c r="A276" s="50" t="s">
        <v>251</v>
      </c>
      <c r="B276" s="28" t="s">
        <v>87</v>
      </c>
      <c r="C276" s="50" t="s">
        <v>981</v>
      </c>
      <c r="D276" s="50" t="s">
        <v>577</v>
      </c>
      <c r="E276" s="48" t="s">
        <v>174</v>
      </c>
      <c r="F276" s="27"/>
      <c r="G276" s="27"/>
      <c r="H276" s="27"/>
      <c r="I276" s="27"/>
      <c r="J276" s="27"/>
      <c r="K276" s="26">
        <f>L276+O276</f>
        <v>1475550</v>
      </c>
      <c r="L276" s="27"/>
      <c r="M276" s="27"/>
      <c r="N276" s="27"/>
      <c r="O276" s="27">
        <f>P276</f>
        <v>1475550</v>
      </c>
      <c r="P276" s="27">
        <v>1475550</v>
      </c>
      <c r="Q276" s="26">
        <f>F276+K276</f>
        <v>1475550</v>
      </c>
    </row>
    <row r="277" spans="1:17" s="41" customFormat="1" ht="25.5">
      <c r="A277" s="93" t="s">
        <v>969</v>
      </c>
      <c r="B277" s="93" t="s">
        <v>502</v>
      </c>
      <c r="C277" s="93" t="s">
        <v>1091</v>
      </c>
      <c r="D277" s="93" t="s">
        <v>586</v>
      </c>
      <c r="E277" s="100" t="s">
        <v>504</v>
      </c>
      <c r="F277" s="26">
        <f t="shared" si="44"/>
        <v>622205</v>
      </c>
      <c r="G277" s="88">
        <f>G278</f>
        <v>622205</v>
      </c>
      <c r="H277" s="88">
        <f>H278</f>
        <v>5000</v>
      </c>
      <c r="I277" s="88">
        <f>I278</f>
        <v>0</v>
      </c>
      <c r="J277" s="88">
        <f>J278</f>
        <v>0</v>
      </c>
      <c r="K277" s="26">
        <f t="shared" si="45"/>
        <v>0</v>
      </c>
      <c r="L277" s="88">
        <f>L278</f>
        <v>0</v>
      </c>
      <c r="M277" s="88">
        <f>M278</f>
        <v>0</v>
      </c>
      <c r="N277" s="88">
        <f>N278</f>
        <v>0</v>
      </c>
      <c r="O277" s="88">
        <f>O278</f>
        <v>0</v>
      </c>
      <c r="P277" s="88">
        <f>P278</f>
        <v>0</v>
      </c>
      <c r="Q277" s="26">
        <f t="shared" si="46"/>
        <v>622205</v>
      </c>
    </row>
    <row r="278" spans="1:17" s="169" customFormat="1" ht="12.75" hidden="1">
      <c r="A278" s="170" t="s">
        <v>970</v>
      </c>
      <c r="B278" s="170" t="s">
        <v>502</v>
      </c>
      <c r="C278" s="170" t="s">
        <v>1011</v>
      </c>
      <c r="D278" s="170" t="s">
        <v>586</v>
      </c>
      <c r="E278" s="178" t="s">
        <v>506</v>
      </c>
      <c r="F278" s="173">
        <f t="shared" si="44"/>
        <v>622205</v>
      </c>
      <c r="G278" s="173">
        <v>622205</v>
      </c>
      <c r="H278" s="173">
        <v>5000</v>
      </c>
      <c r="I278" s="173"/>
      <c r="J278" s="173"/>
      <c r="K278" s="173">
        <f t="shared" si="45"/>
        <v>0</v>
      </c>
      <c r="L278" s="173"/>
      <c r="M278" s="173"/>
      <c r="N278" s="173"/>
      <c r="O278" s="173"/>
      <c r="P278" s="173"/>
      <c r="Q278" s="173">
        <f t="shared" si="46"/>
        <v>622205</v>
      </c>
    </row>
    <row r="279" spans="1:17" s="41" customFormat="1" ht="25.5" hidden="1">
      <c r="A279" s="62" t="s">
        <v>488</v>
      </c>
      <c r="B279" s="62" t="s">
        <v>485</v>
      </c>
      <c r="C279" s="62" t="s">
        <v>485</v>
      </c>
      <c r="D279" s="62"/>
      <c r="E279" s="64" t="s">
        <v>486</v>
      </c>
      <c r="F279" s="39"/>
      <c r="G279" s="39"/>
      <c r="H279" s="39"/>
      <c r="I279" s="39"/>
      <c r="J279" s="39"/>
      <c r="K279" s="39"/>
      <c r="L279" s="39"/>
      <c r="M279" s="39"/>
      <c r="N279" s="39"/>
      <c r="O279" s="39"/>
      <c r="P279" s="39"/>
      <c r="Q279" s="39"/>
    </row>
    <row r="280" spans="1:17" s="41" customFormat="1" ht="25.5" hidden="1">
      <c r="A280" s="50" t="s">
        <v>7</v>
      </c>
      <c r="B280" s="50" t="s">
        <v>33</v>
      </c>
      <c r="C280" s="50"/>
      <c r="D280" s="50"/>
      <c r="E280" s="48" t="s">
        <v>487</v>
      </c>
      <c r="F280" s="27"/>
      <c r="G280" s="27"/>
      <c r="H280" s="27"/>
      <c r="I280" s="27"/>
      <c r="J280" s="27"/>
      <c r="K280" s="27"/>
      <c r="L280" s="27"/>
      <c r="M280" s="27"/>
      <c r="N280" s="27"/>
      <c r="O280" s="27"/>
      <c r="P280" s="27"/>
      <c r="Q280" s="42"/>
    </row>
    <row r="281" spans="1:18" s="2" customFormat="1" ht="25.5">
      <c r="A281" s="11" t="s">
        <v>1155</v>
      </c>
      <c r="B281" s="11" t="s">
        <v>1154</v>
      </c>
      <c r="C281" s="11" t="s">
        <v>1154</v>
      </c>
      <c r="D281" s="11"/>
      <c r="E281" s="13" t="s">
        <v>1159</v>
      </c>
      <c r="F281" s="21">
        <f aca="true" t="shared" si="47" ref="F281:F286">G281+J281</f>
        <v>1358250</v>
      </c>
      <c r="G281" s="21">
        <f>G282</f>
        <v>1358250</v>
      </c>
      <c r="H281" s="21">
        <f aca="true" t="shared" si="48" ref="H281:J283">H282</f>
        <v>943005</v>
      </c>
      <c r="I281" s="21">
        <f t="shared" si="48"/>
        <v>72618</v>
      </c>
      <c r="J281" s="21">
        <f t="shared" si="48"/>
        <v>0</v>
      </c>
      <c r="K281" s="21">
        <f aca="true" t="shared" si="49" ref="K281:K286">L281+O281</f>
        <v>0</v>
      </c>
      <c r="L281" s="21">
        <f aca="true" t="shared" si="50" ref="L281:P283">L282</f>
        <v>0</v>
      </c>
      <c r="M281" s="21">
        <f t="shared" si="50"/>
        <v>0</v>
      </c>
      <c r="N281" s="21">
        <f t="shared" si="50"/>
        <v>0</v>
      </c>
      <c r="O281" s="21">
        <f t="shared" si="50"/>
        <v>0</v>
      </c>
      <c r="P281" s="21">
        <f t="shared" si="50"/>
        <v>0</v>
      </c>
      <c r="Q281" s="40">
        <f aca="true" t="shared" si="51" ref="Q281:Q286">F281+K281</f>
        <v>1358250</v>
      </c>
      <c r="R281" s="191">
        <f>Q281-'[1]Місто'!$Q$279</f>
        <v>0</v>
      </c>
    </row>
    <row r="282" spans="1:17" s="2" customFormat="1" ht="24" customHeight="1">
      <c r="A282" s="7" t="s">
        <v>1156</v>
      </c>
      <c r="B282" s="7"/>
      <c r="C282" s="7"/>
      <c r="D282" s="7"/>
      <c r="E282" s="124" t="s">
        <v>1159</v>
      </c>
      <c r="F282" s="18">
        <f t="shared" si="47"/>
        <v>1358250</v>
      </c>
      <c r="G282" s="18">
        <f>G283</f>
        <v>1358250</v>
      </c>
      <c r="H282" s="18">
        <f t="shared" si="48"/>
        <v>943005</v>
      </c>
      <c r="I282" s="18">
        <f t="shared" si="48"/>
        <v>72618</v>
      </c>
      <c r="J282" s="18">
        <f t="shared" si="48"/>
        <v>0</v>
      </c>
      <c r="K282" s="18">
        <f t="shared" si="49"/>
        <v>0</v>
      </c>
      <c r="L282" s="18">
        <f t="shared" si="50"/>
        <v>0</v>
      </c>
      <c r="M282" s="18">
        <f t="shared" si="50"/>
        <v>0</v>
      </c>
      <c r="N282" s="18">
        <f t="shared" si="50"/>
        <v>0</v>
      </c>
      <c r="O282" s="18">
        <f t="shared" si="50"/>
        <v>0</v>
      </c>
      <c r="P282" s="18">
        <f t="shared" si="50"/>
        <v>0</v>
      </c>
      <c r="Q282" s="18">
        <f t="shared" si="51"/>
        <v>1358250</v>
      </c>
    </row>
    <row r="283" spans="1:17" s="2" customFormat="1" ht="12.75">
      <c r="A283" s="117" t="s">
        <v>1157</v>
      </c>
      <c r="B283" s="116" t="s">
        <v>672</v>
      </c>
      <c r="C283" s="116" t="s">
        <v>973</v>
      </c>
      <c r="D283" s="116"/>
      <c r="E283" s="124" t="s">
        <v>674</v>
      </c>
      <c r="F283" s="18">
        <f t="shared" si="47"/>
        <v>1358250</v>
      </c>
      <c r="G283" s="121">
        <f>G284</f>
        <v>1358250</v>
      </c>
      <c r="H283" s="121">
        <f t="shared" si="48"/>
        <v>943005</v>
      </c>
      <c r="I283" s="121">
        <f t="shared" si="48"/>
        <v>72618</v>
      </c>
      <c r="J283" s="121">
        <f t="shared" si="48"/>
        <v>0</v>
      </c>
      <c r="K283" s="18">
        <f t="shared" si="49"/>
        <v>0</v>
      </c>
      <c r="L283" s="121">
        <f t="shared" si="50"/>
        <v>0</v>
      </c>
      <c r="M283" s="121">
        <f t="shared" si="50"/>
        <v>0</v>
      </c>
      <c r="N283" s="121">
        <f t="shared" si="50"/>
        <v>0</v>
      </c>
      <c r="O283" s="121">
        <f t="shared" si="50"/>
        <v>0</v>
      </c>
      <c r="P283" s="121">
        <f t="shared" si="50"/>
        <v>0</v>
      </c>
      <c r="Q283" s="18">
        <f t="shared" si="51"/>
        <v>1358250</v>
      </c>
    </row>
    <row r="284" spans="1:17" s="2" customFormat="1" ht="25.5">
      <c r="A284" s="6" t="s">
        <v>1158</v>
      </c>
      <c r="B284" s="6" t="s">
        <v>33</v>
      </c>
      <c r="C284" s="6" t="s">
        <v>614</v>
      </c>
      <c r="D284" s="6" t="s">
        <v>575</v>
      </c>
      <c r="E284" s="51" t="s">
        <v>1160</v>
      </c>
      <c r="F284" s="18">
        <f t="shared" si="47"/>
        <v>1358250</v>
      </c>
      <c r="G284" s="18">
        <v>1358250</v>
      </c>
      <c r="H284" s="18">
        <v>943005</v>
      </c>
      <c r="I284" s="18">
        <v>72618</v>
      </c>
      <c r="J284" s="18"/>
      <c r="K284" s="18">
        <f t="shared" si="49"/>
        <v>0</v>
      </c>
      <c r="L284" s="18"/>
      <c r="M284" s="18"/>
      <c r="N284" s="18"/>
      <c r="O284" s="18"/>
      <c r="P284" s="18"/>
      <c r="Q284" s="18">
        <f t="shared" si="51"/>
        <v>1358250</v>
      </c>
    </row>
    <row r="285" spans="1:18" ht="51">
      <c r="A285" s="62" t="s">
        <v>252</v>
      </c>
      <c r="B285" s="62" t="s">
        <v>160</v>
      </c>
      <c r="C285" s="62" t="s">
        <v>160</v>
      </c>
      <c r="D285" s="62"/>
      <c r="E285" s="61" t="s">
        <v>812</v>
      </c>
      <c r="F285" s="39">
        <f t="shared" si="47"/>
        <v>13890228</v>
      </c>
      <c r="G285" s="39">
        <f>G286</f>
        <v>13890228</v>
      </c>
      <c r="H285" s="39">
        <f>H286</f>
        <v>6525408</v>
      </c>
      <c r="I285" s="39">
        <f>I286</f>
        <v>969504</v>
      </c>
      <c r="J285" s="39">
        <f>J286</f>
        <v>0</v>
      </c>
      <c r="K285" s="39">
        <f t="shared" si="49"/>
        <v>5190788</v>
      </c>
      <c r="L285" s="39">
        <f>L286</f>
        <v>0</v>
      </c>
      <c r="M285" s="39">
        <f>M286</f>
        <v>0</v>
      </c>
      <c r="N285" s="39">
        <f>N286</f>
        <v>0</v>
      </c>
      <c r="O285" s="39">
        <f>O286</f>
        <v>5190788</v>
      </c>
      <c r="P285" s="39">
        <f>P286</f>
        <v>5190788</v>
      </c>
      <c r="Q285" s="40">
        <f t="shared" si="51"/>
        <v>19081016</v>
      </c>
      <c r="R285" s="164">
        <f>Q285-'[1]Місто'!$Q$283</f>
        <v>608400</v>
      </c>
    </row>
    <row r="286" spans="1:17" ht="51">
      <c r="A286" s="59" t="s">
        <v>253</v>
      </c>
      <c r="B286" s="31"/>
      <c r="C286" s="31"/>
      <c r="D286" s="31"/>
      <c r="E286" s="51" t="s">
        <v>812</v>
      </c>
      <c r="F286" s="26">
        <f t="shared" si="47"/>
        <v>13890228</v>
      </c>
      <c r="G286" s="26">
        <f>G287+G289+G291+G293</f>
        <v>13890228</v>
      </c>
      <c r="H286" s="26">
        <f>H287+H289+H291+H293</f>
        <v>6525408</v>
      </c>
      <c r="I286" s="26">
        <f>I287+I289+I291+I293</f>
        <v>969504</v>
      </c>
      <c r="J286" s="26">
        <f>J287+J289+J291+J293</f>
        <v>0</v>
      </c>
      <c r="K286" s="26">
        <f t="shared" si="49"/>
        <v>5190788</v>
      </c>
      <c r="L286" s="26">
        <f>L287+L289+L291+L293</f>
        <v>0</v>
      </c>
      <c r="M286" s="26">
        <f>M287+M289+M291+M293</f>
        <v>0</v>
      </c>
      <c r="N286" s="26">
        <f>N287+N289+N291+N293</f>
        <v>0</v>
      </c>
      <c r="O286" s="26">
        <f>O287+O289+O291+O293</f>
        <v>5190788</v>
      </c>
      <c r="P286" s="26">
        <f>P287+P289+P291+P293</f>
        <v>5190788</v>
      </c>
      <c r="Q286" s="26">
        <f t="shared" si="51"/>
        <v>19081016</v>
      </c>
    </row>
    <row r="287" spans="1:17" ht="12.75">
      <c r="A287" s="112" t="s">
        <v>684</v>
      </c>
      <c r="B287" s="111" t="s">
        <v>672</v>
      </c>
      <c r="C287" s="111" t="s">
        <v>973</v>
      </c>
      <c r="D287" s="111"/>
      <c r="E287" s="127" t="s">
        <v>674</v>
      </c>
      <c r="F287" s="26">
        <f aca="true" t="shared" si="52" ref="F287:F296">G287+J287</f>
        <v>10294963</v>
      </c>
      <c r="G287" s="123">
        <f>G288</f>
        <v>10294963</v>
      </c>
      <c r="H287" s="123">
        <f>H288</f>
        <v>6525408</v>
      </c>
      <c r="I287" s="123">
        <f>I288</f>
        <v>969504</v>
      </c>
      <c r="J287" s="123">
        <f>J288</f>
        <v>0</v>
      </c>
      <c r="K287" s="26">
        <f aca="true" t="shared" si="53" ref="K287:K296">L287+O287</f>
        <v>1911496</v>
      </c>
      <c r="L287" s="123">
        <f>L288</f>
        <v>0</v>
      </c>
      <c r="M287" s="123">
        <f>M288</f>
        <v>0</v>
      </c>
      <c r="N287" s="123">
        <f>N288</f>
        <v>0</v>
      </c>
      <c r="O287" s="123">
        <f>O288</f>
        <v>1911496</v>
      </c>
      <c r="P287" s="123">
        <f>P288</f>
        <v>1911496</v>
      </c>
      <c r="Q287" s="26">
        <f aca="true" t="shared" si="54" ref="Q287:Q296">F287+K287</f>
        <v>12206459</v>
      </c>
    </row>
    <row r="288" spans="1:17" ht="51">
      <c r="A288" s="50" t="s">
        <v>8</v>
      </c>
      <c r="B288" s="28" t="s">
        <v>33</v>
      </c>
      <c r="C288" s="50" t="s">
        <v>614</v>
      </c>
      <c r="D288" s="50" t="s">
        <v>575</v>
      </c>
      <c r="E288" s="51" t="s">
        <v>964</v>
      </c>
      <c r="F288" s="26">
        <f t="shared" si="52"/>
        <v>10294963</v>
      </c>
      <c r="G288" s="27">
        <v>10294963</v>
      </c>
      <c r="H288" s="27">
        <v>6525408</v>
      </c>
      <c r="I288" s="27">
        <v>969504</v>
      </c>
      <c r="J288" s="27"/>
      <c r="K288" s="26">
        <f t="shared" si="53"/>
        <v>1911496</v>
      </c>
      <c r="L288" s="27"/>
      <c r="M288" s="27"/>
      <c r="N288" s="27"/>
      <c r="O288" s="27">
        <f>P288</f>
        <v>1911496</v>
      </c>
      <c r="P288" s="27">
        <v>1911496</v>
      </c>
      <c r="Q288" s="26">
        <f t="shared" si="54"/>
        <v>12206459</v>
      </c>
    </row>
    <row r="289" spans="1:17" ht="12.75">
      <c r="A289" s="112" t="s">
        <v>662</v>
      </c>
      <c r="B289" s="112" t="s">
        <v>629</v>
      </c>
      <c r="C289" s="112" t="s">
        <v>1021</v>
      </c>
      <c r="D289" s="112"/>
      <c r="E289" s="113" t="s">
        <v>631</v>
      </c>
      <c r="F289" s="26">
        <f t="shared" si="52"/>
        <v>0</v>
      </c>
      <c r="G289" s="114">
        <f>G290</f>
        <v>0</v>
      </c>
      <c r="H289" s="114">
        <f>H290</f>
        <v>0</v>
      </c>
      <c r="I289" s="114">
        <f>I290</f>
        <v>0</v>
      </c>
      <c r="J289" s="114">
        <f>J290</f>
        <v>0</v>
      </c>
      <c r="K289" s="26">
        <f t="shared" si="53"/>
        <v>3279292</v>
      </c>
      <c r="L289" s="114">
        <f>L290</f>
        <v>0</v>
      </c>
      <c r="M289" s="114">
        <f>M290</f>
        <v>0</v>
      </c>
      <c r="N289" s="114">
        <f>N290</f>
        <v>0</v>
      </c>
      <c r="O289" s="114">
        <f>O290</f>
        <v>3279292</v>
      </c>
      <c r="P289" s="114">
        <f>P290</f>
        <v>3279292</v>
      </c>
      <c r="Q289" s="26">
        <f t="shared" si="54"/>
        <v>3279292</v>
      </c>
    </row>
    <row r="290" spans="1:17" ht="25.5">
      <c r="A290" s="78" t="s">
        <v>324</v>
      </c>
      <c r="B290" s="78" t="s">
        <v>87</v>
      </c>
      <c r="C290" s="50" t="s">
        <v>981</v>
      </c>
      <c r="D290" s="50" t="s">
        <v>577</v>
      </c>
      <c r="E290" s="79" t="s">
        <v>174</v>
      </c>
      <c r="F290" s="26">
        <f t="shared" si="52"/>
        <v>0</v>
      </c>
      <c r="G290" s="27"/>
      <c r="H290" s="27"/>
      <c r="I290" s="27"/>
      <c r="J290" s="27"/>
      <c r="K290" s="26">
        <f t="shared" si="53"/>
        <v>3279292</v>
      </c>
      <c r="L290" s="27"/>
      <c r="M290" s="27"/>
      <c r="N290" s="27"/>
      <c r="O290" s="27">
        <f>P290</f>
        <v>3279292</v>
      </c>
      <c r="P290" s="27">
        <f>2670892+608400</f>
        <v>3279292</v>
      </c>
      <c r="Q290" s="26">
        <f t="shared" si="54"/>
        <v>3279292</v>
      </c>
    </row>
    <row r="291" spans="1:17" ht="25.5">
      <c r="A291" s="112" t="s">
        <v>663</v>
      </c>
      <c r="B291" s="112" t="s">
        <v>618</v>
      </c>
      <c r="C291" s="112" t="s">
        <v>1092</v>
      </c>
      <c r="D291" s="112"/>
      <c r="E291" s="115" t="s">
        <v>620</v>
      </c>
      <c r="F291" s="26">
        <f t="shared" si="52"/>
        <v>680000</v>
      </c>
      <c r="G291" s="114">
        <f>G292</f>
        <v>680000</v>
      </c>
      <c r="H291" s="114">
        <f>H292</f>
        <v>0</v>
      </c>
      <c r="I291" s="114">
        <f>I292</f>
        <v>0</v>
      </c>
      <c r="J291" s="114">
        <f>J292</f>
        <v>0</v>
      </c>
      <c r="K291" s="26">
        <f t="shared" si="53"/>
        <v>0</v>
      </c>
      <c r="L291" s="114">
        <f>L292</f>
        <v>0</v>
      </c>
      <c r="M291" s="114">
        <f>M292</f>
        <v>0</v>
      </c>
      <c r="N291" s="114">
        <f>N292</f>
        <v>0</v>
      </c>
      <c r="O291" s="114">
        <f>O292</f>
        <v>0</v>
      </c>
      <c r="P291" s="114">
        <f>P292</f>
        <v>0</v>
      </c>
      <c r="Q291" s="26">
        <f t="shared" si="54"/>
        <v>680000</v>
      </c>
    </row>
    <row r="292" spans="1:17" ht="25.5">
      <c r="A292" s="50" t="s">
        <v>550</v>
      </c>
      <c r="B292" s="50" t="s">
        <v>323</v>
      </c>
      <c r="C292" s="50" t="s">
        <v>1093</v>
      </c>
      <c r="D292" s="50" t="s">
        <v>586</v>
      </c>
      <c r="E292" s="79" t="s">
        <v>498</v>
      </c>
      <c r="F292" s="26">
        <f t="shared" si="52"/>
        <v>680000</v>
      </c>
      <c r="G292" s="27">
        <f>500000+80000+100000</f>
        <v>680000</v>
      </c>
      <c r="H292" s="27"/>
      <c r="I292" s="27"/>
      <c r="J292" s="27"/>
      <c r="K292" s="26">
        <f t="shared" si="53"/>
        <v>0</v>
      </c>
      <c r="L292" s="27"/>
      <c r="M292" s="27"/>
      <c r="N292" s="27"/>
      <c r="O292" s="27"/>
      <c r="P292" s="27"/>
      <c r="Q292" s="26">
        <f t="shared" si="54"/>
        <v>680000</v>
      </c>
    </row>
    <row r="293" spans="1:17" ht="25.5">
      <c r="A293" s="112" t="s">
        <v>685</v>
      </c>
      <c r="B293" s="112" t="s">
        <v>635</v>
      </c>
      <c r="C293" s="112" t="s">
        <v>1022</v>
      </c>
      <c r="D293" s="112"/>
      <c r="E293" s="115" t="s">
        <v>636</v>
      </c>
      <c r="F293" s="26">
        <f t="shared" si="52"/>
        <v>2915265</v>
      </c>
      <c r="G293" s="114">
        <f>G294</f>
        <v>2915265</v>
      </c>
      <c r="H293" s="114">
        <f>H294</f>
        <v>0</v>
      </c>
      <c r="I293" s="114">
        <f>I294</f>
        <v>0</v>
      </c>
      <c r="J293" s="114">
        <f>J294</f>
        <v>0</v>
      </c>
      <c r="K293" s="26">
        <f t="shared" si="53"/>
        <v>0</v>
      </c>
      <c r="L293" s="114">
        <f>L294</f>
        <v>0</v>
      </c>
      <c r="M293" s="114">
        <f>M294</f>
        <v>0</v>
      </c>
      <c r="N293" s="114">
        <f>N294</f>
        <v>0</v>
      </c>
      <c r="O293" s="114">
        <f>O294</f>
        <v>0</v>
      </c>
      <c r="P293" s="114">
        <f>P294</f>
        <v>0</v>
      </c>
      <c r="Q293" s="26">
        <f t="shared" si="54"/>
        <v>2915265</v>
      </c>
    </row>
    <row r="294" spans="1:17" ht="12.75">
      <c r="A294" s="85" t="s">
        <v>420</v>
      </c>
      <c r="B294" s="85" t="s">
        <v>54</v>
      </c>
      <c r="C294" s="85" t="s">
        <v>1094</v>
      </c>
      <c r="D294" s="85" t="s">
        <v>578</v>
      </c>
      <c r="E294" s="87" t="s">
        <v>417</v>
      </c>
      <c r="F294" s="26">
        <f t="shared" si="52"/>
        <v>2915265</v>
      </c>
      <c r="G294" s="88">
        <f>G295+G296</f>
        <v>2915265</v>
      </c>
      <c r="H294" s="88">
        <f>H295+H296</f>
        <v>0</v>
      </c>
      <c r="I294" s="88">
        <f>I295+I296</f>
        <v>0</v>
      </c>
      <c r="J294" s="88">
        <f>J295+J296</f>
        <v>0</v>
      </c>
      <c r="K294" s="26">
        <f t="shared" si="53"/>
        <v>0</v>
      </c>
      <c r="L294" s="88">
        <f>L295+L296</f>
        <v>0</v>
      </c>
      <c r="M294" s="88">
        <f>M295+M296</f>
        <v>0</v>
      </c>
      <c r="N294" s="88">
        <f>N295+N296</f>
        <v>0</v>
      </c>
      <c r="O294" s="88">
        <f>O295+O296</f>
        <v>0</v>
      </c>
      <c r="P294" s="88">
        <f>P295+P296</f>
        <v>0</v>
      </c>
      <c r="Q294" s="26">
        <f t="shared" si="54"/>
        <v>2915265</v>
      </c>
    </row>
    <row r="295" spans="1:17" s="169" customFormat="1" ht="39" customHeight="1" hidden="1">
      <c r="A295" s="170" t="s">
        <v>377</v>
      </c>
      <c r="B295" s="171" t="s">
        <v>54</v>
      </c>
      <c r="C295" s="170" t="s">
        <v>990</v>
      </c>
      <c r="D295" s="170" t="s">
        <v>578</v>
      </c>
      <c r="E295" s="179" t="s">
        <v>177</v>
      </c>
      <c r="F295" s="173">
        <f t="shared" si="52"/>
        <v>699935</v>
      </c>
      <c r="G295" s="173">
        <v>699935</v>
      </c>
      <c r="H295" s="173"/>
      <c r="I295" s="173"/>
      <c r="J295" s="173"/>
      <c r="K295" s="173">
        <f t="shared" si="53"/>
        <v>0</v>
      </c>
      <c r="L295" s="173"/>
      <c r="M295" s="173"/>
      <c r="N295" s="173"/>
      <c r="O295" s="173"/>
      <c r="P295" s="173"/>
      <c r="Q295" s="173">
        <f t="shared" si="54"/>
        <v>699935</v>
      </c>
    </row>
    <row r="296" spans="1:17" s="174" customFormat="1" ht="38.25" hidden="1">
      <c r="A296" s="182" t="s">
        <v>867</v>
      </c>
      <c r="B296" s="182" t="s">
        <v>54</v>
      </c>
      <c r="C296" s="182" t="s">
        <v>986</v>
      </c>
      <c r="D296" s="182" t="s">
        <v>578</v>
      </c>
      <c r="E296" s="178" t="s">
        <v>854</v>
      </c>
      <c r="F296" s="173">
        <f t="shared" si="52"/>
        <v>2215330</v>
      </c>
      <c r="G296" s="183">
        <v>2215330</v>
      </c>
      <c r="H296" s="183"/>
      <c r="I296" s="183"/>
      <c r="J296" s="183"/>
      <c r="K296" s="173">
        <f t="shared" si="53"/>
        <v>0</v>
      </c>
      <c r="L296" s="183"/>
      <c r="M296" s="183"/>
      <c r="N296" s="183"/>
      <c r="O296" s="183"/>
      <c r="P296" s="183"/>
      <c r="Q296" s="173">
        <f t="shared" si="54"/>
        <v>2215330</v>
      </c>
    </row>
    <row r="297" spans="1:18" ht="25.5">
      <c r="A297" s="62" t="s">
        <v>777</v>
      </c>
      <c r="B297" s="62" t="s">
        <v>781</v>
      </c>
      <c r="C297" s="62" t="s">
        <v>781</v>
      </c>
      <c r="D297" s="62"/>
      <c r="E297" s="61" t="s">
        <v>784</v>
      </c>
      <c r="F297" s="39">
        <f aca="true" t="shared" si="55" ref="F297:F302">G297+J297</f>
        <v>18337171</v>
      </c>
      <c r="G297" s="39">
        <f>G298</f>
        <v>18337171</v>
      </c>
      <c r="H297" s="39">
        <f aca="true" t="shared" si="56" ref="H297:J299">H298</f>
        <v>13126262</v>
      </c>
      <c r="I297" s="39">
        <f t="shared" si="56"/>
        <v>544687</v>
      </c>
      <c r="J297" s="39">
        <f t="shared" si="56"/>
        <v>0</v>
      </c>
      <c r="K297" s="39">
        <f aca="true" t="shared" si="57" ref="K297:K302">L297+O297</f>
        <v>1500000</v>
      </c>
      <c r="L297" s="39">
        <f aca="true" t="shared" si="58" ref="L297:P299">L298</f>
        <v>0</v>
      </c>
      <c r="M297" s="39">
        <f t="shared" si="58"/>
        <v>0</v>
      </c>
      <c r="N297" s="39">
        <f t="shared" si="58"/>
        <v>0</v>
      </c>
      <c r="O297" s="39">
        <f t="shared" si="58"/>
        <v>1500000</v>
      </c>
      <c r="P297" s="39">
        <f t="shared" si="58"/>
        <v>1500000</v>
      </c>
      <c r="Q297" s="40">
        <f aca="true" t="shared" si="59" ref="Q297:Q302">F297+K297</f>
        <v>19837171</v>
      </c>
      <c r="R297" s="164">
        <f>Q297-'[1]Місто'!$Q$295</f>
        <v>0</v>
      </c>
    </row>
    <row r="298" spans="1:17" ht="25.5">
      <c r="A298" s="59" t="s">
        <v>778</v>
      </c>
      <c r="B298" s="31"/>
      <c r="C298" s="31"/>
      <c r="D298" s="31"/>
      <c r="E298" s="49" t="s">
        <v>784</v>
      </c>
      <c r="F298" s="26">
        <f t="shared" si="55"/>
        <v>18337171</v>
      </c>
      <c r="G298" s="26">
        <f>G299</f>
        <v>18337171</v>
      </c>
      <c r="H298" s="26">
        <f t="shared" si="56"/>
        <v>13126262</v>
      </c>
      <c r="I298" s="26">
        <f t="shared" si="56"/>
        <v>544687</v>
      </c>
      <c r="J298" s="26">
        <f t="shared" si="56"/>
        <v>0</v>
      </c>
      <c r="K298" s="26">
        <f t="shared" si="57"/>
        <v>1500000</v>
      </c>
      <c r="L298" s="26">
        <f t="shared" si="58"/>
        <v>0</v>
      </c>
      <c r="M298" s="26">
        <f t="shared" si="58"/>
        <v>0</v>
      </c>
      <c r="N298" s="26">
        <f t="shared" si="58"/>
        <v>0</v>
      </c>
      <c r="O298" s="26">
        <f t="shared" si="58"/>
        <v>1500000</v>
      </c>
      <c r="P298" s="26">
        <f t="shared" si="58"/>
        <v>1500000</v>
      </c>
      <c r="Q298" s="26">
        <f t="shared" si="59"/>
        <v>19837171</v>
      </c>
    </row>
    <row r="299" spans="1:17" ht="12.75">
      <c r="A299" s="112" t="s">
        <v>779</v>
      </c>
      <c r="B299" s="111" t="s">
        <v>672</v>
      </c>
      <c r="C299" s="111" t="s">
        <v>973</v>
      </c>
      <c r="D299" s="111"/>
      <c r="E299" s="127" t="s">
        <v>674</v>
      </c>
      <c r="F299" s="26">
        <f t="shared" si="55"/>
        <v>18337171</v>
      </c>
      <c r="G299" s="123">
        <f>G300</f>
        <v>18337171</v>
      </c>
      <c r="H299" s="123">
        <f t="shared" si="56"/>
        <v>13126262</v>
      </c>
      <c r="I299" s="123">
        <f t="shared" si="56"/>
        <v>544687</v>
      </c>
      <c r="J299" s="123">
        <f t="shared" si="56"/>
        <v>0</v>
      </c>
      <c r="K299" s="26">
        <f t="shared" si="57"/>
        <v>1500000</v>
      </c>
      <c r="L299" s="123">
        <f t="shared" si="58"/>
        <v>0</v>
      </c>
      <c r="M299" s="123">
        <f t="shared" si="58"/>
        <v>0</v>
      </c>
      <c r="N299" s="123">
        <f t="shared" si="58"/>
        <v>0</v>
      </c>
      <c r="O299" s="123">
        <f t="shared" si="58"/>
        <v>1500000</v>
      </c>
      <c r="P299" s="123">
        <f t="shared" si="58"/>
        <v>1500000</v>
      </c>
      <c r="Q299" s="26">
        <f t="shared" si="59"/>
        <v>19837171</v>
      </c>
    </row>
    <row r="300" spans="1:17" ht="63.75">
      <c r="A300" s="50" t="s">
        <v>780</v>
      </c>
      <c r="B300" s="28" t="s">
        <v>33</v>
      </c>
      <c r="C300" s="50" t="s">
        <v>614</v>
      </c>
      <c r="D300" s="50" t="s">
        <v>575</v>
      </c>
      <c r="E300" s="51" t="s">
        <v>965</v>
      </c>
      <c r="F300" s="26">
        <f t="shared" si="55"/>
        <v>18337171</v>
      </c>
      <c r="G300" s="27">
        <v>18337171</v>
      </c>
      <c r="H300" s="27">
        <v>13126262</v>
      </c>
      <c r="I300" s="27">
        <v>544687</v>
      </c>
      <c r="J300" s="27"/>
      <c r="K300" s="26">
        <f t="shared" si="57"/>
        <v>1500000</v>
      </c>
      <c r="L300" s="27"/>
      <c r="M300" s="27"/>
      <c r="N300" s="27"/>
      <c r="O300" s="27">
        <f>P300</f>
        <v>1500000</v>
      </c>
      <c r="P300" s="27">
        <v>1500000</v>
      </c>
      <c r="Q300" s="26">
        <f t="shared" si="59"/>
        <v>19837171</v>
      </c>
    </row>
    <row r="301" spans="1:18" ht="42" customHeight="1">
      <c r="A301" s="72" t="s">
        <v>254</v>
      </c>
      <c r="B301" s="72" t="s">
        <v>158</v>
      </c>
      <c r="C301" s="62" t="s">
        <v>158</v>
      </c>
      <c r="D301" s="72"/>
      <c r="E301" s="61" t="s">
        <v>875</v>
      </c>
      <c r="F301" s="84">
        <f t="shared" si="55"/>
        <v>408466803</v>
      </c>
      <c r="G301" s="84">
        <f>G302</f>
        <v>408466803</v>
      </c>
      <c r="H301" s="84">
        <f>H302</f>
        <v>3386342</v>
      </c>
      <c r="I301" s="84">
        <f>I302</f>
        <v>197084</v>
      </c>
      <c r="J301" s="84">
        <f>J302</f>
        <v>0</v>
      </c>
      <c r="K301" s="84">
        <f t="shared" si="57"/>
        <v>580296842</v>
      </c>
      <c r="L301" s="84">
        <f>L302</f>
        <v>0</v>
      </c>
      <c r="M301" s="84">
        <f>M302</f>
        <v>0</v>
      </c>
      <c r="N301" s="84">
        <f>N302</f>
        <v>0</v>
      </c>
      <c r="O301" s="84">
        <f>O302</f>
        <v>580296842</v>
      </c>
      <c r="P301" s="84">
        <f>P302</f>
        <v>580246842</v>
      </c>
      <c r="Q301" s="84">
        <f t="shared" si="59"/>
        <v>988763645</v>
      </c>
      <c r="R301" s="164">
        <f>Q301-'[1]Місто'!$Q$299</f>
        <v>1851966</v>
      </c>
    </row>
    <row r="302" spans="1:17" ht="55.5" customHeight="1">
      <c r="A302" s="59" t="s">
        <v>255</v>
      </c>
      <c r="B302" s="31"/>
      <c r="C302" s="31"/>
      <c r="D302" s="31"/>
      <c r="E302" s="83" t="s">
        <v>901</v>
      </c>
      <c r="F302" s="27">
        <f t="shared" si="55"/>
        <v>408466803</v>
      </c>
      <c r="G302" s="27">
        <f>G303+G305+G314+G319+G327+G321+G318</f>
        <v>408466803</v>
      </c>
      <c r="H302" s="27">
        <f>H303+H305+H314+H319+H327+H321+H318</f>
        <v>3386342</v>
      </c>
      <c r="I302" s="27">
        <f>I303+I305+I314+I319+I327+I321+I318</f>
        <v>197084</v>
      </c>
      <c r="J302" s="27">
        <f>J303+J305+J314+J319+J327+J321+J318</f>
        <v>0</v>
      </c>
      <c r="K302" s="27">
        <f t="shared" si="57"/>
        <v>580296842</v>
      </c>
      <c r="L302" s="27">
        <f>L303+L305+L314+L319+L327+L321+L318</f>
        <v>0</v>
      </c>
      <c r="M302" s="27">
        <f>M303+M305+M314+M319+M327+M321+M318</f>
        <v>0</v>
      </c>
      <c r="N302" s="27">
        <f>N303+N305+N314+N319+N327+N321+N318</f>
        <v>0</v>
      </c>
      <c r="O302" s="27">
        <f>O303+O305+O314+O319+O327+O321+O318</f>
        <v>580296842</v>
      </c>
      <c r="P302" s="27">
        <f>P303+P305+P314+P319+P327+P321+P318</f>
        <v>580246842</v>
      </c>
      <c r="Q302" s="27">
        <f t="shared" si="59"/>
        <v>988763645</v>
      </c>
    </row>
    <row r="303" spans="1:17" ht="12.75">
      <c r="A303" s="112" t="s">
        <v>686</v>
      </c>
      <c r="B303" s="111" t="s">
        <v>672</v>
      </c>
      <c r="C303" s="111" t="s">
        <v>973</v>
      </c>
      <c r="D303" s="111"/>
      <c r="E303" s="122" t="s">
        <v>674</v>
      </c>
      <c r="F303" s="27">
        <f aca="true" t="shared" si="60" ref="F303:F326">G303+J303</f>
        <v>5011683</v>
      </c>
      <c r="G303" s="114">
        <f>G304</f>
        <v>5011683</v>
      </c>
      <c r="H303" s="114">
        <f>H304</f>
        <v>3386342</v>
      </c>
      <c r="I303" s="114">
        <f>I304</f>
        <v>197084</v>
      </c>
      <c r="J303" s="114">
        <f>J304</f>
        <v>0</v>
      </c>
      <c r="K303" s="27">
        <f aca="true" t="shared" si="61" ref="K303:K326">L303+O303</f>
        <v>398542</v>
      </c>
      <c r="L303" s="114">
        <f>L304</f>
        <v>0</v>
      </c>
      <c r="M303" s="114">
        <f>M304</f>
        <v>0</v>
      </c>
      <c r="N303" s="114">
        <f>N304</f>
        <v>0</v>
      </c>
      <c r="O303" s="114">
        <f>O304</f>
        <v>398542</v>
      </c>
      <c r="P303" s="114">
        <f>P304</f>
        <v>398542</v>
      </c>
      <c r="Q303" s="27">
        <f aca="true" t="shared" si="62" ref="Q303:Q326">F303+K303</f>
        <v>5410225</v>
      </c>
    </row>
    <row r="304" spans="1:17" ht="39.75" customHeight="1">
      <c r="A304" s="50" t="s">
        <v>9</v>
      </c>
      <c r="B304" s="28" t="s">
        <v>33</v>
      </c>
      <c r="C304" s="50" t="s">
        <v>614</v>
      </c>
      <c r="D304" s="50" t="s">
        <v>575</v>
      </c>
      <c r="E304" s="51" t="s">
        <v>313</v>
      </c>
      <c r="F304" s="27">
        <f t="shared" si="60"/>
        <v>5011683</v>
      </c>
      <c r="G304" s="27">
        <f>4622209+(362474)+27000</f>
        <v>5011683</v>
      </c>
      <c r="H304" s="27">
        <v>3386342</v>
      </c>
      <c r="I304" s="27">
        <v>197084</v>
      </c>
      <c r="J304" s="27"/>
      <c r="K304" s="27">
        <f t="shared" si="61"/>
        <v>398542</v>
      </c>
      <c r="L304" s="27"/>
      <c r="M304" s="27"/>
      <c r="N304" s="27"/>
      <c r="O304" s="27">
        <f>P304</f>
        <v>398542</v>
      </c>
      <c r="P304" s="27">
        <f>291890+133652-27000</f>
        <v>398542</v>
      </c>
      <c r="Q304" s="27">
        <f t="shared" si="62"/>
        <v>5410225</v>
      </c>
    </row>
    <row r="305" spans="1:17" ht="12.75">
      <c r="A305" s="112" t="s">
        <v>665</v>
      </c>
      <c r="B305" s="112" t="s">
        <v>664</v>
      </c>
      <c r="C305" s="112" t="s">
        <v>1095</v>
      </c>
      <c r="D305" s="112"/>
      <c r="E305" s="127" t="s">
        <v>666</v>
      </c>
      <c r="F305" s="27">
        <f t="shared" si="60"/>
        <v>23885264</v>
      </c>
      <c r="G305" s="114">
        <f>G306+G307+G310+G313+G311</f>
        <v>23885264</v>
      </c>
      <c r="H305" s="114">
        <f>H306+H307+H310+H313+H311</f>
        <v>0</v>
      </c>
      <c r="I305" s="114">
        <f>I306+I307+I310+I313+I311</f>
        <v>0</v>
      </c>
      <c r="J305" s="114">
        <f>J306+J307+J310+J313+J311</f>
        <v>0</v>
      </c>
      <c r="K305" s="27">
        <f t="shared" si="61"/>
        <v>496929127</v>
      </c>
      <c r="L305" s="114">
        <f>L306+L307+L310+L313+L311</f>
        <v>0</v>
      </c>
      <c r="M305" s="114">
        <f>M306+M307+M310+M313+M311</f>
        <v>0</v>
      </c>
      <c r="N305" s="114">
        <f>N306+N307+N310+N313+N311</f>
        <v>0</v>
      </c>
      <c r="O305" s="114">
        <f>O306+O307+O310+O313+O311</f>
        <v>496929127</v>
      </c>
      <c r="P305" s="114">
        <f>P306+P307+P310+P313+P311</f>
        <v>496929127</v>
      </c>
      <c r="Q305" s="27">
        <f t="shared" si="62"/>
        <v>520814391</v>
      </c>
    </row>
    <row r="306" spans="1:17" ht="51.75" customHeight="1">
      <c r="A306" s="112" t="s">
        <v>328</v>
      </c>
      <c r="B306" s="112" t="s">
        <v>322</v>
      </c>
      <c r="C306" s="112" t="s">
        <v>1096</v>
      </c>
      <c r="D306" s="112" t="s">
        <v>607</v>
      </c>
      <c r="E306" s="113" t="s">
        <v>329</v>
      </c>
      <c r="F306" s="114">
        <f t="shared" si="60"/>
        <v>20039100</v>
      </c>
      <c r="G306" s="114">
        <f>11559091+33000000+10000000-302861-25000000-10000000+198000+(19955)+363190+62165+(6000)+(163860)-(100500)+(22200)+(48000)</f>
        <v>20039100</v>
      </c>
      <c r="H306" s="114"/>
      <c r="I306" s="114"/>
      <c r="J306" s="114"/>
      <c r="K306" s="27">
        <f t="shared" si="61"/>
        <v>0</v>
      </c>
      <c r="L306" s="114"/>
      <c r="M306" s="114"/>
      <c r="N306" s="114"/>
      <c r="O306" s="114"/>
      <c r="P306" s="114"/>
      <c r="Q306" s="114">
        <f t="shared" si="62"/>
        <v>20039100</v>
      </c>
    </row>
    <row r="307" spans="1:17" ht="25.5">
      <c r="A307" s="112" t="s">
        <v>667</v>
      </c>
      <c r="B307" s="112"/>
      <c r="C307" s="112" t="s">
        <v>1097</v>
      </c>
      <c r="D307" s="112"/>
      <c r="E307" s="113" t="s">
        <v>668</v>
      </c>
      <c r="F307" s="27">
        <f t="shared" si="60"/>
        <v>0</v>
      </c>
      <c r="G307" s="114">
        <f>G308+G309</f>
        <v>0</v>
      </c>
      <c r="H307" s="114">
        <f>H308+H309</f>
        <v>0</v>
      </c>
      <c r="I307" s="114">
        <f>I308+I309</f>
        <v>0</v>
      </c>
      <c r="J307" s="114">
        <f>J308+J309</f>
        <v>0</v>
      </c>
      <c r="K307" s="27">
        <f t="shared" si="61"/>
        <v>490171786</v>
      </c>
      <c r="L307" s="114">
        <f>L308+L309</f>
        <v>0</v>
      </c>
      <c r="M307" s="114">
        <f>M308+M309</f>
        <v>0</v>
      </c>
      <c r="N307" s="114">
        <f>N308+N309</f>
        <v>0</v>
      </c>
      <c r="O307" s="114">
        <f>O308+O309</f>
        <v>490171786</v>
      </c>
      <c r="P307" s="114">
        <f>P308+P309</f>
        <v>490171786</v>
      </c>
      <c r="Q307" s="27">
        <f t="shared" si="62"/>
        <v>490171786</v>
      </c>
    </row>
    <row r="308" spans="1:17" ht="25.5" customHeight="1">
      <c r="A308" s="50" t="s">
        <v>391</v>
      </c>
      <c r="B308" s="50" t="s">
        <v>103</v>
      </c>
      <c r="C308" s="50" t="s">
        <v>1098</v>
      </c>
      <c r="D308" s="50" t="s">
        <v>607</v>
      </c>
      <c r="E308" s="48" t="s">
        <v>330</v>
      </c>
      <c r="F308" s="27">
        <f t="shared" si="60"/>
        <v>0</v>
      </c>
      <c r="G308" s="27"/>
      <c r="H308" s="27"/>
      <c r="I308" s="27"/>
      <c r="J308" s="27"/>
      <c r="K308" s="27">
        <f t="shared" si="61"/>
        <v>398226855</v>
      </c>
      <c r="L308" s="27"/>
      <c r="M308" s="27"/>
      <c r="N308" s="27"/>
      <c r="O308" s="27">
        <f aca="true" t="shared" si="63" ref="O308:O313">P308</f>
        <v>398226855</v>
      </c>
      <c r="P308" s="27">
        <f>445000000-33000000-15000000+25000000-8536457+((402963))-8000000+(76280)+679003-109819-(6000)-17040-237996+(13200)+(24000)+(271000)-4593136-5000000+130911+(479500)+62960+(488486)+(99000)</f>
        <v>398226855</v>
      </c>
      <c r="Q308" s="27">
        <f t="shared" si="62"/>
        <v>398226855</v>
      </c>
    </row>
    <row r="309" spans="1:17" ht="39" customHeight="1">
      <c r="A309" s="50" t="s">
        <v>461</v>
      </c>
      <c r="B309" s="50" t="s">
        <v>459</v>
      </c>
      <c r="C309" s="50" t="s">
        <v>1099</v>
      </c>
      <c r="D309" s="50" t="s">
        <v>607</v>
      </c>
      <c r="E309" s="48" t="s">
        <v>460</v>
      </c>
      <c r="F309" s="27">
        <f>G309+J309</f>
        <v>0</v>
      </c>
      <c r="G309" s="27"/>
      <c r="H309" s="27"/>
      <c r="I309" s="27"/>
      <c r="J309" s="27"/>
      <c r="K309" s="27">
        <f>L309+O309</f>
        <v>91944931</v>
      </c>
      <c r="L309" s="27"/>
      <c r="M309" s="27"/>
      <c r="N309" s="27"/>
      <c r="O309" s="27">
        <f t="shared" si="63"/>
        <v>91944931</v>
      </c>
      <c r="P309" s="27">
        <f>32000000+28000000+30000000+(17312)+(35000)+(134500)+(100500)+1680319-(94500)-62960+(110201)+(24559)</f>
        <v>91944931</v>
      </c>
      <c r="Q309" s="27">
        <f>F309+K309</f>
        <v>91944931</v>
      </c>
    </row>
    <row r="310" spans="1:17" ht="39" customHeight="1" hidden="1">
      <c r="A310" s="112" t="s">
        <v>256</v>
      </c>
      <c r="B310" s="112" t="s">
        <v>110</v>
      </c>
      <c r="C310" s="112" t="s">
        <v>1100</v>
      </c>
      <c r="D310" s="112" t="s">
        <v>607</v>
      </c>
      <c r="E310" s="115" t="s">
        <v>257</v>
      </c>
      <c r="F310" s="27">
        <f t="shared" si="60"/>
        <v>0</v>
      </c>
      <c r="G310" s="114"/>
      <c r="H310" s="114"/>
      <c r="I310" s="114"/>
      <c r="J310" s="114"/>
      <c r="K310" s="27">
        <f t="shared" si="61"/>
        <v>0</v>
      </c>
      <c r="L310" s="114"/>
      <c r="M310" s="114"/>
      <c r="N310" s="114"/>
      <c r="O310" s="27">
        <f t="shared" si="63"/>
        <v>0</v>
      </c>
      <c r="P310" s="114"/>
      <c r="Q310" s="27">
        <f>F310+K310</f>
        <v>0</v>
      </c>
    </row>
    <row r="311" spans="1:17" ht="25.5">
      <c r="A311" s="112" t="s">
        <v>1193</v>
      </c>
      <c r="B311" s="112"/>
      <c r="C311" s="112" t="s">
        <v>1194</v>
      </c>
      <c r="D311" s="112"/>
      <c r="E311" s="115" t="s">
        <v>1197</v>
      </c>
      <c r="F311" s="114">
        <f t="shared" si="60"/>
        <v>3846164</v>
      </c>
      <c r="G311" s="114">
        <f>G312</f>
        <v>3846164</v>
      </c>
      <c r="H311" s="114">
        <f>H312</f>
        <v>0</v>
      </c>
      <c r="I311" s="114">
        <f>I312</f>
        <v>0</v>
      </c>
      <c r="J311" s="114">
        <f>J312</f>
        <v>0</v>
      </c>
      <c r="K311" s="114">
        <f t="shared" si="61"/>
        <v>2038541</v>
      </c>
      <c r="L311" s="114">
        <f>L312</f>
        <v>0</v>
      </c>
      <c r="M311" s="114">
        <f>M312</f>
        <v>0</v>
      </c>
      <c r="N311" s="114">
        <f>N312</f>
        <v>0</v>
      </c>
      <c r="O311" s="114">
        <f t="shared" si="63"/>
        <v>2038541</v>
      </c>
      <c r="P311" s="114">
        <f>P312</f>
        <v>2038541</v>
      </c>
      <c r="Q311" s="114">
        <f>F311+K311</f>
        <v>5884705</v>
      </c>
    </row>
    <row r="312" spans="1:17" ht="25.5">
      <c r="A312" s="28" t="s">
        <v>1196</v>
      </c>
      <c r="B312" s="28"/>
      <c r="C312" s="28" t="s">
        <v>1195</v>
      </c>
      <c r="D312" s="28" t="s">
        <v>608</v>
      </c>
      <c r="E312" s="48" t="s">
        <v>1198</v>
      </c>
      <c r="F312" s="27">
        <f>G312</f>
        <v>3846164</v>
      </c>
      <c r="G312" s="27">
        <f>6259890-2413726</f>
        <v>3846164</v>
      </c>
      <c r="H312" s="27"/>
      <c r="I312" s="27"/>
      <c r="J312" s="27"/>
      <c r="K312" s="27">
        <f t="shared" si="61"/>
        <v>2038541</v>
      </c>
      <c r="L312" s="27"/>
      <c r="M312" s="27"/>
      <c r="N312" s="27"/>
      <c r="O312" s="27">
        <f t="shared" si="63"/>
        <v>2038541</v>
      </c>
      <c r="P312" s="27">
        <v>2038541</v>
      </c>
      <c r="Q312" s="27">
        <f>F312+K312</f>
        <v>5884705</v>
      </c>
    </row>
    <row r="313" spans="1:17" ht="38.25">
      <c r="A313" s="112" t="s">
        <v>795</v>
      </c>
      <c r="B313" s="112" t="s">
        <v>794</v>
      </c>
      <c r="C313" s="112" t="s">
        <v>1101</v>
      </c>
      <c r="D313" s="112" t="s">
        <v>608</v>
      </c>
      <c r="E313" s="115" t="s">
        <v>796</v>
      </c>
      <c r="F313" s="27">
        <f>G313+J313</f>
        <v>0</v>
      </c>
      <c r="G313" s="114"/>
      <c r="H313" s="114"/>
      <c r="I313" s="114"/>
      <c r="J313" s="114"/>
      <c r="K313" s="27">
        <f>L313+O313</f>
        <v>4718800</v>
      </c>
      <c r="L313" s="114"/>
      <c r="M313" s="114"/>
      <c r="N313" s="114"/>
      <c r="O313" s="114">
        <f t="shared" si="63"/>
        <v>4718800</v>
      </c>
      <c r="P313" s="114">
        <f>8536457-3960250+142593</f>
        <v>4718800</v>
      </c>
      <c r="Q313" s="27">
        <f>F313+K313</f>
        <v>4718800</v>
      </c>
    </row>
    <row r="314" spans="1:17" ht="12.75">
      <c r="A314" s="112" t="s">
        <v>669</v>
      </c>
      <c r="B314" s="112" t="s">
        <v>629</v>
      </c>
      <c r="C314" s="112" t="s">
        <v>1021</v>
      </c>
      <c r="D314" s="112"/>
      <c r="E314" s="115" t="s">
        <v>631</v>
      </c>
      <c r="F314" s="27">
        <f t="shared" si="60"/>
        <v>0</v>
      </c>
      <c r="G314" s="114">
        <f>G315+G316</f>
        <v>0</v>
      </c>
      <c r="H314" s="114">
        <f>H315+H316</f>
        <v>0</v>
      </c>
      <c r="I314" s="114">
        <f>I315+I316</f>
        <v>0</v>
      </c>
      <c r="J314" s="114">
        <f>J315+J316</f>
        <v>0</v>
      </c>
      <c r="K314" s="27">
        <f t="shared" si="61"/>
        <v>52319050</v>
      </c>
      <c r="L314" s="114">
        <f>L315+L316</f>
        <v>0</v>
      </c>
      <c r="M314" s="114">
        <f>M315+M316</f>
        <v>0</v>
      </c>
      <c r="N314" s="114">
        <f>N315+N316</f>
        <v>0</v>
      </c>
      <c r="O314" s="114">
        <f>O315+O316</f>
        <v>52319050</v>
      </c>
      <c r="P314" s="114">
        <f>P315+P316</f>
        <v>52319050</v>
      </c>
      <c r="Q314" s="27">
        <f t="shared" si="62"/>
        <v>52319050</v>
      </c>
    </row>
    <row r="315" spans="1:17" ht="25.5">
      <c r="A315" s="50" t="s">
        <v>258</v>
      </c>
      <c r="B315" s="28" t="s">
        <v>87</v>
      </c>
      <c r="C315" s="50" t="s">
        <v>981</v>
      </c>
      <c r="D315" s="50" t="s">
        <v>577</v>
      </c>
      <c r="E315" s="48" t="s">
        <v>174</v>
      </c>
      <c r="F315" s="27">
        <f t="shared" si="60"/>
        <v>0</v>
      </c>
      <c r="G315" s="27"/>
      <c r="H315" s="27"/>
      <c r="I315" s="27"/>
      <c r="J315" s="27"/>
      <c r="K315" s="27">
        <f t="shared" si="61"/>
        <v>51631775</v>
      </c>
      <c r="L315" s="27"/>
      <c r="M315" s="27"/>
      <c r="N315" s="27"/>
      <c r="O315" s="27">
        <f>P315</f>
        <v>51631775</v>
      </c>
      <c r="P315" s="27">
        <f>60632283+3620619-8719162+422839-4324804</f>
        <v>51631775</v>
      </c>
      <c r="Q315" s="27">
        <f t="shared" si="62"/>
        <v>51631775</v>
      </c>
    </row>
    <row r="316" spans="1:17" ht="28.5" customHeight="1">
      <c r="A316" s="112" t="s">
        <v>903</v>
      </c>
      <c r="B316" s="112"/>
      <c r="C316" s="112" t="s">
        <v>1102</v>
      </c>
      <c r="D316" s="112"/>
      <c r="E316" s="115" t="s">
        <v>904</v>
      </c>
      <c r="F316" s="27"/>
      <c r="G316" s="114">
        <f>G317</f>
        <v>0</v>
      </c>
      <c r="H316" s="114">
        <f>H317</f>
        <v>0</v>
      </c>
      <c r="I316" s="114">
        <f>I317</f>
        <v>0</v>
      </c>
      <c r="J316" s="114">
        <f>J317</f>
        <v>0</v>
      </c>
      <c r="K316" s="27">
        <f t="shared" si="61"/>
        <v>687275</v>
      </c>
      <c r="L316" s="114">
        <f>L317</f>
        <v>0</v>
      </c>
      <c r="M316" s="114">
        <f>M317</f>
        <v>0</v>
      </c>
      <c r="N316" s="114">
        <f>N317</f>
        <v>0</v>
      </c>
      <c r="O316" s="114">
        <f>O317</f>
        <v>687275</v>
      </c>
      <c r="P316" s="114">
        <f>P317</f>
        <v>687275</v>
      </c>
      <c r="Q316" s="27">
        <f t="shared" si="62"/>
        <v>687275</v>
      </c>
    </row>
    <row r="317" spans="1:17" ht="25.5">
      <c r="A317" s="50" t="s">
        <v>474</v>
      </c>
      <c r="B317" s="50" t="s">
        <v>316</v>
      </c>
      <c r="C317" s="50" t="s">
        <v>1103</v>
      </c>
      <c r="D317" s="50" t="s">
        <v>589</v>
      </c>
      <c r="E317" s="48" t="s">
        <v>317</v>
      </c>
      <c r="F317" s="27">
        <f t="shared" si="60"/>
        <v>0</v>
      </c>
      <c r="G317" s="27"/>
      <c r="H317" s="27"/>
      <c r="I317" s="27"/>
      <c r="J317" s="27"/>
      <c r="K317" s="27">
        <f t="shared" si="61"/>
        <v>687275</v>
      </c>
      <c r="L317" s="27"/>
      <c r="M317" s="27"/>
      <c r="N317" s="27"/>
      <c r="O317" s="27">
        <f>P317</f>
        <v>687275</v>
      </c>
      <c r="P317" s="27">
        <v>687275</v>
      </c>
      <c r="Q317" s="27">
        <f t="shared" si="62"/>
        <v>687275</v>
      </c>
    </row>
    <row r="318" spans="1:17" ht="63.75" hidden="1">
      <c r="A318" s="50" t="s">
        <v>902</v>
      </c>
      <c r="B318" s="28" t="s">
        <v>94</v>
      </c>
      <c r="C318" s="50" t="s">
        <v>1104</v>
      </c>
      <c r="D318" s="50" t="s">
        <v>608</v>
      </c>
      <c r="E318" s="51" t="s">
        <v>282</v>
      </c>
      <c r="F318" s="27">
        <f t="shared" si="60"/>
        <v>0</v>
      </c>
      <c r="G318" s="27"/>
      <c r="H318" s="27"/>
      <c r="I318" s="27"/>
      <c r="J318" s="27"/>
      <c r="K318" s="27">
        <f t="shared" si="61"/>
        <v>0</v>
      </c>
      <c r="L318" s="27"/>
      <c r="M318" s="27"/>
      <c r="N318" s="27"/>
      <c r="O318" s="27">
        <f>P318</f>
        <v>0</v>
      </c>
      <c r="P318" s="27">
        <f>1000000-1000000</f>
        <v>0</v>
      </c>
      <c r="Q318" s="27">
        <f t="shared" si="62"/>
        <v>0</v>
      </c>
    </row>
    <row r="319" spans="1:17" ht="25.5" customHeight="1">
      <c r="A319" s="112" t="s">
        <v>870</v>
      </c>
      <c r="B319" s="112" t="s">
        <v>618</v>
      </c>
      <c r="C319" s="112" t="s">
        <v>1092</v>
      </c>
      <c r="D319" s="112"/>
      <c r="E319" s="115" t="s">
        <v>620</v>
      </c>
      <c r="F319" s="27">
        <f t="shared" si="60"/>
        <v>0</v>
      </c>
      <c r="G319" s="27">
        <f>G320</f>
        <v>0</v>
      </c>
      <c r="H319" s="27">
        <f>H320</f>
        <v>0</v>
      </c>
      <c r="I319" s="27">
        <f>I320</f>
        <v>0</v>
      </c>
      <c r="J319" s="27">
        <f>J320</f>
        <v>0</v>
      </c>
      <c r="K319" s="27">
        <f t="shared" si="61"/>
        <v>30434727</v>
      </c>
      <c r="L319" s="27">
        <f>L320</f>
        <v>0</v>
      </c>
      <c r="M319" s="27">
        <f>M320</f>
        <v>0</v>
      </c>
      <c r="N319" s="27">
        <f>N320</f>
        <v>0</v>
      </c>
      <c r="O319" s="27">
        <f>O320</f>
        <v>30434727</v>
      </c>
      <c r="P319" s="27">
        <f>P320</f>
        <v>30434727</v>
      </c>
      <c r="Q319" s="27">
        <f t="shared" si="62"/>
        <v>30434727</v>
      </c>
    </row>
    <row r="320" spans="1:17" ht="29.25" customHeight="1">
      <c r="A320" s="50" t="s">
        <v>905</v>
      </c>
      <c r="B320" s="28" t="s">
        <v>95</v>
      </c>
      <c r="C320" s="50" t="s">
        <v>983</v>
      </c>
      <c r="D320" s="50" t="s">
        <v>577</v>
      </c>
      <c r="E320" s="48" t="s">
        <v>259</v>
      </c>
      <c r="F320" s="27">
        <f t="shared" si="60"/>
        <v>0</v>
      </c>
      <c r="G320" s="27"/>
      <c r="H320" s="27"/>
      <c r="I320" s="27"/>
      <c r="J320" s="27"/>
      <c r="K320" s="27">
        <f t="shared" si="61"/>
        <v>30434727</v>
      </c>
      <c r="L320" s="27"/>
      <c r="M320" s="27"/>
      <c r="N320" s="27"/>
      <c r="O320" s="27">
        <f>P320</f>
        <v>30434727</v>
      </c>
      <c r="P320" s="27">
        <f>59800427-15015228-22752827-2376945+606300+10173000</f>
        <v>30434727</v>
      </c>
      <c r="Q320" s="27">
        <f t="shared" si="62"/>
        <v>30434727</v>
      </c>
    </row>
    <row r="321" spans="1:17" ht="25.5">
      <c r="A321" s="112" t="s">
        <v>671</v>
      </c>
      <c r="B321" s="112" t="s">
        <v>635</v>
      </c>
      <c r="C321" s="112" t="s">
        <v>1022</v>
      </c>
      <c r="D321" s="112"/>
      <c r="E321" s="115" t="s">
        <v>636</v>
      </c>
      <c r="F321" s="27">
        <f t="shared" si="60"/>
        <v>379569856</v>
      </c>
      <c r="G321" s="114">
        <f>G322</f>
        <v>379569856</v>
      </c>
      <c r="H321" s="114">
        <f>H322</f>
        <v>0</v>
      </c>
      <c r="I321" s="114">
        <f>I322</f>
        <v>0</v>
      </c>
      <c r="J321" s="114">
        <f>J322</f>
        <v>0</v>
      </c>
      <c r="K321" s="27">
        <f t="shared" si="61"/>
        <v>165396</v>
      </c>
      <c r="L321" s="114">
        <f>L322</f>
        <v>0</v>
      </c>
      <c r="M321" s="114">
        <f>M322</f>
        <v>0</v>
      </c>
      <c r="N321" s="114">
        <f>N322</f>
        <v>0</v>
      </c>
      <c r="O321" s="114">
        <f>O322</f>
        <v>165396</v>
      </c>
      <c r="P321" s="114">
        <f>P322</f>
        <v>165396</v>
      </c>
      <c r="Q321" s="27">
        <f t="shared" si="62"/>
        <v>379735252</v>
      </c>
    </row>
    <row r="322" spans="1:17" ht="12.75">
      <c r="A322" s="85" t="s">
        <v>421</v>
      </c>
      <c r="B322" s="85" t="s">
        <v>54</v>
      </c>
      <c r="C322" s="85" t="s">
        <v>1094</v>
      </c>
      <c r="D322" s="85" t="s">
        <v>578</v>
      </c>
      <c r="E322" s="87" t="s">
        <v>417</v>
      </c>
      <c r="F322" s="88">
        <f>G322+J322</f>
        <v>379569856</v>
      </c>
      <c r="G322" s="88">
        <f>G323+G326</f>
        <v>379569856</v>
      </c>
      <c r="H322" s="88">
        <f>H323+H326</f>
        <v>0</v>
      </c>
      <c r="I322" s="88">
        <f>I323+I326</f>
        <v>0</v>
      </c>
      <c r="J322" s="88">
        <f>J323+J326</f>
        <v>0</v>
      </c>
      <c r="K322" s="27">
        <f t="shared" si="61"/>
        <v>165396</v>
      </c>
      <c r="L322" s="88">
        <f>L323+L326</f>
        <v>0</v>
      </c>
      <c r="M322" s="88">
        <f>M323+M326</f>
        <v>0</v>
      </c>
      <c r="N322" s="88">
        <f>N323+N326</f>
        <v>0</v>
      </c>
      <c r="O322" s="88">
        <f>O323+O326</f>
        <v>165396</v>
      </c>
      <c r="P322" s="88">
        <f>P323+P326</f>
        <v>165396</v>
      </c>
      <c r="Q322" s="88">
        <f t="shared" si="62"/>
        <v>379735252</v>
      </c>
    </row>
    <row r="323" spans="1:17" s="169" customFormat="1" ht="41.25" customHeight="1" hidden="1">
      <c r="A323" s="170" t="s">
        <v>392</v>
      </c>
      <c r="B323" s="171" t="s">
        <v>54</v>
      </c>
      <c r="C323" s="170" t="s">
        <v>986</v>
      </c>
      <c r="D323" s="170" t="s">
        <v>578</v>
      </c>
      <c r="E323" s="178" t="s">
        <v>854</v>
      </c>
      <c r="F323" s="173">
        <f t="shared" si="60"/>
        <v>379194453</v>
      </c>
      <c r="G323" s="173">
        <f>400000000+29607232-22400000-30000000+123504+72600+1791117</f>
        <v>379194453</v>
      </c>
      <c r="H323" s="173"/>
      <c r="I323" s="173"/>
      <c r="J323" s="173"/>
      <c r="K323" s="173">
        <f t="shared" si="61"/>
        <v>165396</v>
      </c>
      <c r="L323" s="173"/>
      <c r="M323" s="173"/>
      <c r="N323" s="173"/>
      <c r="O323" s="173">
        <f>P323</f>
        <v>165396</v>
      </c>
      <c r="P323" s="173">
        <v>165396</v>
      </c>
      <c r="Q323" s="173">
        <f t="shared" si="62"/>
        <v>379359849</v>
      </c>
    </row>
    <row r="324" spans="1:17" s="169" customFormat="1" ht="38.25" hidden="1">
      <c r="A324" s="170"/>
      <c r="B324" s="171"/>
      <c r="C324" s="170"/>
      <c r="D324" s="170"/>
      <c r="E324" s="178" t="s">
        <v>1145</v>
      </c>
      <c r="F324" s="173">
        <f t="shared" si="60"/>
        <v>0</v>
      </c>
      <c r="G324" s="173"/>
      <c r="H324" s="173"/>
      <c r="I324" s="173"/>
      <c r="J324" s="173"/>
      <c r="K324" s="173"/>
      <c r="L324" s="173"/>
      <c r="M324" s="173"/>
      <c r="N324" s="173"/>
      <c r="O324" s="173"/>
      <c r="P324" s="173"/>
      <c r="Q324" s="173"/>
    </row>
    <row r="325" spans="1:17" s="169" customFormat="1" ht="12.75" hidden="1">
      <c r="A325" s="170"/>
      <c r="B325" s="171"/>
      <c r="C325" s="170"/>
      <c r="D325" s="170"/>
      <c r="E325" s="178" t="s">
        <v>1144</v>
      </c>
      <c r="F325" s="173">
        <f t="shared" si="60"/>
        <v>0</v>
      </c>
      <c r="G325" s="173"/>
      <c r="H325" s="173"/>
      <c r="I325" s="173"/>
      <c r="J325" s="173"/>
      <c r="K325" s="173"/>
      <c r="L325" s="173"/>
      <c r="M325" s="173"/>
      <c r="N325" s="173"/>
      <c r="O325" s="173"/>
      <c r="P325" s="173"/>
      <c r="Q325" s="173"/>
    </row>
    <row r="326" spans="1:17" s="169" customFormat="1" ht="52.5" customHeight="1" hidden="1">
      <c r="A326" s="170" t="s">
        <v>436</v>
      </c>
      <c r="B326" s="171" t="s">
        <v>54</v>
      </c>
      <c r="C326" s="170" t="s">
        <v>989</v>
      </c>
      <c r="D326" s="182" t="s">
        <v>578</v>
      </c>
      <c r="E326" s="178" t="s">
        <v>333</v>
      </c>
      <c r="F326" s="173">
        <f t="shared" si="60"/>
        <v>375403</v>
      </c>
      <c r="G326" s="173">
        <v>375403</v>
      </c>
      <c r="H326" s="173"/>
      <c r="I326" s="173"/>
      <c r="J326" s="173"/>
      <c r="K326" s="173">
        <f t="shared" si="61"/>
        <v>0</v>
      </c>
      <c r="L326" s="173"/>
      <c r="M326" s="173"/>
      <c r="N326" s="173"/>
      <c r="O326" s="173"/>
      <c r="P326" s="173"/>
      <c r="Q326" s="173">
        <f t="shared" si="62"/>
        <v>375403</v>
      </c>
    </row>
    <row r="327" spans="1:17" ht="12.75">
      <c r="A327" s="112" t="s">
        <v>906</v>
      </c>
      <c r="B327" s="112" t="s">
        <v>98</v>
      </c>
      <c r="C327" s="112" t="s">
        <v>1016</v>
      </c>
      <c r="D327" s="112"/>
      <c r="E327" s="122" t="s">
        <v>99</v>
      </c>
      <c r="F327" s="27">
        <f>G327+J327</f>
        <v>0</v>
      </c>
      <c r="G327" s="114">
        <f>G328</f>
        <v>0</v>
      </c>
      <c r="H327" s="114">
        <f>H328</f>
        <v>0</v>
      </c>
      <c r="I327" s="114">
        <f>I328</f>
        <v>0</v>
      </c>
      <c r="J327" s="114">
        <f>J328</f>
        <v>0</v>
      </c>
      <c r="K327" s="27">
        <f>L327+O327</f>
        <v>50000</v>
      </c>
      <c r="L327" s="114">
        <f>L328</f>
        <v>0</v>
      </c>
      <c r="M327" s="114">
        <f>M328</f>
        <v>0</v>
      </c>
      <c r="N327" s="114">
        <f>N328</f>
        <v>0</v>
      </c>
      <c r="O327" s="114">
        <f>O328</f>
        <v>50000</v>
      </c>
      <c r="P327" s="114">
        <f>P328</f>
        <v>0</v>
      </c>
      <c r="Q327" s="27">
        <f>F327+K327</f>
        <v>50000</v>
      </c>
    </row>
    <row r="328" spans="1:17" ht="25.5">
      <c r="A328" s="50" t="s">
        <v>907</v>
      </c>
      <c r="B328" s="28" t="s">
        <v>86</v>
      </c>
      <c r="C328" s="50" t="s">
        <v>1017</v>
      </c>
      <c r="D328" s="50" t="s">
        <v>588</v>
      </c>
      <c r="E328" s="25" t="s">
        <v>93</v>
      </c>
      <c r="F328" s="27">
        <f>G328+J328</f>
        <v>0</v>
      </c>
      <c r="G328" s="27"/>
      <c r="H328" s="27"/>
      <c r="I328" s="27"/>
      <c r="J328" s="27"/>
      <c r="K328" s="27">
        <f>L328+O328</f>
        <v>50000</v>
      </c>
      <c r="L328" s="27"/>
      <c r="M328" s="27"/>
      <c r="N328" s="27"/>
      <c r="O328" s="27">
        <v>50000</v>
      </c>
      <c r="P328" s="27"/>
      <c r="Q328" s="27">
        <f>F328+K328</f>
        <v>50000</v>
      </c>
    </row>
    <row r="329" spans="1:18" ht="40.5" customHeight="1">
      <c r="A329" s="62" t="s">
        <v>801</v>
      </c>
      <c r="B329" s="62" t="s">
        <v>800</v>
      </c>
      <c r="C329" s="62" t="s">
        <v>800</v>
      </c>
      <c r="D329" s="62"/>
      <c r="E329" s="61" t="s">
        <v>813</v>
      </c>
      <c r="F329" s="39">
        <f>G329+J329</f>
        <v>390504734</v>
      </c>
      <c r="G329" s="39">
        <f>G330</f>
        <v>390504734</v>
      </c>
      <c r="H329" s="39">
        <f>H330</f>
        <v>2606052</v>
      </c>
      <c r="I329" s="39">
        <f>I330</f>
        <v>123407</v>
      </c>
      <c r="J329" s="39">
        <f>J330</f>
        <v>0</v>
      </c>
      <c r="K329" s="39">
        <f>L329+O329</f>
        <v>303869830</v>
      </c>
      <c r="L329" s="39">
        <f>L330</f>
        <v>0</v>
      </c>
      <c r="M329" s="39">
        <f>M330</f>
        <v>0</v>
      </c>
      <c r="N329" s="39">
        <f>N330</f>
        <v>0</v>
      </c>
      <c r="O329" s="39">
        <f>O330</f>
        <v>303869830</v>
      </c>
      <c r="P329" s="39">
        <f>P330</f>
        <v>300544830</v>
      </c>
      <c r="Q329" s="40">
        <f>F329+K329</f>
        <v>694374564</v>
      </c>
      <c r="R329" s="164">
        <f>Q329-'[1]Місто'!$Q$325</f>
        <v>-2161281</v>
      </c>
    </row>
    <row r="330" spans="1:17" ht="38.25">
      <c r="A330" s="59" t="s">
        <v>802</v>
      </c>
      <c r="B330" s="31"/>
      <c r="C330" s="31"/>
      <c r="D330" s="31"/>
      <c r="E330" s="51" t="s">
        <v>805</v>
      </c>
      <c r="F330" s="26">
        <f>G330+J330</f>
        <v>390504734</v>
      </c>
      <c r="G330" s="26">
        <f>G331+G333+G338+G340+G342+G344+G346+G348+G352</f>
        <v>390504734</v>
      </c>
      <c r="H330" s="26">
        <f>H331+H333+H338+H340+H342+H344+H346+H348+H352</f>
        <v>2606052</v>
      </c>
      <c r="I330" s="26">
        <f>I331+I333+I338+I340+I342+I344+I346+I348+I352</f>
        <v>123407</v>
      </c>
      <c r="J330" s="26">
        <f>J331+J333+J338+J340+J342+J344+J346+J348+J352</f>
        <v>0</v>
      </c>
      <c r="K330" s="26">
        <f>L330+O330</f>
        <v>303869830</v>
      </c>
      <c r="L330" s="26">
        <f>L331+L333+L338+L340+L342+L344+L346+L348+L352</f>
        <v>0</v>
      </c>
      <c r="M330" s="26">
        <f>M331+M333+M338+M340+M342+M344+M346+M348+M352</f>
        <v>0</v>
      </c>
      <c r="N330" s="26">
        <f>N331+N333+N338+N340+N342+N344+N346+N348+N352</f>
        <v>0</v>
      </c>
      <c r="O330" s="26">
        <f>O331+O333+O338+O340+O342+O344+O346+O348+O352</f>
        <v>303869830</v>
      </c>
      <c r="P330" s="26">
        <f>P331+P333+P338+P340+P342+P344+P346+P348+P352</f>
        <v>300544830</v>
      </c>
      <c r="Q330" s="26">
        <f>F330+K330</f>
        <v>694374564</v>
      </c>
    </row>
    <row r="331" spans="1:17" ht="12.75">
      <c r="A331" s="112" t="s">
        <v>803</v>
      </c>
      <c r="B331" s="111" t="s">
        <v>672</v>
      </c>
      <c r="C331" s="111" t="s">
        <v>973</v>
      </c>
      <c r="D331" s="111"/>
      <c r="E331" s="127" t="s">
        <v>674</v>
      </c>
      <c r="F331" s="26">
        <f aca="true" t="shared" si="64" ref="F331:F351">G331+J331</f>
        <v>4973191</v>
      </c>
      <c r="G331" s="123">
        <f>G332</f>
        <v>4973191</v>
      </c>
      <c r="H331" s="123">
        <f>H332</f>
        <v>2606052</v>
      </c>
      <c r="I331" s="123">
        <f>I332</f>
        <v>123407</v>
      </c>
      <c r="J331" s="123">
        <f>J332</f>
        <v>0</v>
      </c>
      <c r="K331" s="26">
        <f aca="true" t="shared" si="65" ref="K331:K351">L331+O331</f>
        <v>350000</v>
      </c>
      <c r="L331" s="123">
        <f>L332</f>
        <v>0</v>
      </c>
      <c r="M331" s="123">
        <f>M332</f>
        <v>0</v>
      </c>
      <c r="N331" s="123">
        <f>N332</f>
        <v>0</v>
      </c>
      <c r="O331" s="123">
        <f>O332</f>
        <v>350000</v>
      </c>
      <c r="P331" s="123">
        <f>P332</f>
        <v>350000</v>
      </c>
      <c r="Q331" s="26">
        <f aca="true" t="shared" si="66" ref="Q331:Q351">F331+K331</f>
        <v>5323191</v>
      </c>
    </row>
    <row r="332" spans="1:17" ht="27.75" customHeight="1">
      <c r="A332" s="50" t="s">
        <v>804</v>
      </c>
      <c r="B332" s="28" t="s">
        <v>33</v>
      </c>
      <c r="C332" s="50" t="s">
        <v>614</v>
      </c>
      <c r="D332" s="50" t="s">
        <v>575</v>
      </c>
      <c r="E332" s="51" t="s">
        <v>864</v>
      </c>
      <c r="F332" s="26">
        <f t="shared" si="64"/>
        <v>4973191</v>
      </c>
      <c r="G332" s="27">
        <f>3684244+(1094306)+194641</f>
        <v>4973191</v>
      </c>
      <c r="H332" s="27">
        <v>2606052</v>
      </c>
      <c r="I332" s="27">
        <v>123407</v>
      </c>
      <c r="J332" s="27"/>
      <c r="K332" s="26">
        <f t="shared" si="65"/>
        <v>350000</v>
      </c>
      <c r="L332" s="27"/>
      <c r="M332" s="27"/>
      <c r="N332" s="27"/>
      <c r="O332" s="27">
        <f>P332</f>
        <v>350000</v>
      </c>
      <c r="P332" s="27">
        <v>350000</v>
      </c>
      <c r="Q332" s="26">
        <f t="shared" si="66"/>
        <v>5323191</v>
      </c>
    </row>
    <row r="333" spans="1:17" ht="26.25" customHeight="1">
      <c r="A333" s="112" t="s">
        <v>815</v>
      </c>
      <c r="B333" s="112" t="s">
        <v>624</v>
      </c>
      <c r="C333" s="112" t="s">
        <v>1105</v>
      </c>
      <c r="D333" s="112"/>
      <c r="E333" s="113" t="s">
        <v>626</v>
      </c>
      <c r="F333" s="26">
        <f t="shared" si="64"/>
        <v>295000</v>
      </c>
      <c r="G333" s="114">
        <f>G334+G335</f>
        <v>295000</v>
      </c>
      <c r="H333" s="114">
        <f>H334+H335</f>
        <v>0</v>
      </c>
      <c r="I333" s="114">
        <f>I334+I335</f>
        <v>0</v>
      </c>
      <c r="J333" s="114">
        <f>J334+J335</f>
        <v>0</v>
      </c>
      <c r="K333" s="26">
        <f t="shared" si="65"/>
        <v>0</v>
      </c>
      <c r="L333" s="114">
        <f>L334+L335</f>
        <v>0</v>
      </c>
      <c r="M333" s="114">
        <f>M334+M335</f>
        <v>0</v>
      </c>
      <c r="N333" s="114">
        <f>N334+N335</f>
        <v>0</v>
      </c>
      <c r="O333" s="114">
        <f>O334+O335</f>
        <v>0</v>
      </c>
      <c r="P333" s="114">
        <f>P334+P335</f>
        <v>0</v>
      </c>
      <c r="Q333" s="26">
        <f t="shared" si="66"/>
        <v>295000</v>
      </c>
    </row>
    <row r="334" spans="1:17" ht="30" customHeight="1" hidden="1">
      <c r="A334" s="50" t="s">
        <v>871</v>
      </c>
      <c r="B334" s="50" t="s">
        <v>785</v>
      </c>
      <c r="C334" s="50" t="s">
        <v>1007</v>
      </c>
      <c r="D334" s="50" t="s">
        <v>787</v>
      </c>
      <c r="E334" s="48" t="s">
        <v>786</v>
      </c>
      <c r="F334" s="26">
        <f>G334+J334</f>
        <v>0</v>
      </c>
      <c r="G334" s="27"/>
      <c r="H334" s="27"/>
      <c r="I334" s="27"/>
      <c r="J334" s="27"/>
      <c r="K334" s="26">
        <f>L334+O334</f>
        <v>0</v>
      </c>
      <c r="L334" s="27"/>
      <c r="M334" s="27"/>
      <c r="N334" s="27"/>
      <c r="O334" s="27"/>
      <c r="P334" s="27"/>
      <c r="Q334" s="26">
        <f>F334+K334</f>
        <v>0</v>
      </c>
    </row>
    <row r="335" spans="1:17" ht="26.25" customHeight="1">
      <c r="A335" s="85" t="s">
        <v>816</v>
      </c>
      <c r="B335" s="85" t="s">
        <v>46</v>
      </c>
      <c r="C335" s="85" t="s">
        <v>1075</v>
      </c>
      <c r="D335" s="85" t="s">
        <v>599</v>
      </c>
      <c r="E335" s="96" t="s">
        <v>327</v>
      </c>
      <c r="F335" s="88">
        <f t="shared" si="64"/>
        <v>295000</v>
      </c>
      <c r="G335" s="88">
        <f>G336+G337</f>
        <v>295000</v>
      </c>
      <c r="H335" s="88">
        <f>H336+H337</f>
        <v>0</v>
      </c>
      <c r="I335" s="88">
        <f>I336+I337</f>
        <v>0</v>
      </c>
      <c r="J335" s="88">
        <f>J336+J337</f>
        <v>0</v>
      </c>
      <c r="K335" s="26">
        <f t="shared" si="65"/>
        <v>0</v>
      </c>
      <c r="L335" s="88">
        <f>L336+L337</f>
        <v>0</v>
      </c>
      <c r="M335" s="88">
        <f>M336+M337</f>
        <v>0</v>
      </c>
      <c r="N335" s="88">
        <f>N336+N337</f>
        <v>0</v>
      </c>
      <c r="O335" s="88">
        <f>O336+O337</f>
        <v>0</v>
      </c>
      <c r="P335" s="88">
        <f>P336+P337</f>
        <v>0</v>
      </c>
      <c r="Q335" s="88">
        <f t="shared" si="66"/>
        <v>295000</v>
      </c>
    </row>
    <row r="336" spans="1:17" ht="42" customHeight="1" hidden="1">
      <c r="A336" s="50" t="s">
        <v>913</v>
      </c>
      <c r="B336" s="28" t="s">
        <v>46</v>
      </c>
      <c r="C336" s="50" t="s">
        <v>1076</v>
      </c>
      <c r="D336" s="28"/>
      <c r="E336" s="3" t="s">
        <v>491</v>
      </c>
      <c r="F336" s="26">
        <f>G336+J336</f>
        <v>0</v>
      </c>
      <c r="G336" s="27"/>
      <c r="H336" s="27"/>
      <c r="I336" s="27"/>
      <c r="J336" s="27"/>
      <c r="K336" s="26">
        <f>L336+O336</f>
        <v>0</v>
      </c>
      <c r="L336" s="27"/>
      <c r="M336" s="27"/>
      <c r="N336" s="27"/>
      <c r="O336" s="27"/>
      <c r="P336" s="27"/>
      <c r="Q336" s="26">
        <f>F336+K336</f>
        <v>0</v>
      </c>
    </row>
    <row r="337" spans="1:17" s="169" customFormat="1" ht="12.75" hidden="1">
      <c r="A337" s="170" t="s">
        <v>817</v>
      </c>
      <c r="B337" s="171" t="s">
        <v>46</v>
      </c>
      <c r="C337" s="170" t="s">
        <v>1106</v>
      </c>
      <c r="D337" s="170" t="s">
        <v>599</v>
      </c>
      <c r="E337" s="172" t="s">
        <v>518</v>
      </c>
      <c r="F337" s="173">
        <f t="shared" si="64"/>
        <v>295000</v>
      </c>
      <c r="G337" s="173">
        <v>295000</v>
      </c>
      <c r="H337" s="173"/>
      <c r="I337" s="173"/>
      <c r="J337" s="173"/>
      <c r="K337" s="173">
        <f t="shared" si="65"/>
        <v>0</v>
      </c>
      <c r="L337" s="173"/>
      <c r="M337" s="173"/>
      <c r="N337" s="173"/>
      <c r="O337" s="173"/>
      <c r="P337" s="173"/>
      <c r="Q337" s="173">
        <f t="shared" si="66"/>
        <v>295000</v>
      </c>
    </row>
    <row r="338" spans="1:17" ht="12.75">
      <c r="A338" s="112" t="s">
        <v>818</v>
      </c>
      <c r="B338" s="112" t="s">
        <v>664</v>
      </c>
      <c r="C338" s="112" t="s">
        <v>1095</v>
      </c>
      <c r="D338" s="112"/>
      <c r="E338" s="127" t="s">
        <v>666</v>
      </c>
      <c r="F338" s="26">
        <f t="shared" si="64"/>
        <v>116678359</v>
      </c>
      <c r="G338" s="114">
        <f>G339</f>
        <v>116678359</v>
      </c>
      <c r="H338" s="114">
        <f>H339</f>
        <v>0</v>
      </c>
      <c r="I338" s="114">
        <f>I339</f>
        <v>0</v>
      </c>
      <c r="J338" s="114">
        <f>J339</f>
        <v>0</v>
      </c>
      <c r="K338" s="26">
        <f t="shared" si="65"/>
        <v>9376030</v>
      </c>
      <c r="L338" s="114">
        <f>L339</f>
        <v>0</v>
      </c>
      <c r="M338" s="114">
        <f>M339</f>
        <v>0</v>
      </c>
      <c r="N338" s="114">
        <f>N339</f>
        <v>0</v>
      </c>
      <c r="O338" s="114">
        <f>O339</f>
        <v>9376030</v>
      </c>
      <c r="P338" s="114">
        <f>P339</f>
        <v>9376030</v>
      </c>
      <c r="Q338" s="26">
        <f t="shared" si="66"/>
        <v>126054389</v>
      </c>
    </row>
    <row r="339" spans="1:17" ht="15" customHeight="1">
      <c r="A339" s="112" t="s">
        <v>819</v>
      </c>
      <c r="B339" s="112" t="s">
        <v>123</v>
      </c>
      <c r="C339" s="112" t="s">
        <v>1107</v>
      </c>
      <c r="D339" s="112" t="s">
        <v>608</v>
      </c>
      <c r="E339" s="115" t="s">
        <v>125</v>
      </c>
      <c r="F339" s="114">
        <f t="shared" si="64"/>
        <v>116678359</v>
      </c>
      <c r="G339" s="114">
        <f>115449432+936695+270000+(22232)</f>
        <v>116678359</v>
      </c>
      <c r="H339" s="114"/>
      <c r="I339" s="114"/>
      <c r="J339" s="114"/>
      <c r="K339" s="26">
        <f t="shared" si="65"/>
        <v>9376030</v>
      </c>
      <c r="L339" s="114"/>
      <c r="M339" s="114"/>
      <c r="N339" s="114"/>
      <c r="O339" s="114">
        <f>P339</f>
        <v>9376030</v>
      </c>
      <c r="P339" s="114">
        <f>6160729+((280000))-800000-280000+3188301+827000</f>
        <v>9376030</v>
      </c>
      <c r="Q339" s="26">
        <f t="shared" si="66"/>
        <v>126054389</v>
      </c>
    </row>
    <row r="340" spans="1:17" ht="12.75">
      <c r="A340" s="112" t="s">
        <v>820</v>
      </c>
      <c r="B340" s="112" t="s">
        <v>629</v>
      </c>
      <c r="C340" s="112" t="s">
        <v>1021</v>
      </c>
      <c r="D340" s="112"/>
      <c r="E340" s="115" t="s">
        <v>631</v>
      </c>
      <c r="F340" s="26">
        <f t="shared" si="64"/>
        <v>0</v>
      </c>
      <c r="G340" s="114">
        <f>G341</f>
        <v>0</v>
      </c>
      <c r="H340" s="114">
        <f>H341</f>
        <v>0</v>
      </c>
      <c r="I340" s="114">
        <f>I341</f>
        <v>0</v>
      </c>
      <c r="J340" s="114">
        <f>J341</f>
        <v>0</v>
      </c>
      <c r="K340" s="26">
        <f t="shared" si="65"/>
        <v>94349473</v>
      </c>
      <c r="L340" s="114">
        <f>L341</f>
        <v>0</v>
      </c>
      <c r="M340" s="114">
        <f>M341</f>
        <v>0</v>
      </c>
      <c r="N340" s="114">
        <f>N341</f>
        <v>0</v>
      </c>
      <c r="O340" s="114">
        <f>O341</f>
        <v>94349473</v>
      </c>
      <c r="P340" s="114">
        <f>P341</f>
        <v>94349473</v>
      </c>
      <c r="Q340" s="26">
        <f t="shared" si="66"/>
        <v>94349473</v>
      </c>
    </row>
    <row r="341" spans="1:17" ht="25.5">
      <c r="A341" s="50" t="s">
        <v>821</v>
      </c>
      <c r="B341" s="28" t="s">
        <v>87</v>
      </c>
      <c r="C341" s="50" t="s">
        <v>981</v>
      </c>
      <c r="D341" s="50" t="s">
        <v>577</v>
      </c>
      <c r="E341" s="48" t="s">
        <v>174</v>
      </c>
      <c r="F341" s="26">
        <f t="shared" si="64"/>
        <v>0</v>
      </c>
      <c r="G341" s="27"/>
      <c r="H341" s="27"/>
      <c r="I341" s="27"/>
      <c r="J341" s="27"/>
      <c r="K341" s="26">
        <f t="shared" si="65"/>
        <v>94349473</v>
      </c>
      <c r="L341" s="27"/>
      <c r="M341" s="27"/>
      <c r="N341" s="27"/>
      <c r="O341" s="27">
        <f>P341</f>
        <v>94349473</v>
      </c>
      <c r="P341" s="27">
        <f>103430612+((877500))+31462-124457-877500+984893+136166-1874425-8836867+602089</f>
        <v>94349473</v>
      </c>
      <c r="Q341" s="26">
        <f t="shared" si="66"/>
        <v>94349473</v>
      </c>
    </row>
    <row r="342" spans="1:17" ht="25.5" customHeight="1">
      <c r="A342" s="112" t="s">
        <v>822</v>
      </c>
      <c r="B342" s="112" t="s">
        <v>644</v>
      </c>
      <c r="C342" s="112" t="s">
        <v>1108</v>
      </c>
      <c r="D342" s="112"/>
      <c r="E342" s="113" t="s">
        <v>670</v>
      </c>
      <c r="F342" s="26">
        <f t="shared" si="64"/>
        <v>267571468</v>
      </c>
      <c r="G342" s="114">
        <f>G343</f>
        <v>267571468</v>
      </c>
      <c r="H342" s="114">
        <f>H343</f>
        <v>0</v>
      </c>
      <c r="I342" s="114">
        <f>I343</f>
        <v>0</v>
      </c>
      <c r="J342" s="114">
        <f>J343</f>
        <v>0</v>
      </c>
      <c r="K342" s="26">
        <f t="shared" si="65"/>
        <v>181875961</v>
      </c>
      <c r="L342" s="114">
        <f>L343</f>
        <v>0</v>
      </c>
      <c r="M342" s="114">
        <f>M343</f>
        <v>0</v>
      </c>
      <c r="N342" s="114">
        <f>N343</f>
        <v>0</v>
      </c>
      <c r="O342" s="114">
        <f>O343</f>
        <v>181875961</v>
      </c>
      <c r="P342" s="114">
        <f>P343</f>
        <v>181875961</v>
      </c>
      <c r="Q342" s="26">
        <f t="shared" si="66"/>
        <v>449447429</v>
      </c>
    </row>
    <row r="343" spans="1:17" ht="25.5" customHeight="1">
      <c r="A343" s="50" t="s">
        <v>823</v>
      </c>
      <c r="B343" s="28">
        <v>170703</v>
      </c>
      <c r="C343" s="50" t="s">
        <v>1109</v>
      </c>
      <c r="D343" s="50" t="s">
        <v>609</v>
      </c>
      <c r="E343" s="48" t="s">
        <v>433</v>
      </c>
      <c r="F343" s="26">
        <f t="shared" si="64"/>
        <v>267571468</v>
      </c>
      <c r="G343" s="27">
        <f>274027093-5683925-771700</f>
        <v>267571468</v>
      </c>
      <c r="H343" s="27"/>
      <c r="I343" s="27"/>
      <c r="J343" s="27"/>
      <c r="K343" s="26">
        <f t="shared" si="65"/>
        <v>181875961</v>
      </c>
      <c r="L343" s="27"/>
      <c r="M343" s="27"/>
      <c r="N343" s="27"/>
      <c r="O343" s="27">
        <f>P343</f>
        <v>181875961</v>
      </c>
      <c r="P343" s="27">
        <f>192147458+987450-508360-66674-8073731-31462-2600000-70184+6927042-6835578</f>
        <v>181875961</v>
      </c>
      <c r="Q343" s="26">
        <f t="shared" si="66"/>
        <v>449447429</v>
      </c>
    </row>
    <row r="344" spans="1:17" ht="25.5" customHeight="1">
      <c r="A344" s="112" t="s">
        <v>824</v>
      </c>
      <c r="B344" s="112" t="s">
        <v>618</v>
      </c>
      <c r="C344" s="112" t="s">
        <v>1092</v>
      </c>
      <c r="D344" s="112"/>
      <c r="E344" s="115" t="s">
        <v>620</v>
      </c>
      <c r="F344" s="26">
        <f t="shared" si="64"/>
        <v>0</v>
      </c>
      <c r="G344" s="114">
        <f>G345</f>
        <v>0</v>
      </c>
      <c r="H344" s="114">
        <f>H345</f>
        <v>0</v>
      </c>
      <c r="I344" s="114">
        <f>I345</f>
        <v>0</v>
      </c>
      <c r="J344" s="114">
        <f>J345</f>
        <v>0</v>
      </c>
      <c r="K344" s="26">
        <f t="shared" si="65"/>
        <v>14593366</v>
      </c>
      <c r="L344" s="114">
        <f>L345</f>
        <v>0</v>
      </c>
      <c r="M344" s="114">
        <f>M345</f>
        <v>0</v>
      </c>
      <c r="N344" s="114">
        <f>N345</f>
        <v>0</v>
      </c>
      <c r="O344" s="114">
        <f>O345</f>
        <v>14593366</v>
      </c>
      <c r="P344" s="114">
        <f>P345</f>
        <v>14593366</v>
      </c>
      <c r="Q344" s="26">
        <f t="shared" si="66"/>
        <v>14593366</v>
      </c>
    </row>
    <row r="345" spans="1:17" ht="29.25" customHeight="1">
      <c r="A345" s="50" t="s">
        <v>825</v>
      </c>
      <c r="B345" s="28" t="s">
        <v>95</v>
      </c>
      <c r="C345" s="50" t="s">
        <v>983</v>
      </c>
      <c r="D345" s="50" t="s">
        <v>577</v>
      </c>
      <c r="E345" s="48" t="s">
        <v>259</v>
      </c>
      <c r="F345" s="26">
        <f t="shared" si="64"/>
        <v>0</v>
      </c>
      <c r="G345" s="27"/>
      <c r="H345" s="27"/>
      <c r="I345" s="27"/>
      <c r="J345" s="27"/>
      <c r="K345" s="26">
        <f t="shared" si="65"/>
        <v>14593366</v>
      </c>
      <c r="L345" s="27"/>
      <c r="M345" s="27"/>
      <c r="N345" s="27"/>
      <c r="O345" s="27">
        <f>P345</f>
        <v>14593366</v>
      </c>
      <c r="P345" s="27">
        <f>10000000+2600000+1298604+254762+440000</f>
        <v>14593366</v>
      </c>
      <c r="Q345" s="26">
        <f t="shared" si="66"/>
        <v>14593366</v>
      </c>
    </row>
    <row r="346" spans="1:17" ht="12.75" hidden="1">
      <c r="A346" s="106" t="s">
        <v>911</v>
      </c>
      <c r="B346" s="106" t="s">
        <v>528</v>
      </c>
      <c r="C346" s="106" t="s">
        <v>1012</v>
      </c>
      <c r="D346" s="106"/>
      <c r="E346" s="107" t="s">
        <v>529</v>
      </c>
      <c r="F346" s="26">
        <f t="shared" si="64"/>
        <v>0</v>
      </c>
      <c r="G346" s="105">
        <f>G347</f>
        <v>0</v>
      </c>
      <c r="H346" s="105">
        <f>H347</f>
        <v>0</v>
      </c>
      <c r="I346" s="105">
        <f>I347</f>
        <v>0</v>
      </c>
      <c r="J346" s="105">
        <f>J347</f>
        <v>0</v>
      </c>
      <c r="K346" s="26">
        <f t="shared" si="65"/>
        <v>0</v>
      </c>
      <c r="L346" s="105">
        <f>L347</f>
        <v>0</v>
      </c>
      <c r="M346" s="105">
        <f>M347</f>
        <v>0</v>
      </c>
      <c r="N346" s="105">
        <f>N347</f>
        <v>0</v>
      </c>
      <c r="O346" s="105">
        <f>O347</f>
        <v>0</v>
      </c>
      <c r="P346" s="105">
        <f>P347</f>
        <v>0</v>
      </c>
      <c r="Q346" s="26">
        <f t="shared" si="66"/>
        <v>0</v>
      </c>
    </row>
    <row r="347" spans="1:17" ht="12.75" hidden="1">
      <c r="A347" s="50" t="s">
        <v>912</v>
      </c>
      <c r="B347" s="50" t="s">
        <v>528</v>
      </c>
      <c r="C347" s="50" t="s">
        <v>1013</v>
      </c>
      <c r="D347" s="50" t="s">
        <v>587</v>
      </c>
      <c r="E347" s="83" t="s">
        <v>569</v>
      </c>
      <c r="F347" s="26">
        <f t="shared" si="64"/>
        <v>0</v>
      </c>
      <c r="G347" s="27"/>
      <c r="H347" s="27"/>
      <c r="I347" s="27"/>
      <c r="J347" s="27"/>
      <c r="K347" s="26">
        <f t="shared" si="65"/>
        <v>0</v>
      </c>
      <c r="L347" s="27"/>
      <c r="M347" s="27"/>
      <c r="N347" s="27"/>
      <c r="O347" s="27"/>
      <c r="P347" s="27"/>
      <c r="Q347" s="26">
        <f t="shared" si="66"/>
        <v>0</v>
      </c>
    </row>
    <row r="348" spans="1:17" ht="25.5">
      <c r="A348" s="112" t="s">
        <v>828</v>
      </c>
      <c r="B348" s="112" t="s">
        <v>635</v>
      </c>
      <c r="C348" s="112" t="s">
        <v>1022</v>
      </c>
      <c r="D348" s="112"/>
      <c r="E348" s="115" t="s">
        <v>636</v>
      </c>
      <c r="F348" s="26">
        <f t="shared" si="64"/>
        <v>986716</v>
      </c>
      <c r="G348" s="114">
        <f>G349</f>
        <v>986716</v>
      </c>
      <c r="H348" s="114">
        <f>H349</f>
        <v>0</v>
      </c>
      <c r="I348" s="114">
        <f>I349</f>
        <v>0</v>
      </c>
      <c r="J348" s="114">
        <f>J349</f>
        <v>0</v>
      </c>
      <c r="K348" s="26">
        <f t="shared" si="65"/>
        <v>0</v>
      </c>
      <c r="L348" s="114">
        <f>L349</f>
        <v>0</v>
      </c>
      <c r="M348" s="114">
        <f>M349</f>
        <v>0</v>
      </c>
      <c r="N348" s="114">
        <f>N349</f>
        <v>0</v>
      </c>
      <c r="O348" s="114">
        <f>O349</f>
        <v>0</v>
      </c>
      <c r="P348" s="114">
        <f>P349</f>
        <v>0</v>
      </c>
      <c r="Q348" s="26">
        <f t="shared" si="66"/>
        <v>986716</v>
      </c>
    </row>
    <row r="349" spans="1:17" ht="12.75">
      <c r="A349" s="85" t="s">
        <v>829</v>
      </c>
      <c r="B349" s="85" t="s">
        <v>54</v>
      </c>
      <c r="C349" s="85" t="s">
        <v>1094</v>
      </c>
      <c r="D349" s="85" t="s">
        <v>578</v>
      </c>
      <c r="E349" s="87" t="s">
        <v>417</v>
      </c>
      <c r="F349" s="88">
        <f t="shared" si="64"/>
        <v>986716</v>
      </c>
      <c r="G349" s="88">
        <f>G350+G351</f>
        <v>986716</v>
      </c>
      <c r="H349" s="88">
        <f>H350+H351</f>
        <v>0</v>
      </c>
      <c r="I349" s="88">
        <f>I350+I351</f>
        <v>0</v>
      </c>
      <c r="J349" s="88">
        <f>J350+J351</f>
        <v>0</v>
      </c>
      <c r="K349" s="26">
        <f t="shared" si="65"/>
        <v>0</v>
      </c>
      <c r="L349" s="88">
        <f>L350+L351</f>
        <v>0</v>
      </c>
      <c r="M349" s="88">
        <f>M350+M351</f>
        <v>0</v>
      </c>
      <c r="N349" s="88">
        <f>N350+N351</f>
        <v>0</v>
      </c>
      <c r="O349" s="88">
        <f>O350+O351</f>
        <v>0</v>
      </c>
      <c r="P349" s="88">
        <f>P350+P351</f>
        <v>0</v>
      </c>
      <c r="Q349" s="88">
        <f t="shared" si="66"/>
        <v>986716</v>
      </c>
    </row>
    <row r="350" spans="1:17" s="169" customFormat="1" ht="51" hidden="1">
      <c r="A350" s="170" t="s">
        <v>830</v>
      </c>
      <c r="B350" s="171" t="s">
        <v>54</v>
      </c>
      <c r="C350" s="170" t="s">
        <v>990</v>
      </c>
      <c r="D350" s="170" t="s">
        <v>578</v>
      </c>
      <c r="E350" s="178" t="s">
        <v>332</v>
      </c>
      <c r="F350" s="173">
        <f t="shared" si="64"/>
        <v>919716</v>
      </c>
      <c r="G350" s="173">
        <f>534916+384800</f>
        <v>919716</v>
      </c>
      <c r="H350" s="173"/>
      <c r="I350" s="173"/>
      <c r="J350" s="173"/>
      <c r="K350" s="173">
        <f t="shared" si="65"/>
        <v>0</v>
      </c>
      <c r="L350" s="173"/>
      <c r="M350" s="173"/>
      <c r="N350" s="173"/>
      <c r="O350" s="173"/>
      <c r="P350" s="173"/>
      <c r="Q350" s="173">
        <f t="shared" si="66"/>
        <v>919716</v>
      </c>
    </row>
    <row r="351" spans="1:17" s="169" customFormat="1" ht="51" hidden="1">
      <c r="A351" s="170" t="s">
        <v>833</v>
      </c>
      <c r="B351" s="171" t="s">
        <v>54</v>
      </c>
      <c r="C351" s="170" t="s">
        <v>987</v>
      </c>
      <c r="D351" s="170" t="s">
        <v>578</v>
      </c>
      <c r="E351" s="178" t="s">
        <v>334</v>
      </c>
      <c r="F351" s="173">
        <f t="shared" si="64"/>
        <v>67000</v>
      </c>
      <c r="G351" s="173">
        <v>67000</v>
      </c>
      <c r="H351" s="173"/>
      <c r="I351" s="173"/>
      <c r="J351" s="173"/>
      <c r="K351" s="173">
        <f t="shared" si="65"/>
        <v>0</v>
      </c>
      <c r="L351" s="173"/>
      <c r="M351" s="173"/>
      <c r="N351" s="173"/>
      <c r="O351" s="173"/>
      <c r="P351" s="173"/>
      <c r="Q351" s="173">
        <f t="shared" si="66"/>
        <v>67000</v>
      </c>
    </row>
    <row r="352" spans="1:17" ht="12.75">
      <c r="A352" s="112" t="s">
        <v>826</v>
      </c>
      <c r="B352" s="112" t="s">
        <v>98</v>
      </c>
      <c r="C352" s="112" t="s">
        <v>1016</v>
      </c>
      <c r="D352" s="112"/>
      <c r="E352" s="122" t="s">
        <v>99</v>
      </c>
      <c r="F352" s="26">
        <f aca="true" t="shared" si="67" ref="F352:F362">G352+J352</f>
        <v>0</v>
      </c>
      <c r="G352" s="114">
        <f>G353</f>
        <v>0</v>
      </c>
      <c r="H352" s="114">
        <f>H353</f>
        <v>0</v>
      </c>
      <c r="I352" s="114">
        <f>I353</f>
        <v>0</v>
      </c>
      <c r="J352" s="114">
        <f>J353</f>
        <v>0</v>
      </c>
      <c r="K352" s="26">
        <f aca="true" t="shared" si="68" ref="K352:K362">L352+O352</f>
        <v>3325000</v>
      </c>
      <c r="L352" s="114">
        <f>L353</f>
        <v>0</v>
      </c>
      <c r="M352" s="114">
        <f>M353</f>
        <v>0</v>
      </c>
      <c r="N352" s="114">
        <f>N353</f>
        <v>0</v>
      </c>
      <c r="O352" s="114">
        <f>O353</f>
        <v>3325000</v>
      </c>
      <c r="P352" s="114">
        <f>P353</f>
        <v>0</v>
      </c>
      <c r="Q352" s="26">
        <f aca="true" t="shared" si="69" ref="Q352:Q362">F352+K352</f>
        <v>3325000</v>
      </c>
    </row>
    <row r="353" spans="1:17" ht="25.5">
      <c r="A353" s="50" t="s">
        <v>827</v>
      </c>
      <c r="B353" s="28" t="s">
        <v>86</v>
      </c>
      <c r="C353" s="50" t="s">
        <v>1017</v>
      </c>
      <c r="D353" s="50" t="s">
        <v>588</v>
      </c>
      <c r="E353" s="25" t="s">
        <v>93</v>
      </c>
      <c r="F353" s="26">
        <f t="shared" si="67"/>
        <v>0</v>
      </c>
      <c r="G353" s="27"/>
      <c r="H353" s="27"/>
      <c r="I353" s="27"/>
      <c r="J353" s="27"/>
      <c r="K353" s="26">
        <f t="shared" si="68"/>
        <v>3325000</v>
      </c>
      <c r="L353" s="27"/>
      <c r="M353" s="27"/>
      <c r="N353" s="27"/>
      <c r="O353" s="27">
        <f>1000000+1500000+800000+4870000+25000-4870000</f>
        <v>3325000</v>
      </c>
      <c r="P353" s="27"/>
      <c r="Q353" s="26">
        <f t="shared" si="69"/>
        <v>3325000</v>
      </c>
    </row>
    <row r="354" spans="1:17" ht="38.25" customHeight="1">
      <c r="A354" s="62" t="s">
        <v>260</v>
      </c>
      <c r="B354" s="62" t="s">
        <v>159</v>
      </c>
      <c r="C354" s="62" t="s">
        <v>159</v>
      </c>
      <c r="D354" s="62"/>
      <c r="E354" s="61" t="s">
        <v>128</v>
      </c>
      <c r="F354" s="39">
        <f t="shared" si="67"/>
        <v>5556944</v>
      </c>
      <c r="G354" s="39">
        <f>G355</f>
        <v>5556944</v>
      </c>
      <c r="H354" s="39">
        <f>H355</f>
        <v>3483559</v>
      </c>
      <c r="I354" s="39">
        <f>I355</f>
        <v>202144</v>
      </c>
      <c r="J354" s="39">
        <f>J355</f>
        <v>0</v>
      </c>
      <c r="K354" s="39">
        <f t="shared" si="68"/>
        <v>0</v>
      </c>
      <c r="L354" s="39">
        <f>L355</f>
        <v>0</v>
      </c>
      <c r="M354" s="39">
        <f>M355</f>
        <v>0</v>
      </c>
      <c r="N354" s="39">
        <f>N355</f>
        <v>0</v>
      </c>
      <c r="O354" s="39">
        <f>O355</f>
        <v>0</v>
      </c>
      <c r="P354" s="39">
        <f>P355</f>
        <v>0</v>
      </c>
      <c r="Q354" s="40">
        <f t="shared" si="69"/>
        <v>5556944</v>
      </c>
    </row>
    <row r="355" spans="1:17" ht="39.75" customHeight="1">
      <c r="A355" s="59" t="s">
        <v>261</v>
      </c>
      <c r="B355" s="31"/>
      <c r="C355" s="31"/>
      <c r="D355" s="31"/>
      <c r="E355" s="49" t="s">
        <v>128</v>
      </c>
      <c r="F355" s="26">
        <f t="shared" si="67"/>
        <v>5556944</v>
      </c>
      <c r="G355" s="26">
        <f>G356+G358</f>
        <v>5556944</v>
      </c>
      <c r="H355" s="26">
        <f>H356+H358</f>
        <v>3483559</v>
      </c>
      <c r="I355" s="26">
        <f>I356+I358</f>
        <v>202144</v>
      </c>
      <c r="J355" s="26">
        <f>J356+J358</f>
        <v>0</v>
      </c>
      <c r="K355" s="26">
        <f t="shared" si="68"/>
        <v>0</v>
      </c>
      <c r="L355" s="26">
        <f>L356+L358</f>
        <v>0</v>
      </c>
      <c r="M355" s="26">
        <f>M356+M358</f>
        <v>0</v>
      </c>
      <c r="N355" s="26">
        <f>N356+N358</f>
        <v>0</v>
      </c>
      <c r="O355" s="26">
        <f>O356+O358</f>
        <v>0</v>
      </c>
      <c r="P355" s="26">
        <f>P356+P358</f>
        <v>0</v>
      </c>
      <c r="Q355" s="26">
        <f t="shared" si="69"/>
        <v>5556944</v>
      </c>
    </row>
    <row r="356" spans="1:17" ht="12.75">
      <c r="A356" s="112" t="s">
        <v>687</v>
      </c>
      <c r="B356" s="111" t="s">
        <v>672</v>
      </c>
      <c r="C356" s="111" t="s">
        <v>973</v>
      </c>
      <c r="D356" s="111"/>
      <c r="E356" s="127" t="s">
        <v>674</v>
      </c>
      <c r="F356" s="26">
        <f t="shared" si="67"/>
        <v>5556944</v>
      </c>
      <c r="G356" s="123">
        <f>G357</f>
        <v>5556944</v>
      </c>
      <c r="H356" s="123">
        <f>H357</f>
        <v>3483559</v>
      </c>
      <c r="I356" s="123">
        <f>I357</f>
        <v>202144</v>
      </c>
      <c r="J356" s="123">
        <f>J357</f>
        <v>0</v>
      </c>
      <c r="K356" s="26">
        <f t="shared" si="68"/>
        <v>0</v>
      </c>
      <c r="L356" s="123">
        <f>L357</f>
        <v>0</v>
      </c>
      <c r="M356" s="123">
        <f>M357</f>
        <v>0</v>
      </c>
      <c r="N356" s="123">
        <f>N357</f>
        <v>0</v>
      </c>
      <c r="O356" s="123">
        <f>O357</f>
        <v>0</v>
      </c>
      <c r="P356" s="123">
        <f>P357</f>
        <v>0</v>
      </c>
      <c r="Q356" s="26">
        <f t="shared" si="69"/>
        <v>5556944</v>
      </c>
    </row>
    <row r="357" spans="1:17" ht="38.25">
      <c r="A357" s="50" t="s">
        <v>10</v>
      </c>
      <c r="B357" s="28" t="s">
        <v>33</v>
      </c>
      <c r="C357" s="50" t="s">
        <v>614</v>
      </c>
      <c r="D357" s="50" t="s">
        <v>575</v>
      </c>
      <c r="E357" s="51" t="s">
        <v>966</v>
      </c>
      <c r="F357" s="26">
        <f t="shared" si="67"/>
        <v>5556944</v>
      </c>
      <c r="G357" s="27">
        <f>5685944-129000</f>
        <v>5556944</v>
      </c>
      <c r="H357" s="27">
        <v>3483559</v>
      </c>
      <c r="I357" s="27">
        <v>202144</v>
      </c>
      <c r="J357" s="27"/>
      <c r="K357" s="26">
        <f t="shared" si="68"/>
        <v>0</v>
      </c>
      <c r="L357" s="27"/>
      <c r="M357" s="27"/>
      <c r="N357" s="27"/>
      <c r="O357" s="27"/>
      <c r="P357" s="27"/>
      <c r="Q357" s="26">
        <f t="shared" si="69"/>
        <v>5556944</v>
      </c>
    </row>
    <row r="358" spans="1:17" ht="25.5" hidden="1">
      <c r="A358" s="112" t="s">
        <v>688</v>
      </c>
      <c r="B358" s="112" t="s">
        <v>635</v>
      </c>
      <c r="C358" s="112" t="s">
        <v>1022</v>
      </c>
      <c r="D358" s="112"/>
      <c r="E358" s="113" t="s">
        <v>636</v>
      </c>
      <c r="F358" s="26">
        <f t="shared" si="67"/>
        <v>0</v>
      </c>
      <c r="G358" s="114">
        <f>G359</f>
        <v>0</v>
      </c>
      <c r="H358" s="114">
        <f aca="true" t="shared" si="70" ref="H358:J359">H359</f>
        <v>0</v>
      </c>
      <c r="I358" s="114">
        <f t="shared" si="70"/>
        <v>0</v>
      </c>
      <c r="J358" s="114">
        <f t="shared" si="70"/>
        <v>0</v>
      </c>
      <c r="K358" s="26">
        <f t="shared" si="68"/>
        <v>0</v>
      </c>
      <c r="L358" s="114">
        <f aca="true" t="shared" si="71" ref="L358:P359">L359</f>
        <v>0</v>
      </c>
      <c r="M358" s="114">
        <f t="shared" si="71"/>
        <v>0</v>
      </c>
      <c r="N358" s="114">
        <f t="shared" si="71"/>
        <v>0</v>
      </c>
      <c r="O358" s="114">
        <f t="shared" si="71"/>
        <v>0</v>
      </c>
      <c r="P358" s="114">
        <f t="shared" si="71"/>
        <v>0</v>
      </c>
      <c r="Q358" s="26">
        <f t="shared" si="69"/>
        <v>0</v>
      </c>
    </row>
    <row r="359" spans="1:17" ht="12" customHeight="1" hidden="1">
      <c r="A359" s="85" t="s">
        <v>422</v>
      </c>
      <c r="B359" s="85" t="s">
        <v>54</v>
      </c>
      <c r="C359" s="85" t="s">
        <v>1094</v>
      </c>
      <c r="D359" s="85"/>
      <c r="E359" s="94" t="s">
        <v>417</v>
      </c>
      <c r="F359" s="26">
        <f t="shared" si="67"/>
        <v>0</v>
      </c>
      <c r="G359" s="88">
        <f>G360</f>
        <v>0</v>
      </c>
      <c r="H359" s="88">
        <f t="shared" si="70"/>
        <v>0</v>
      </c>
      <c r="I359" s="88">
        <f t="shared" si="70"/>
        <v>0</v>
      </c>
      <c r="J359" s="88">
        <f t="shared" si="70"/>
        <v>0</v>
      </c>
      <c r="K359" s="26">
        <f t="shared" si="68"/>
        <v>0</v>
      </c>
      <c r="L359" s="88">
        <f t="shared" si="71"/>
        <v>0</v>
      </c>
      <c r="M359" s="88">
        <f t="shared" si="71"/>
        <v>0</v>
      </c>
      <c r="N359" s="88">
        <f t="shared" si="71"/>
        <v>0</v>
      </c>
      <c r="O359" s="88">
        <f t="shared" si="71"/>
        <v>0</v>
      </c>
      <c r="P359" s="88">
        <f t="shared" si="71"/>
        <v>0</v>
      </c>
      <c r="Q359" s="26">
        <f t="shared" si="69"/>
        <v>0</v>
      </c>
    </row>
    <row r="360" spans="1:17" ht="53.25" customHeight="1" hidden="1">
      <c r="A360" s="50" t="s">
        <v>435</v>
      </c>
      <c r="B360" s="50" t="s">
        <v>54</v>
      </c>
      <c r="C360" s="50" t="s">
        <v>989</v>
      </c>
      <c r="D360" s="50" t="s">
        <v>578</v>
      </c>
      <c r="E360" s="51" t="s">
        <v>363</v>
      </c>
      <c r="F360" s="26">
        <f t="shared" si="67"/>
        <v>0</v>
      </c>
      <c r="G360" s="27"/>
      <c r="H360" s="27"/>
      <c r="I360" s="27"/>
      <c r="J360" s="27"/>
      <c r="K360" s="26">
        <f t="shared" si="68"/>
        <v>0</v>
      </c>
      <c r="L360" s="27"/>
      <c r="M360" s="27"/>
      <c r="N360" s="27"/>
      <c r="O360" s="27"/>
      <c r="P360" s="27"/>
      <c r="Q360" s="26">
        <f t="shared" si="69"/>
        <v>0</v>
      </c>
    </row>
    <row r="361" spans="1:17" ht="39" customHeight="1">
      <c r="A361" s="62" t="s">
        <v>262</v>
      </c>
      <c r="B361" s="62" t="s">
        <v>163</v>
      </c>
      <c r="C361" s="62" t="s">
        <v>163</v>
      </c>
      <c r="D361" s="62"/>
      <c r="E361" s="61" t="s">
        <v>127</v>
      </c>
      <c r="F361" s="39">
        <f t="shared" si="67"/>
        <v>6480924</v>
      </c>
      <c r="G361" s="39">
        <f>G362</f>
        <v>6480924</v>
      </c>
      <c r="H361" s="39">
        <f>H362</f>
        <v>3320922</v>
      </c>
      <c r="I361" s="39">
        <f>I362</f>
        <v>293830</v>
      </c>
      <c r="J361" s="39">
        <f>J362</f>
        <v>0</v>
      </c>
      <c r="K361" s="39">
        <f t="shared" si="68"/>
        <v>3127560</v>
      </c>
      <c r="L361" s="39">
        <f>L362</f>
        <v>0</v>
      </c>
      <c r="M361" s="39">
        <f>M362</f>
        <v>0</v>
      </c>
      <c r="N361" s="39">
        <f>N362</f>
        <v>0</v>
      </c>
      <c r="O361" s="39">
        <f>O362</f>
        <v>3127560</v>
      </c>
      <c r="P361" s="39">
        <f>P362</f>
        <v>3127560</v>
      </c>
      <c r="Q361" s="40">
        <f t="shared" si="69"/>
        <v>9608484</v>
      </c>
    </row>
    <row r="362" spans="1:17" ht="38.25">
      <c r="A362" s="59" t="s">
        <v>263</v>
      </c>
      <c r="B362" s="31"/>
      <c r="C362" s="31"/>
      <c r="D362" s="31"/>
      <c r="E362" s="49" t="s">
        <v>127</v>
      </c>
      <c r="F362" s="26">
        <f t="shared" si="67"/>
        <v>6480924</v>
      </c>
      <c r="G362" s="26">
        <f>G363+G365+G366</f>
        <v>6480924</v>
      </c>
      <c r="H362" s="26">
        <f>H363+H365+H366</f>
        <v>3320922</v>
      </c>
      <c r="I362" s="26">
        <f>I363+I365+I366</f>
        <v>293830</v>
      </c>
      <c r="J362" s="26">
        <f>J363+J365+J366</f>
        <v>0</v>
      </c>
      <c r="K362" s="26">
        <f t="shared" si="68"/>
        <v>3127560</v>
      </c>
      <c r="L362" s="26">
        <f>L363+L365+L366</f>
        <v>0</v>
      </c>
      <c r="M362" s="26">
        <f>M363+M365+M366</f>
        <v>0</v>
      </c>
      <c r="N362" s="26">
        <f>N363+N365+N366</f>
        <v>0</v>
      </c>
      <c r="O362" s="26">
        <f>O363+O365+O366</f>
        <v>3127560</v>
      </c>
      <c r="P362" s="26">
        <f>P363+P365+P366</f>
        <v>3127560</v>
      </c>
      <c r="Q362" s="26">
        <f t="shared" si="69"/>
        <v>9608484</v>
      </c>
    </row>
    <row r="363" spans="1:17" ht="12.75">
      <c r="A363" s="112" t="s">
        <v>689</v>
      </c>
      <c r="B363" s="111" t="s">
        <v>672</v>
      </c>
      <c r="C363" s="111" t="s">
        <v>973</v>
      </c>
      <c r="D363" s="111"/>
      <c r="E363" s="127" t="s">
        <v>674</v>
      </c>
      <c r="F363" s="26">
        <f aca="true" t="shared" si="72" ref="F363:F369">G363+J363</f>
        <v>5090924</v>
      </c>
      <c r="G363" s="123">
        <f>G364</f>
        <v>5090924</v>
      </c>
      <c r="H363" s="123">
        <f>H364</f>
        <v>3320922</v>
      </c>
      <c r="I363" s="123">
        <f>I364</f>
        <v>293830</v>
      </c>
      <c r="J363" s="123">
        <f>J364</f>
        <v>0</v>
      </c>
      <c r="K363" s="26">
        <f aca="true" t="shared" si="73" ref="K363:K369">L363+O363</f>
        <v>0</v>
      </c>
      <c r="L363" s="123">
        <f>L364</f>
        <v>0</v>
      </c>
      <c r="M363" s="123">
        <f>M364</f>
        <v>0</v>
      </c>
      <c r="N363" s="123">
        <f>N364</f>
        <v>0</v>
      </c>
      <c r="O363" s="123">
        <f>O364</f>
        <v>0</v>
      </c>
      <c r="P363" s="123">
        <f>P364</f>
        <v>0</v>
      </c>
      <c r="Q363" s="26">
        <f aca="true" t="shared" si="74" ref="Q363:Q369">F363+K363</f>
        <v>5090924</v>
      </c>
    </row>
    <row r="364" spans="1:17" ht="25.5">
      <c r="A364" s="50" t="s">
        <v>11</v>
      </c>
      <c r="B364" s="28" t="s">
        <v>33</v>
      </c>
      <c r="C364" s="50" t="s">
        <v>614</v>
      </c>
      <c r="D364" s="50" t="s">
        <v>575</v>
      </c>
      <c r="E364" s="51" t="s">
        <v>309</v>
      </c>
      <c r="F364" s="26">
        <f t="shared" si="72"/>
        <v>5090924</v>
      </c>
      <c r="G364" s="27">
        <f>5012516+78408</f>
        <v>5090924</v>
      </c>
      <c r="H364" s="27">
        <v>3320922</v>
      </c>
      <c r="I364" s="27">
        <v>293830</v>
      </c>
      <c r="J364" s="27"/>
      <c r="K364" s="26">
        <f t="shared" si="73"/>
        <v>0</v>
      </c>
      <c r="L364" s="27"/>
      <c r="M364" s="27"/>
      <c r="N364" s="27"/>
      <c r="O364" s="27"/>
      <c r="P364" s="27"/>
      <c r="Q364" s="26">
        <f t="shared" si="74"/>
        <v>5090924</v>
      </c>
    </row>
    <row r="365" spans="1:17" ht="30" customHeight="1">
      <c r="A365" s="112" t="s">
        <v>496</v>
      </c>
      <c r="B365" s="112" t="s">
        <v>495</v>
      </c>
      <c r="C365" s="112" t="s">
        <v>1110</v>
      </c>
      <c r="D365" s="112" t="s">
        <v>610</v>
      </c>
      <c r="E365" s="113" t="s">
        <v>497</v>
      </c>
      <c r="F365" s="26">
        <f t="shared" si="72"/>
        <v>0</v>
      </c>
      <c r="G365" s="114"/>
      <c r="H365" s="114"/>
      <c r="I365" s="114"/>
      <c r="J365" s="114"/>
      <c r="K365" s="26">
        <f t="shared" si="73"/>
        <v>2357560</v>
      </c>
      <c r="L365" s="114"/>
      <c r="M365" s="114"/>
      <c r="N365" s="114"/>
      <c r="O365" s="114">
        <f>P365</f>
        <v>2357560</v>
      </c>
      <c r="P365" s="114">
        <v>2357560</v>
      </c>
      <c r="Q365" s="26">
        <f t="shared" si="74"/>
        <v>2357560</v>
      </c>
    </row>
    <row r="366" spans="1:17" ht="24.75" customHeight="1">
      <c r="A366" s="112" t="s">
        <v>690</v>
      </c>
      <c r="B366" s="112" t="s">
        <v>635</v>
      </c>
      <c r="C366" s="112" t="s">
        <v>1022</v>
      </c>
      <c r="D366" s="112"/>
      <c r="E366" s="113" t="s">
        <v>636</v>
      </c>
      <c r="F366" s="26">
        <f t="shared" si="72"/>
        <v>1390000</v>
      </c>
      <c r="G366" s="114">
        <f>G367</f>
        <v>1390000</v>
      </c>
      <c r="H366" s="114">
        <f>H367</f>
        <v>0</v>
      </c>
      <c r="I366" s="114">
        <f>I367</f>
        <v>0</v>
      </c>
      <c r="J366" s="114">
        <f>J367</f>
        <v>0</v>
      </c>
      <c r="K366" s="26">
        <f t="shared" si="73"/>
        <v>770000</v>
      </c>
      <c r="L366" s="114">
        <f>L367</f>
        <v>0</v>
      </c>
      <c r="M366" s="114">
        <f>M367</f>
        <v>0</v>
      </c>
      <c r="N366" s="114">
        <f>N367</f>
        <v>0</v>
      </c>
      <c r="O366" s="114">
        <f>O367</f>
        <v>770000</v>
      </c>
      <c r="P366" s="114">
        <f>P367</f>
        <v>770000</v>
      </c>
      <c r="Q366" s="26">
        <f t="shared" si="74"/>
        <v>2160000</v>
      </c>
    </row>
    <row r="367" spans="1:17" ht="12.75">
      <c r="A367" s="85" t="s">
        <v>423</v>
      </c>
      <c r="B367" s="85" t="s">
        <v>54</v>
      </c>
      <c r="C367" s="85" t="s">
        <v>1094</v>
      </c>
      <c r="D367" s="85" t="s">
        <v>578</v>
      </c>
      <c r="E367" s="94" t="s">
        <v>417</v>
      </c>
      <c r="F367" s="88">
        <f t="shared" si="72"/>
        <v>1390000</v>
      </c>
      <c r="G367" s="88">
        <f>G368+G369</f>
        <v>1390000</v>
      </c>
      <c r="H367" s="88">
        <f>H368+H369</f>
        <v>0</v>
      </c>
      <c r="I367" s="88">
        <f>I368+I369</f>
        <v>0</v>
      </c>
      <c r="J367" s="88">
        <f>J368+J369</f>
        <v>0</v>
      </c>
      <c r="K367" s="26">
        <f t="shared" si="73"/>
        <v>770000</v>
      </c>
      <c r="L367" s="88">
        <f>L368+L369</f>
        <v>0</v>
      </c>
      <c r="M367" s="88">
        <f>M368+M369</f>
        <v>0</v>
      </c>
      <c r="N367" s="88">
        <f>N368+N369</f>
        <v>0</v>
      </c>
      <c r="O367" s="88">
        <f>O368+O369</f>
        <v>770000</v>
      </c>
      <c r="P367" s="88">
        <f>P368+P369</f>
        <v>770000</v>
      </c>
      <c r="Q367" s="88">
        <f t="shared" si="74"/>
        <v>2160000</v>
      </c>
    </row>
    <row r="368" spans="1:17" s="169" customFormat="1" ht="54.75" customHeight="1" hidden="1">
      <c r="A368" s="184" t="s">
        <v>362</v>
      </c>
      <c r="B368" s="170" t="s">
        <v>54</v>
      </c>
      <c r="C368" s="170" t="s">
        <v>988</v>
      </c>
      <c r="D368" s="170" t="s">
        <v>578</v>
      </c>
      <c r="E368" s="179" t="s">
        <v>480</v>
      </c>
      <c r="F368" s="173">
        <f t="shared" si="72"/>
        <v>1390000</v>
      </c>
      <c r="G368" s="173">
        <v>1390000</v>
      </c>
      <c r="H368" s="173"/>
      <c r="I368" s="173"/>
      <c r="J368" s="173"/>
      <c r="K368" s="173">
        <f t="shared" si="73"/>
        <v>770000</v>
      </c>
      <c r="L368" s="173"/>
      <c r="M368" s="173"/>
      <c r="N368" s="173"/>
      <c r="O368" s="173">
        <f>P368</f>
        <v>770000</v>
      </c>
      <c r="P368" s="173">
        <v>770000</v>
      </c>
      <c r="Q368" s="173">
        <f t="shared" si="74"/>
        <v>2160000</v>
      </c>
    </row>
    <row r="369" spans="1:17" ht="37.5" customHeight="1" hidden="1">
      <c r="A369" s="59" t="s">
        <v>500</v>
      </c>
      <c r="B369" s="31" t="s">
        <v>54</v>
      </c>
      <c r="C369" s="59" t="s">
        <v>986</v>
      </c>
      <c r="D369" s="31"/>
      <c r="E369" s="83" t="s">
        <v>434</v>
      </c>
      <c r="F369" s="26">
        <f t="shared" si="72"/>
        <v>0</v>
      </c>
      <c r="G369" s="27"/>
      <c r="H369" s="27"/>
      <c r="I369" s="27"/>
      <c r="J369" s="27"/>
      <c r="K369" s="26">
        <f t="shared" si="73"/>
        <v>0</v>
      </c>
      <c r="L369" s="27"/>
      <c r="M369" s="27"/>
      <c r="N369" s="27"/>
      <c r="O369" s="27"/>
      <c r="P369" s="27"/>
      <c r="Q369" s="26">
        <f t="shared" si="74"/>
        <v>0</v>
      </c>
    </row>
    <row r="370" spans="1:17" s="43" customFormat="1" ht="38.25">
      <c r="A370" s="62" t="s">
        <v>807</v>
      </c>
      <c r="B370" s="62" t="s">
        <v>806</v>
      </c>
      <c r="C370" s="62" t="s">
        <v>806</v>
      </c>
      <c r="D370" s="62"/>
      <c r="E370" s="61" t="s">
        <v>811</v>
      </c>
      <c r="F370" s="39">
        <f aca="true" t="shared" si="75" ref="F370:F385">G370+J370</f>
        <v>2443243</v>
      </c>
      <c r="G370" s="39">
        <f>G371</f>
        <v>2443243</v>
      </c>
      <c r="H370" s="39">
        <f aca="true" t="shared" si="76" ref="H370:J372">H371</f>
        <v>1508274</v>
      </c>
      <c r="I370" s="39">
        <f t="shared" si="76"/>
        <v>65413</v>
      </c>
      <c r="J370" s="39">
        <f t="shared" si="76"/>
        <v>0</v>
      </c>
      <c r="K370" s="39">
        <f aca="true" t="shared" si="77" ref="K370:K385">L370+O370</f>
        <v>0</v>
      </c>
      <c r="L370" s="39">
        <f aca="true" t="shared" si="78" ref="L370:P372">L371</f>
        <v>0</v>
      </c>
      <c r="M370" s="39">
        <f t="shared" si="78"/>
        <v>0</v>
      </c>
      <c r="N370" s="39">
        <f t="shared" si="78"/>
        <v>0</v>
      </c>
      <c r="O370" s="39">
        <f t="shared" si="78"/>
        <v>0</v>
      </c>
      <c r="P370" s="39">
        <f t="shared" si="78"/>
        <v>0</v>
      </c>
      <c r="Q370" s="40">
        <f aca="true" t="shared" si="79" ref="Q370:Q385">F370+K370</f>
        <v>2443243</v>
      </c>
    </row>
    <row r="371" spans="1:17" s="43" customFormat="1" ht="38.25" customHeight="1">
      <c r="A371" s="59" t="s">
        <v>808</v>
      </c>
      <c r="B371" s="31"/>
      <c r="C371" s="31"/>
      <c r="D371" s="31"/>
      <c r="E371" s="51" t="s">
        <v>811</v>
      </c>
      <c r="F371" s="27">
        <f t="shared" si="75"/>
        <v>2443243</v>
      </c>
      <c r="G371" s="27">
        <f>G372</f>
        <v>2443243</v>
      </c>
      <c r="H371" s="27">
        <f t="shared" si="76"/>
        <v>1508274</v>
      </c>
      <c r="I371" s="27">
        <f t="shared" si="76"/>
        <v>65413</v>
      </c>
      <c r="J371" s="27">
        <f t="shared" si="76"/>
        <v>0</v>
      </c>
      <c r="K371" s="27">
        <f t="shared" si="77"/>
        <v>0</v>
      </c>
      <c r="L371" s="27">
        <f t="shared" si="78"/>
        <v>0</v>
      </c>
      <c r="M371" s="27">
        <f t="shared" si="78"/>
        <v>0</v>
      </c>
      <c r="N371" s="27">
        <f t="shared" si="78"/>
        <v>0</v>
      </c>
      <c r="O371" s="27">
        <f t="shared" si="78"/>
        <v>0</v>
      </c>
      <c r="P371" s="27">
        <f t="shared" si="78"/>
        <v>0</v>
      </c>
      <c r="Q371" s="27">
        <f t="shared" si="79"/>
        <v>2443243</v>
      </c>
    </row>
    <row r="372" spans="1:17" s="43" customFormat="1" ht="12.75">
      <c r="A372" s="112" t="s">
        <v>809</v>
      </c>
      <c r="B372" s="111" t="s">
        <v>672</v>
      </c>
      <c r="C372" s="111" t="s">
        <v>973</v>
      </c>
      <c r="D372" s="111"/>
      <c r="E372" s="127" t="s">
        <v>674</v>
      </c>
      <c r="F372" s="27">
        <f t="shared" si="75"/>
        <v>2443243</v>
      </c>
      <c r="G372" s="114">
        <f>G373</f>
        <v>2443243</v>
      </c>
      <c r="H372" s="114">
        <f t="shared" si="76"/>
        <v>1508274</v>
      </c>
      <c r="I372" s="114">
        <f t="shared" si="76"/>
        <v>65413</v>
      </c>
      <c r="J372" s="114">
        <f t="shared" si="76"/>
        <v>0</v>
      </c>
      <c r="K372" s="27">
        <f t="shared" si="77"/>
        <v>0</v>
      </c>
      <c r="L372" s="114">
        <f t="shared" si="78"/>
        <v>0</v>
      </c>
      <c r="M372" s="114">
        <f t="shared" si="78"/>
        <v>0</v>
      </c>
      <c r="N372" s="114">
        <f t="shared" si="78"/>
        <v>0</v>
      </c>
      <c r="O372" s="114">
        <f t="shared" si="78"/>
        <v>0</v>
      </c>
      <c r="P372" s="114">
        <f t="shared" si="78"/>
        <v>0</v>
      </c>
      <c r="Q372" s="27">
        <f t="shared" si="79"/>
        <v>2443243</v>
      </c>
    </row>
    <row r="373" spans="1:17" s="43" customFormat="1" ht="37.5" customHeight="1">
      <c r="A373" s="50" t="s">
        <v>810</v>
      </c>
      <c r="B373" s="28" t="s">
        <v>33</v>
      </c>
      <c r="C373" s="50" t="s">
        <v>614</v>
      </c>
      <c r="D373" s="50" t="s">
        <v>575</v>
      </c>
      <c r="E373" s="51" t="s">
        <v>1147</v>
      </c>
      <c r="F373" s="27">
        <f t="shared" si="75"/>
        <v>2443243</v>
      </c>
      <c r="G373" s="27">
        <v>2443243</v>
      </c>
      <c r="H373" s="27">
        <v>1508274</v>
      </c>
      <c r="I373" s="27">
        <v>65413</v>
      </c>
      <c r="J373" s="27"/>
      <c r="K373" s="27">
        <f t="shared" si="77"/>
        <v>0</v>
      </c>
      <c r="L373" s="27"/>
      <c r="M373" s="27"/>
      <c r="N373" s="27"/>
      <c r="O373" s="27"/>
      <c r="P373" s="27"/>
      <c r="Q373" s="27">
        <f t="shared" si="79"/>
        <v>2443243</v>
      </c>
    </row>
    <row r="374" spans="1:17" s="43" customFormat="1" ht="25.5">
      <c r="A374" s="62" t="s">
        <v>264</v>
      </c>
      <c r="B374" s="62" t="s">
        <v>165</v>
      </c>
      <c r="C374" s="62" t="s">
        <v>165</v>
      </c>
      <c r="D374" s="62"/>
      <c r="E374" s="61" t="s">
        <v>138</v>
      </c>
      <c r="F374" s="39">
        <f t="shared" si="75"/>
        <v>1924226</v>
      </c>
      <c r="G374" s="39">
        <f>G375</f>
        <v>1924226</v>
      </c>
      <c r="H374" s="39">
        <f aca="true" t="shared" si="80" ref="H374:J376">H375</f>
        <v>1326875</v>
      </c>
      <c r="I374" s="39">
        <f t="shared" si="80"/>
        <v>22540</v>
      </c>
      <c r="J374" s="39">
        <f t="shared" si="80"/>
        <v>0</v>
      </c>
      <c r="K374" s="39">
        <f t="shared" si="77"/>
        <v>0</v>
      </c>
      <c r="L374" s="39">
        <f aca="true" t="shared" si="81" ref="L374:P376">L375</f>
        <v>0</v>
      </c>
      <c r="M374" s="39">
        <f t="shared" si="81"/>
        <v>0</v>
      </c>
      <c r="N374" s="39">
        <f t="shared" si="81"/>
        <v>0</v>
      </c>
      <c r="O374" s="39">
        <f t="shared" si="81"/>
        <v>0</v>
      </c>
      <c r="P374" s="39">
        <f t="shared" si="81"/>
        <v>0</v>
      </c>
      <c r="Q374" s="40">
        <f t="shared" si="79"/>
        <v>1924226</v>
      </c>
    </row>
    <row r="375" spans="1:17" s="43" customFormat="1" ht="25.5">
      <c r="A375" s="59" t="s">
        <v>265</v>
      </c>
      <c r="B375" s="31"/>
      <c r="C375" s="31"/>
      <c r="D375" s="31"/>
      <c r="E375" s="49" t="s">
        <v>138</v>
      </c>
      <c r="F375" s="27">
        <f t="shared" si="75"/>
        <v>1924226</v>
      </c>
      <c r="G375" s="27">
        <f>G376</f>
        <v>1924226</v>
      </c>
      <c r="H375" s="27">
        <f t="shared" si="80"/>
        <v>1326875</v>
      </c>
      <c r="I375" s="27">
        <f t="shared" si="80"/>
        <v>22540</v>
      </c>
      <c r="J375" s="27">
        <f t="shared" si="80"/>
        <v>0</v>
      </c>
      <c r="K375" s="27">
        <f t="shared" si="77"/>
        <v>0</v>
      </c>
      <c r="L375" s="27">
        <f t="shared" si="81"/>
        <v>0</v>
      </c>
      <c r="M375" s="27">
        <f t="shared" si="81"/>
        <v>0</v>
      </c>
      <c r="N375" s="27">
        <f t="shared" si="81"/>
        <v>0</v>
      </c>
      <c r="O375" s="27">
        <f t="shared" si="81"/>
        <v>0</v>
      </c>
      <c r="P375" s="27">
        <f t="shared" si="81"/>
        <v>0</v>
      </c>
      <c r="Q375" s="27">
        <f t="shared" si="79"/>
        <v>1924226</v>
      </c>
    </row>
    <row r="376" spans="1:17" s="43" customFormat="1" ht="12.75">
      <c r="A376" s="112" t="s">
        <v>691</v>
      </c>
      <c r="B376" s="111" t="s">
        <v>672</v>
      </c>
      <c r="C376" s="111" t="s">
        <v>973</v>
      </c>
      <c r="D376" s="111"/>
      <c r="E376" s="127" t="s">
        <v>674</v>
      </c>
      <c r="F376" s="27">
        <f t="shared" si="75"/>
        <v>1924226</v>
      </c>
      <c r="G376" s="114">
        <f>G377</f>
        <v>1924226</v>
      </c>
      <c r="H376" s="114">
        <f t="shared" si="80"/>
        <v>1326875</v>
      </c>
      <c r="I376" s="114">
        <f t="shared" si="80"/>
        <v>22540</v>
      </c>
      <c r="J376" s="114">
        <f t="shared" si="80"/>
        <v>0</v>
      </c>
      <c r="K376" s="27">
        <f t="shared" si="77"/>
        <v>0</v>
      </c>
      <c r="L376" s="114">
        <f t="shared" si="81"/>
        <v>0</v>
      </c>
      <c r="M376" s="114">
        <f t="shared" si="81"/>
        <v>0</v>
      </c>
      <c r="N376" s="114">
        <f t="shared" si="81"/>
        <v>0</v>
      </c>
      <c r="O376" s="114">
        <f t="shared" si="81"/>
        <v>0</v>
      </c>
      <c r="P376" s="114">
        <f t="shared" si="81"/>
        <v>0</v>
      </c>
      <c r="Q376" s="27">
        <f t="shared" si="79"/>
        <v>1924226</v>
      </c>
    </row>
    <row r="377" spans="1:17" s="43" customFormat="1" ht="37.5" customHeight="1">
      <c r="A377" s="50" t="s">
        <v>12</v>
      </c>
      <c r="B377" s="28" t="s">
        <v>33</v>
      </c>
      <c r="C377" s="50" t="s">
        <v>614</v>
      </c>
      <c r="D377" s="50" t="s">
        <v>575</v>
      </c>
      <c r="E377" s="51" t="s">
        <v>314</v>
      </c>
      <c r="F377" s="27">
        <f t="shared" si="75"/>
        <v>1924226</v>
      </c>
      <c r="G377" s="27">
        <f>1914417+9809</f>
        <v>1924226</v>
      </c>
      <c r="H377" s="27">
        <v>1326875</v>
      </c>
      <c r="I377" s="27">
        <v>22540</v>
      </c>
      <c r="J377" s="27"/>
      <c r="K377" s="27">
        <f t="shared" si="77"/>
        <v>0</v>
      </c>
      <c r="L377" s="27"/>
      <c r="M377" s="27"/>
      <c r="N377" s="27"/>
      <c r="O377" s="27"/>
      <c r="P377" s="27"/>
      <c r="Q377" s="27">
        <f t="shared" si="79"/>
        <v>1924226</v>
      </c>
    </row>
    <row r="378" spans="1:17" ht="24.75" customHeight="1">
      <c r="A378" s="62" t="s">
        <v>266</v>
      </c>
      <c r="B378" s="62" t="s">
        <v>169</v>
      </c>
      <c r="C378" s="62" t="s">
        <v>169</v>
      </c>
      <c r="D378" s="62"/>
      <c r="E378" s="63" t="s">
        <v>139</v>
      </c>
      <c r="F378" s="39">
        <f t="shared" si="75"/>
        <v>3113096</v>
      </c>
      <c r="G378" s="39">
        <f>G379</f>
        <v>3113096</v>
      </c>
      <c r="H378" s="39">
        <f>H379</f>
        <v>2242049</v>
      </c>
      <c r="I378" s="39">
        <f>I379</f>
        <v>98958</v>
      </c>
      <c r="J378" s="39">
        <f>J379</f>
        <v>0</v>
      </c>
      <c r="K378" s="39">
        <f t="shared" si="77"/>
        <v>0</v>
      </c>
      <c r="L378" s="39">
        <f>L379</f>
        <v>0</v>
      </c>
      <c r="M378" s="39">
        <f>M379</f>
        <v>0</v>
      </c>
      <c r="N378" s="39">
        <f>N379</f>
        <v>0</v>
      </c>
      <c r="O378" s="39">
        <f>O379</f>
        <v>0</v>
      </c>
      <c r="P378" s="39">
        <f>P379</f>
        <v>0</v>
      </c>
      <c r="Q378" s="39">
        <f t="shared" si="79"/>
        <v>3113096</v>
      </c>
    </row>
    <row r="379" spans="1:17" ht="25.5">
      <c r="A379" s="50" t="s">
        <v>267</v>
      </c>
      <c r="B379" s="28"/>
      <c r="C379" s="28"/>
      <c r="D379" s="28"/>
      <c r="E379" s="49" t="s">
        <v>139</v>
      </c>
      <c r="F379" s="27">
        <f t="shared" si="75"/>
        <v>3113096</v>
      </c>
      <c r="G379" s="27">
        <f>G380+G382</f>
        <v>3113096</v>
      </c>
      <c r="H379" s="27">
        <f>H380+H382</f>
        <v>2242049</v>
      </c>
      <c r="I379" s="27">
        <f>I380+I382</f>
        <v>98958</v>
      </c>
      <c r="J379" s="27">
        <f>J380+J382</f>
        <v>0</v>
      </c>
      <c r="K379" s="27">
        <f t="shared" si="77"/>
        <v>0</v>
      </c>
      <c r="L379" s="27">
        <f>L380+L382</f>
        <v>0</v>
      </c>
      <c r="M379" s="27">
        <f>M380+M382</f>
        <v>0</v>
      </c>
      <c r="N379" s="27">
        <f>N380+N382</f>
        <v>0</v>
      </c>
      <c r="O379" s="27">
        <f>O380+O382</f>
        <v>0</v>
      </c>
      <c r="P379" s="27">
        <f>P380+P382</f>
        <v>0</v>
      </c>
      <c r="Q379" s="27">
        <f t="shared" si="79"/>
        <v>3113096</v>
      </c>
    </row>
    <row r="380" spans="1:17" ht="12.75">
      <c r="A380" s="112" t="s">
        <v>692</v>
      </c>
      <c r="B380" s="112" t="s">
        <v>672</v>
      </c>
      <c r="C380" s="112" t="s">
        <v>973</v>
      </c>
      <c r="D380" s="112"/>
      <c r="E380" s="127" t="s">
        <v>674</v>
      </c>
      <c r="F380" s="27">
        <f t="shared" si="75"/>
        <v>3113096</v>
      </c>
      <c r="G380" s="114">
        <f>G381</f>
        <v>3113096</v>
      </c>
      <c r="H380" s="114">
        <f>H381</f>
        <v>2242049</v>
      </c>
      <c r="I380" s="114">
        <f>I381</f>
        <v>98958</v>
      </c>
      <c r="J380" s="114">
        <f>J381</f>
        <v>0</v>
      </c>
      <c r="K380" s="27">
        <f t="shared" si="77"/>
        <v>0</v>
      </c>
      <c r="L380" s="114">
        <f>L381</f>
        <v>0</v>
      </c>
      <c r="M380" s="114">
        <f>M381</f>
        <v>0</v>
      </c>
      <c r="N380" s="114">
        <f>N381</f>
        <v>0</v>
      </c>
      <c r="O380" s="114">
        <f>O381</f>
        <v>0</v>
      </c>
      <c r="P380" s="114">
        <f>P381</f>
        <v>0</v>
      </c>
      <c r="Q380" s="27">
        <f t="shared" si="79"/>
        <v>3113096</v>
      </c>
    </row>
    <row r="381" spans="1:17" ht="25.5">
      <c r="A381" s="50" t="s">
        <v>13</v>
      </c>
      <c r="B381" s="28" t="s">
        <v>33</v>
      </c>
      <c r="C381" s="50" t="s">
        <v>614</v>
      </c>
      <c r="D381" s="50" t="s">
        <v>575</v>
      </c>
      <c r="E381" s="51" t="s">
        <v>310</v>
      </c>
      <c r="F381" s="27">
        <f t="shared" si="75"/>
        <v>3113096</v>
      </c>
      <c r="G381" s="27">
        <f>3142900-29804</f>
        <v>3113096</v>
      </c>
      <c r="H381" s="27">
        <f>2303266-61217</f>
        <v>2242049</v>
      </c>
      <c r="I381" s="27">
        <v>98958</v>
      </c>
      <c r="J381" s="27"/>
      <c r="K381" s="27">
        <f t="shared" si="77"/>
        <v>0</v>
      </c>
      <c r="L381" s="27"/>
      <c r="M381" s="27"/>
      <c r="N381" s="27"/>
      <c r="O381" s="27"/>
      <c r="P381" s="27"/>
      <c r="Q381" s="27">
        <f t="shared" si="79"/>
        <v>3113096</v>
      </c>
    </row>
    <row r="382" spans="1:17" ht="28.5" customHeight="1" hidden="1">
      <c r="A382" s="112" t="s">
        <v>914</v>
      </c>
      <c r="B382" s="112"/>
      <c r="C382" s="112" t="s">
        <v>1111</v>
      </c>
      <c r="D382" s="112"/>
      <c r="E382" s="115" t="s">
        <v>915</v>
      </c>
      <c r="F382" s="27">
        <f t="shared" si="75"/>
        <v>0</v>
      </c>
      <c r="G382" s="114">
        <f>G383</f>
        <v>0</v>
      </c>
      <c r="H382" s="114">
        <f>H383</f>
        <v>0</v>
      </c>
      <c r="I382" s="114">
        <f>I383</f>
        <v>0</v>
      </c>
      <c r="J382" s="114">
        <f>J383</f>
        <v>0</v>
      </c>
      <c r="K382" s="27">
        <f t="shared" si="77"/>
        <v>0</v>
      </c>
      <c r="L382" s="114">
        <f>L383</f>
        <v>0</v>
      </c>
      <c r="M382" s="114">
        <f>M383</f>
        <v>0</v>
      </c>
      <c r="N382" s="114">
        <f>N383</f>
        <v>0</v>
      </c>
      <c r="O382" s="114">
        <f>O383</f>
        <v>0</v>
      </c>
      <c r="P382" s="114">
        <f>P383</f>
        <v>0</v>
      </c>
      <c r="Q382" s="27">
        <f t="shared" si="79"/>
        <v>0</v>
      </c>
    </row>
    <row r="383" spans="1:17" ht="15" customHeight="1" hidden="1">
      <c r="A383" s="50" t="s">
        <v>364</v>
      </c>
      <c r="B383" s="50" t="s">
        <v>140</v>
      </c>
      <c r="C383" s="50" t="s">
        <v>1112</v>
      </c>
      <c r="D383" s="50" t="s">
        <v>916</v>
      </c>
      <c r="E383" s="48" t="s">
        <v>268</v>
      </c>
      <c r="F383" s="27">
        <f t="shared" si="75"/>
        <v>0</v>
      </c>
      <c r="G383" s="27"/>
      <c r="H383" s="27"/>
      <c r="I383" s="27"/>
      <c r="J383" s="27"/>
      <c r="K383" s="27">
        <f t="shared" si="77"/>
        <v>0</v>
      </c>
      <c r="L383" s="27"/>
      <c r="M383" s="27"/>
      <c r="N383" s="27"/>
      <c r="O383" s="27"/>
      <c r="P383" s="27"/>
      <c r="Q383" s="27">
        <f t="shared" si="79"/>
        <v>0</v>
      </c>
    </row>
    <row r="384" spans="1:17" ht="25.5">
      <c r="A384" s="62" t="s">
        <v>269</v>
      </c>
      <c r="B384" s="62" t="s">
        <v>164</v>
      </c>
      <c r="C384" s="62" t="s">
        <v>164</v>
      </c>
      <c r="D384" s="62"/>
      <c r="E384" s="61" t="s">
        <v>130</v>
      </c>
      <c r="F384" s="39">
        <f t="shared" si="75"/>
        <v>1819729</v>
      </c>
      <c r="G384" s="39">
        <f>G385</f>
        <v>1819729</v>
      </c>
      <c r="H384" s="39">
        <f>H385</f>
        <v>1304632</v>
      </c>
      <c r="I384" s="39">
        <f>I385</f>
        <v>60025</v>
      </c>
      <c r="J384" s="39">
        <f>J385</f>
        <v>0</v>
      </c>
      <c r="K384" s="39">
        <f t="shared" si="77"/>
        <v>24164915</v>
      </c>
      <c r="L384" s="39">
        <f>L385</f>
        <v>503000</v>
      </c>
      <c r="M384" s="39">
        <f>M385</f>
        <v>0</v>
      </c>
      <c r="N384" s="39">
        <f>N385</f>
        <v>0</v>
      </c>
      <c r="O384" s="39">
        <f>O385</f>
        <v>23661915</v>
      </c>
      <c r="P384" s="39">
        <f>P385</f>
        <v>0</v>
      </c>
      <c r="Q384" s="40">
        <f t="shared" si="79"/>
        <v>25984644</v>
      </c>
    </row>
    <row r="385" spans="1:17" ht="25.5" customHeight="1">
      <c r="A385" s="59" t="s">
        <v>270</v>
      </c>
      <c r="B385" s="31"/>
      <c r="C385" s="31"/>
      <c r="D385" s="31"/>
      <c r="E385" s="49" t="s">
        <v>130</v>
      </c>
      <c r="F385" s="26">
        <f t="shared" si="75"/>
        <v>1819729</v>
      </c>
      <c r="G385" s="26">
        <f>G386+G388+G390+G392+G395+G397+G400</f>
        <v>1819729</v>
      </c>
      <c r="H385" s="26">
        <f>H386+H388+H390+H392+H395+H397+H400</f>
        <v>1304632</v>
      </c>
      <c r="I385" s="26">
        <f>I386+I388+I390+I392+I395+I397+I400</f>
        <v>60025</v>
      </c>
      <c r="J385" s="26">
        <f>J386+J388+J390+J392+J395+J397+J400</f>
        <v>0</v>
      </c>
      <c r="K385" s="26">
        <f t="shared" si="77"/>
        <v>24164915</v>
      </c>
      <c r="L385" s="26">
        <f>L386+L388+L390+L392+L395+L397+L400</f>
        <v>503000</v>
      </c>
      <c r="M385" s="26">
        <f>M386+M388+M390+M392+M395+M397+M400</f>
        <v>0</v>
      </c>
      <c r="N385" s="26">
        <f>N386+N388+N390+N392+N395+N397+N400</f>
        <v>0</v>
      </c>
      <c r="O385" s="26">
        <f>O386+O388+O390+O392+O395+O397+O400</f>
        <v>23661915</v>
      </c>
      <c r="P385" s="26">
        <f>P386+P388+P390+P392+P395+P397+P400</f>
        <v>0</v>
      </c>
      <c r="Q385" s="26">
        <f t="shared" si="79"/>
        <v>25984644</v>
      </c>
    </row>
    <row r="386" spans="1:17" ht="12.75">
      <c r="A386" s="112" t="s">
        <v>693</v>
      </c>
      <c r="B386" s="111" t="s">
        <v>672</v>
      </c>
      <c r="C386" s="111" t="s">
        <v>973</v>
      </c>
      <c r="D386" s="111"/>
      <c r="E386" s="127" t="s">
        <v>674</v>
      </c>
      <c r="F386" s="26">
        <f aca="true" t="shared" si="82" ref="F386:F399">G386+J386</f>
        <v>1819729</v>
      </c>
      <c r="G386" s="123">
        <f>G387</f>
        <v>1819729</v>
      </c>
      <c r="H386" s="123">
        <f>H387</f>
        <v>1304632</v>
      </c>
      <c r="I386" s="123">
        <f>I387</f>
        <v>60025</v>
      </c>
      <c r="J386" s="123">
        <f>J387</f>
        <v>0</v>
      </c>
      <c r="K386" s="26">
        <f aca="true" t="shared" si="83" ref="K386:K399">L386+O386</f>
        <v>0</v>
      </c>
      <c r="L386" s="123">
        <f>L387</f>
        <v>0</v>
      </c>
      <c r="M386" s="123">
        <f>M387</f>
        <v>0</v>
      </c>
      <c r="N386" s="123">
        <f>N387</f>
        <v>0</v>
      </c>
      <c r="O386" s="123">
        <f>O387</f>
        <v>0</v>
      </c>
      <c r="P386" s="123">
        <f>P387</f>
        <v>0</v>
      </c>
      <c r="Q386" s="26">
        <f aca="true" t="shared" si="84" ref="Q386:Q399">F386+K386</f>
        <v>1819729</v>
      </c>
    </row>
    <row r="387" spans="1:17" ht="39.75" customHeight="1">
      <c r="A387" s="50" t="s">
        <v>14</v>
      </c>
      <c r="B387" s="28" t="s">
        <v>33</v>
      </c>
      <c r="C387" s="50" t="s">
        <v>614</v>
      </c>
      <c r="D387" s="50" t="s">
        <v>575</v>
      </c>
      <c r="E387" s="51" t="s">
        <v>967</v>
      </c>
      <c r="F387" s="26">
        <f t="shared" si="82"/>
        <v>1819729</v>
      </c>
      <c r="G387" s="27">
        <f>1833973-31267+17023</f>
        <v>1819729</v>
      </c>
      <c r="H387" s="27">
        <v>1304632</v>
      </c>
      <c r="I387" s="27">
        <v>60025</v>
      </c>
      <c r="J387" s="27"/>
      <c r="K387" s="26">
        <f t="shared" si="83"/>
        <v>0</v>
      </c>
      <c r="L387" s="27"/>
      <c r="M387" s="27"/>
      <c r="N387" s="27"/>
      <c r="O387" s="27"/>
      <c r="P387" s="27"/>
      <c r="Q387" s="26">
        <f t="shared" si="84"/>
        <v>1819729</v>
      </c>
    </row>
    <row r="388" spans="1:17" ht="12.75" hidden="1">
      <c r="A388" s="112" t="s">
        <v>917</v>
      </c>
      <c r="B388" s="112" t="s">
        <v>629</v>
      </c>
      <c r="C388" s="112" t="s">
        <v>1021</v>
      </c>
      <c r="D388" s="112"/>
      <c r="E388" s="115" t="s">
        <v>631</v>
      </c>
      <c r="F388" s="26">
        <f t="shared" si="82"/>
        <v>0</v>
      </c>
      <c r="G388" s="114">
        <f>G389</f>
        <v>0</v>
      </c>
      <c r="H388" s="114">
        <f>H389</f>
        <v>0</v>
      </c>
      <c r="I388" s="114">
        <f>I389</f>
        <v>0</v>
      </c>
      <c r="J388" s="114">
        <f>J389</f>
        <v>0</v>
      </c>
      <c r="K388" s="26">
        <f t="shared" si="83"/>
        <v>0</v>
      </c>
      <c r="L388" s="114">
        <f>L389</f>
        <v>0</v>
      </c>
      <c r="M388" s="114">
        <f>M389</f>
        <v>0</v>
      </c>
      <c r="N388" s="114">
        <f>N389</f>
        <v>0</v>
      </c>
      <c r="O388" s="114">
        <f>O389</f>
        <v>0</v>
      </c>
      <c r="P388" s="114">
        <f>P389</f>
        <v>0</v>
      </c>
      <c r="Q388" s="26">
        <f t="shared" si="84"/>
        <v>0</v>
      </c>
    </row>
    <row r="389" spans="1:17" ht="25.5" hidden="1">
      <c r="A389" s="50" t="s">
        <v>517</v>
      </c>
      <c r="B389" s="50">
        <v>150101</v>
      </c>
      <c r="C389" s="50" t="s">
        <v>981</v>
      </c>
      <c r="D389" s="50" t="s">
        <v>577</v>
      </c>
      <c r="E389" s="48" t="s">
        <v>174</v>
      </c>
      <c r="F389" s="26">
        <f t="shared" si="82"/>
        <v>0</v>
      </c>
      <c r="G389" s="27"/>
      <c r="H389" s="27"/>
      <c r="I389" s="27"/>
      <c r="J389" s="27"/>
      <c r="K389" s="26">
        <f t="shared" si="83"/>
        <v>0</v>
      </c>
      <c r="L389" s="27"/>
      <c r="M389" s="27"/>
      <c r="N389" s="27"/>
      <c r="O389" s="27">
        <f>P389</f>
        <v>0</v>
      </c>
      <c r="P389" s="27">
        <f>10000000-10000000</f>
        <v>0</v>
      </c>
      <c r="Q389" s="26">
        <f t="shared" si="84"/>
        <v>0</v>
      </c>
    </row>
    <row r="390" spans="1:17" ht="25.5" customHeight="1" hidden="1">
      <c r="A390" s="112" t="s">
        <v>918</v>
      </c>
      <c r="B390" s="112" t="s">
        <v>618</v>
      </c>
      <c r="C390" s="112" t="s">
        <v>1092</v>
      </c>
      <c r="D390" s="112"/>
      <c r="E390" s="115" t="s">
        <v>620</v>
      </c>
      <c r="F390" s="26">
        <f t="shared" si="82"/>
        <v>0</v>
      </c>
      <c r="G390" s="114">
        <f>G391</f>
        <v>0</v>
      </c>
      <c r="H390" s="114">
        <f>H391</f>
        <v>0</v>
      </c>
      <c r="I390" s="114">
        <f>I391</f>
        <v>0</v>
      </c>
      <c r="J390" s="114">
        <f>J391</f>
        <v>0</v>
      </c>
      <c r="K390" s="26">
        <f t="shared" si="83"/>
        <v>0</v>
      </c>
      <c r="L390" s="114">
        <f>L391</f>
        <v>0</v>
      </c>
      <c r="M390" s="114">
        <f>M391</f>
        <v>0</v>
      </c>
      <c r="N390" s="114">
        <f>N391</f>
        <v>0</v>
      </c>
      <c r="O390" s="114">
        <f>O391</f>
        <v>0</v>
      </c>
      <c r="P390" s="114">
        <f>P391</f>
        <v>0</v>
      </c>
      <c r="Q390" s="26">
        <f t="shared" si="84"/>
        <v>0</v>
      </c>
    </row>
    <row r="391" spans="1:17" ht="27.75" customHeight="1" hidden="1">
      <c r="A391" s="50" t="s">
        <v>516</v>
      </c>
      <c r="B391" s="50" t="s">
        <v>95</v>
      </c>
      <c r="C391" s="50" t="s">
        <v>1113</v>
      </c>
      <c r="D391" s="50"/>
      <c r="E391" s="48" t="s">
        <v>259</v>
      </c>
      <c r="F391" s="26">
        <f t="shared" si="82"/>
        <v>0</v>
      </c>
      <c r="G391" s="27"/>
      <c r="H391" s="27"/>
      <c r="I391" s="27"/>
      <c r="J391" s="27"/>
      <c r="K391" s="26">
        <f t="shared" si="83"/>
        <v>0</v>
      </c>
      <c r="L391" s="27"/>
      <c r="M391" s="27"/>
      <c r="N391" s="27"/>
      <c r="O391" s="27"/>
      <c r="P391" s="27"/>
      <c r="Q391" s="26">
        <f t="shared" si="84"/>
        <v>0</v>
      </c>
    </row>
    <row r="392" spans="1:17" ht="28.5" customHeight="1" hidden="1">
      <c r="A392" s="112" t="s">
        <v>695</v>
      </c>
      <c r="B392" s="112" t="s">
        <v>694</v>
      </c>
      <c r="C392" s="112" t="s">
        <v>1114</v>
      </c>
      <c r="D392" s="112"/>
      <c r="E392" s="115" t="s">
        <v>697</v>
      </c>
      <c r="F392" s="26">
        <f t="shared" si="82"/>
        <v>0</v>
      </c>
      <c r="G392" s="114">
        <f aca="true" t="shared" si="85" ref="G392:J393">G393</f>
        <v>0</v>
      </c>
      <c r="H392" s="114">
        <f t="shared" si="85"/>
        <v>0</v>
      </c>
      <c r="I392" s="114">
        <f t="shared" si="85"/>
        <v>0</v>
      </c>
      <c r="J392" s="114">
        <f t="shared" si="85"/>
        <v>0</v>
      </c>
      <c r="K392" s="26">
        <f t="shared" si="83"/>
        <v>0</v>
      </c>
      <c r="L392" s="114">
        <f aca="true" t="shared" si="86" ref="L392:P393">L393</f>
        <v>0</v>
      </c>
      <c r="M392" s="114">
        <f t="shared" si="86"/>
        <v>0</v>
      </c>
      <c r="N392" s="114">
        <f t="shared" si="86"/>
        <v>0</v>
      </c>
      <c r="O392" s="114">
        <f t="shared" si="86"/>
        <v>0</v>
      </c>
      <c r="P392" s="114">
        <f t="shared" si="86"/>
        <v>0</v>
      </c>
      <c r="Q392" s="26">
        <f t="shared" si="84"/>
        <v>0</v>
      </c>
    </row>
    <row r="393" spans="1:17" ht="27.75" customHeight="1" hidden="1">
      <c r="A393" s="112" t="s">
        <v>696</v>
      </c>
      <c r="B393" s="112"/>
      <c r="C393" s="112" t="s">
        <v>1115</v>
      </c>
      <c r="D393" s="112"/>
      <c r="E393" s="115" t="s">
        <v>93</v>
      </c>
      <c r="F393" s="26">
        <f t="shared" si="82"/>
        <v>0</v>
      </c>
      <c r="G393" s="114">
        <f t="shared" si="85"/>
        <v>0</v>
      </c>
      <c r="H393" s="114">
        <f t="shared" si="85"/>
        <v>0</v>
      </c>
      <c r="I393" s="114">
        <f t="shared" si="85"/>
        <v>0</v>
      </c>
      <c r="J393" s="114">
        <f t="shared" si="85"/>
        <v>0</v>
      </c>
      <c r="K393" s="26">
        <f t="shared" si="83"/>
        <v>0</v>
      </c>
      <c r="L393" s="114">
        <f t="shared" si="86"/>
        <v>0</v>
      </c>
      <c r="M393" s="114">
        <f t="shared" si="86"/>
        <v>0</v>
      </c>
      <c r="N393" s="114">
        <f t="shared" si="86"/>
        <v>0</v>
      </c>
      <c r="O393" s="114">
        <f t="shared" si="86"/>
        <v>0</v>
      </c>
      <c r="P393" s="114">
        <f t="shared" si="86"/>
        <v>0</v>
      </c>
      <c r="Q393" s="26">
        <f t="shared" si="84"/>
        <v>0</v>
      </c>
    </row>
    <row r="394" spans="1:17" ht="25.5" hidden="1">
      <c r="A394" s="50" t="s">
        <v>514</v>
      </c>
      <c r="B394" s="50" t="s">
        <v>513</v>
      </c>
      <c r="C394" s="50" t="s">
        <v>1116</v>
      </c>
      <c r="D394" s="50" t="s">
        <v>588</v>
      </c>
      <c r="E394" s="51" t="s">
        <v>515</v>
      </c>
      <c r="F394" s="26">
        <f t="shared" si="82"/>
        <v>0</v>
      </c>
      <c r="G394" s="27"/>
      <c r="H394" s="27"/>
      <c r="I394" s="27"/>
      <c r="J394" s="27"/>
      <c r="K394" s="26">
        <f t="shared" si="83"/>
        <v>0</v>
      </c>
      <c r="L394" s="27"/>
      <c r="M394" s="27"/>
      <c r="N394" s="27"/>
      <c r="O394" s="27"/>
      <c r="P394" s="27"/>
      <c r="Q394" s="26">
        <f t="shared" si="84"/>
        <v>0</v>
      </c>
    </row>
    <row r="395" spans="1:17" ht="12.75" hidden="1">
      <c r="A395" s="106" t="s">
        <v>551</v>
      </c>
      <c r="B395" s="106" t="s">
        <v>528</v>
      </c>
      <c r="C395" s="106" t="s">
        <v>1012</v>
      </c>
      <c r="D395" s="106"/>
      <c r="E395" s="108" t="s">
        <v>529</v>
      </c>
      <c r="F395" s="26">
        <f t="shared" si="82"/>
        <v>0</v>
      </c>
      <c r="G395" s="105">
        <f>G396</f>
        <v>0</v>
      </c>
      <c r="H395" s="105">
        <f>H396</f>
        <v>0</v>
      </c>
      <c r="I395" s="105">
        <f>I396</f>
        <v>0</v>
      </c>
      <c r="J395" s="105">
        <f>J396</f>
        <v>0</v>
      </c>
      <c r="K395" s="26">
        <f t="shared" si="83"/>
        <v>0</v>
      </c>
      <c r="L395" s="105">
        <f>L396</f>
        <v>0</v>
      </c>
      <c r="M395" s="105">
        <f>M396</f>
        <v>0</v>
      </c>
      <c r="N395" s="105">
        <f>N396</f>
        <v>0</v>
      </c>
      <c r="O395" s="105">
        <f>O396</f>
        <v>0</v>
      </c>
      <c r="P395" s="105">
        <f>P396</f>
        <v>0</v>
      </c>
      <c r="Q395" s="26">
        <f t="shared" si="84"/>
        <v>0</v>
      </c>
    </row>
    <row r="396" spans="1:17" ht="12.75" hidden="1">
      <c r="A396" s="50" t="s">
        <v>568</v>
      </c>
      <c r="B396" s="50" t="s">
        <v>528</v>
      </c>
      <c r="C396" s="50" t="s">
        <v>1013</v>
      </c>
      <c r="D396" s="50" t="s">
        <v>587</v>
      </c>
      <c r="E396" s="83" t="s">
        <v>569</v>
      </c>
      <c r="F396" s="26">
        <f t="shared" si="82"/>
        <v>0</v>
      </c>
      <c r="G396" s="27"/>
      <c r="H396" s="27"/>
      <c r="I396" s="27"/>
      <c r="J396" s="27"/>
      <c r="K396" s="26">
        <f t="shared" si="83"/>
        <v>0</v>
      </c>
      <c r="L396" s="27"/>
      <c r="M396" s="27"/>
      <c r="N396" s="27"/>
      <c r="O396" s="27"/>
      <c r="P396" s="27"/>
      <c r="Q396" s="26">
        <f t="shared" si="84"/>
        <v>0</v>
      </c>
    </row>
    <row r="397" spans="1:17" ht="25.5" hidden="1">
      <c r="A397" s="112" t="s">
        <v>868</v>
      </c>
      <c r="B397" s="112" t="s">
        <v>635</v>
      </c>
      <c r="C397" s="112" t="s">
        <v>1022</v>
      </c>
      <c r="D397" s="112"/>
      <c r="E397" s="113" t="s">
        <v>636</v>
      </c>
      <c r="F397" s="26">
        <f t="shared" si="82"/>
        <v>0</v>
      </c>
      <c r="G397" s="114">
        <f>G398</f>
        <v>0</v>
      </c>
      <c r="H397" s="114">
        <f aca="true" t="shared" si="87" ref="H397:J398">H398</f>
        <v>0</v>
      </c>
      <c r="I397" s="114">
        <f t="shared" si="87"/>
        <v>0</v>
      </c>
      <c r="J397" s="114">
        <f t="shared" si="87"/>
        <v>0</v>
      </c>
      <c r="K397" s="26">
        <f t="shared" si="83"/>
        <v>0</v>
      </c>
      <c r="L397" s="114">
        <f aca="true" t="shared" si="88" ref="L397:P398">L398</f>
        <v>0</v>
      </c>
      <c r="M397" s="114">
        <f t="shared" si="88"/>
        <v>0</v>
      </c>
      <c r="N397" s="114">
        <f t="shared" si="88"/>
        <v>0</v>
      </c>
      <c r="O397" s="114">
        <f t="shared" si="88"/>
        <v>0</v>
      </c>
      <c r="P397" s="114">
        <f t="shared" si="88"/>
        <v>0</v>
      </c>
      <c r="Q397" s="26">
        <f t="shared" si="84"/>
        <v>0</v>
      </c>
    </row>
    <row r="398" spans="1:17" ht="12.75" hidden="1">
      <c r="A398" s="106" t="s">
        <v>869</v>
      </c>
      <c r="B398" s="106" t="s">
        <v>54</v>
      </c>
      <c r="C398" s="106" t="s">
        <v>1094</v>
      </c>
      <c r="D398" s="106"/>
      <c r="E398" s="129" t="s">
        <v>417</v>
      </c>
      <c r="F398" s="26">
        <f t="shared" si="82"/>
        <v>0</v>
      </c>
      <c r="G398" s="105">
        <f>G399</f>
        <v>0</v>
      </c>
      <c r="H398" s="105">
        <f t="shared" si="87"/>
        <v>0</v>
      </c>
      <c r="I398" s="105">
        <f t="shared" si="87"/>
        <v>0</v>
      </c>
      <c r="J398" s="105">
        <f t="shared" si="87"/>
        <v>0</v>
      </c>
      <c r="K398" s="26">
        <f t="shared" si="83"/>
        <v>0</v>
      </c>
      <c r="L398" s="105">
        <f t="shared" si="88"/>
        <v>0</v>
      </c>
      <c r="M398" s="105">
        <f t="shared" si="88"/>
        <v>0</v>
      </c>
      <c r="N398" s="105">
        <f t="shared" si="88"/>
        <v>0</v>
      </c>
      <c r="O398" s="105">
        <f t="shared" si="88"/>
        <v>0</v>
      </c>
      <c r="P398" s="105">
        <f t="shared" si="88"/>
        <v>0</v>
      </c>
      <c r="Q398" s="26">
        <f t="shared" si="84"/>
        <v>0</v>
      </c>
    </row>
    <row r="399" spans="1:17" ht="64.5" customHeight="1" hidden="1">
      <c r="A399" s="50" t="s">
        <v>463</v>
      </c>
      <c r="B399" s="50" t="s">
        <v>54</v>
      </c>
      <c r="C399" s="50" t="s">
        <v>986</v>
      </c>
      <c r="D399" s="50"/>
      <c r="E399" s="83" t="s">
        <v>434</v>
      </c>
      <c r="F399" s="26">
        <f t="shared" si="82"/>
        <v>0</v>
      </c>
      <c r="G399" s="27"/>
      <c r="H399" s="27"/>
      <c r="I399" s="27"/>
      <c r="J399" s="27"/>
      <c r="K399" s="26">
        <f t="shared" si="83"/>
        <v>0</v>
      </c>
      <c r="L399" s="27"/>
      <c r="M399" s="27"/>
      <c r="N399" s="27"/>
      <c r="O399" s="27"/>
      <c r="P399" s="27"/>
      <c r="Q399" s="26">
        <f t="shared" si="84"/>
        <v>0</v>
      </c>
    </row>
    <row r="400" spans="1:17" ht="12.75">
      <c r="A400" s="112" t="s">
        <v>698</v>
      </c>
      <c r="B400" s="112" t="s">
        <v>98</v>
      </c>
      <c r="C400" s="112" t="s">
        <v>1016</v>
      </c>
      <c r="D400" s="112"/>
      <c r="E400" s="122" t="s">
        <v>99</v>
      </c>
      <c r="F400" s="26">
        <f aca="true" t="shared" si="89" ref="F400:F405">G400+J400</f>
        <v>0</v>
      </c>
      <c r="G400" s="114">
        <f>G401+G402</f>
        <v>0</v>
      </c>
      <c r="H400" s="114">
        <f>H401+H402</f>
        <v>0</v>
      </c>
      <c r="I400" s="114">
        <f>I401+I402</f>
        <v>0</v>
      </c>
      <c r="J400" s="114">
        <f>J401+J402</f>
        <v>0</v>
      </c>
      <c r="K400" s="26">
        <f aca="true" t="shared" si="90" ref="K400:K405">L400+O400</f>
        <v>24164915</v>
      </c>
      <c r="L400" s="114">
        <f>L401+L402</f>
        <v>503000</v>
      </c>
      <c r="M400" s="114">
        <f>M401+M402</f>
        <v>0</v>
      </c>
      <c r="N400" s="114">
        <f>N401+N402</f>
        <v>0</v>
      </c>
      <c r="O400" s="114">
        <f>O401+O402</f>
        <v>23661915</v>
      </c>
      <c r="P400" s="114">
        <f>P401+P402</f>
        <v>0</v>
      </c>
      <c r="Q400" s="26">
        <f aca="true" t="shared" si="91" ref="Q400:Q405">F400+K400</f>
        <v>24164915</v>
      </c>
    </row>
    <row r="401" spans="1:17" ht="25.5">
      <c r="A401" s="50" t="s">
        <v>571</v>
      </c>
      <c r="B401" s="28" t="s">
        <v>86</v>
      </c>
      <c r="C401" s="50" t="s">
        <v>1017</v>
      </c>
      <c r="D401" s="50" t="s">
        <v>588</v>
      </c>
      <c r="E401" s="25" t="s">
        <v>93</v>
      </c>
      <c r="F401" s="26">
        <f t="shared" si="89"/>
        <v>0</v>
      </c>
      <c r="G401" s="27"/>
      <c r="H401" s="27"/>
      <c r="I401" s="27"/>
      <c r="J401" s="27"/>
      <c r="K401" s="26">
        <f t="shared" si="90"/>
        <v>24164915</v>
      </c>
      <c r="L401" s="27">
        <f>658000-155000</f>
        <v>503000</v>
      </c>
      <c r="M401" s="27"/>
      <c r="N401" s="27"/>
      <c r="O401" s="27">
        <f>15634589+1777326+10000000-4870000-3750000+4870000</f>
        <v>23661915</v>
      </c>
      <c r="P401" s="27"/>
      <c r="Q401" s="26">
        <f t="shared" si="91"/>
        <v>24164915</v>
      </c>
    </row>
    <row r="402" spans="1:17" ht="50.25" customHeight="1" hidden="1">
      <c r="A402" s="85" t="s">
        <v>919</v>
      </c>
      <c r="B402" s="93" t="s">
        <v>53</v>
      </c>
      <c r="C402" s="93" t="s">
        <v>993</v>
      </c>
      <c r="D402" s="93"/>
      <c r="E402" s="94" t="s">
        <v>432</v>
      </c>
      <c r="F402" s="26">
        <f t="shared" si="89"/>
        <v>0</v>
      </c>
      <c r="G402" s="27">
        <f>G403</f>
        <v>0</v>
      </c>
      <c r="H402" s="27">
        <f>H403</f>
        <v>0</v>
      </c>
      <c r="I402" s="27">
        <f>I403</f>
        <v>0</v>
      </c>
      <c r="J402" s="27">
        <f>J403</f>
        <v>0</v>
      </c>
      <c r="K402" s="26">
        <f t="shared" si="90"/>
        <v>0</v>
      </c>
      <c r="L402" s="27">
        <f>L403</f>
        <v>0</v>
      </c>
      <c r="M402" s="27">
        <f>M403</f>
        <v>0</v>
      </c>
      <c r="N402" s="27">
        <f>N403</f>
        <v>0</v>
      </c>
      <c r="O402" s="27">
        <f>O403</f>
        <v>0</v>
      </c>
      <c r="P402" s="27">
        <f>P403</f>
        <v>0</v>
      </c>
      <c r="Q402" s="26">
        <f t="shared" si="91"/>
        <v>0</v>
      </c>
    </row>
    <row r="403" spans="1:17" ht="27" customHeight="1" hidden="1">
      <c r="A403" s="7" t="s">
        <v>920</v>
      </c>
      <c r="B403" s="7" t="s">
        <v>53</v>
      </c>
      <c r="C403" s="7" t="s">
        <v>994</v>
      </c>
      <c r="D403" s="7"/>
      <c r="E403" s="48" t="s">
        <v>175</v>
      </c>
      <c r="F403" s="26">
        <f t="shared" si="89"/>
        <v>0</v>
      </c>
      <c r="G403" s="27"/>
      <c r="H403" s="27"/>
      <c r="I403" s="27"/>
      <c r="J403" s="27"/>
      <c r="K403" s="26">
        <f t="shared" si="90"/>
        <v>0</v>
      </c>
      <c r="L403" s="27"/>
      <c r="M403" s="27"/>
      <c r="N403" s="27"/>
      <c r="O403" s="27"/>
      <c r="P403" s="27"/>
      <c r="Q403" s="26">
        <f t="shared" si="91"/>
        <v>0</v>
      </c>
    </row>
    <row r="404" spans="1:17" ht="39" customHeight="1">
      <c r="A404" s="62" t="s">
        <v>271</v>
      </c>
      <c r="B404" s="62" t="s">
        <v>162</v>
      </c>
      <c r="C404" s="62" t="s">
        <v>162</v>
      </c>
      <c r="D404" s="62"/>
      <c r="E404" s="61" t="s">
        <v>132</v>
      </c>
      <c r="F404" s="39">
        <f t="shared" si="89"/>
        <v>80464337</v>
      </c>
      <c r="G404" s="39">
        <f>G405</f>
        <v>80464337</v>
      </c>
      <c r="H404" s="39">
        <f>H405</f>
        <v>1377076</v>
      </c>
      <c r="I404" s="39">
        <f>I405</f>
        <v>33563</v>
      </c>
      <c r="J404" s="39">
        <f>J405</f>
        <v>0</v>
      </c>
      <c r="K404" s="39">
        <f t="shared" si="90"/>
        <v>365126547</v>
      </c>
      <c r="L404" s="39">
        <f>L405</f>
        <v>0</v>
      </c>
      <c r="M404" s="39">
        <f>M405</f>
        <v>0</v>
      </c>
      <c r="N404" s="39">
        <f>N405</f>
        <v>0</v>
      </c>
      <c r="O404" s="39">
        <f>O405</f>
        <v>365126547</v>
      </c>
      <c r="P404" s="39">
        <f>P405</f>
        <v>365101547</v>
      </c>
      <c r="Q404" s="40">
        <f t="shared" si="91"/>
        <v>445590884</v>
      </c>
    </row>
    <row r="405" spans="1:17" ht="38.25">
      <c r="A405" s="50" t="s">
        <v>272</v>
      </c>
      <c r="B405" s="28"/>
      <c r="C405" s="28"/>
      <c r="D405" s="28"/>
      <c r="E405" s="51" t="s">
        <v>132</v>
      </c>
      <c r="F405" s="27">
        <f t="shared" si="89"/>
        <v>80464337</v>
      </c>
      <c r="G405" s="27">
        <f>G406+G408+G410+G412+G416+G418+G420</f>
        <v>80464337</v>
      </c>
      <c r="H405" s="27">
        <f>H406+H408+H410+H412+H416+H418+H420</f>
        <v>1377076</v>
      </c>
      <c r="I405" s="27">
        <f>I406+I408+I410+I412+I416+I418+I420</f>
        <v>33563</v>
      </c>
      <c r="J405" s="27">
        <f>J406+J408+J410+J412+J416+J418+J420</f>
        <v>0</v>
      </c>
      <c r="K405" s="27">
        <f t="shared" si="90"/>
        <v>365126547</v>
      </c>
      <c r="L405" s="27">
        <f>L406+L408+L410+L412+L416+L418+L420+L424</f>
        <v>0</v>
      </c>
      <c r="M405" s="27">
        <f>M406+M408+M410+M412+M416+M418+M420+M424</f>
        <v>0</v>
      </c>
      <c r="N405" s="27">
        <f>N406+N408+N410+N412+N416+N418+N420+N424</f>
        <v>0</v>
      </c>
      <c r="O405" s="27">
        <f>O406+O408+O410+O412+O416+O418+O420+O424</f>
        <v>365126547</v>
      </c>
      <c r="P405" s="27">
        <f>P406+P408+P410+P412+P416+P418+P420</f>
        <v>365101547</v>
      </c>
      <c r="Q405" s="27">
        <f t="shared" si="91"/>
        <v>445590884</v>
      </c>
    </row>
    <row r="406" spans="1:17" ht="12.75">
      <c r="A406" s="112" t="s">
        <v>699</v>
      </c>
      <c r="B406" s="112" t="s">
        <v>672</v>
      </c>
      <c r="C406" s="112" t="s">
        <v>973</v>
      </c>
      <c r="D406" s="112"/>
      <c r="E406" s="113" t="s">
        <v>674</v>
      </c>
      <c r="F406" s="27">
        <f aca="true" t="shared" si="92" ref="F406:F425">G406+J406</f>
        <v>1820084</v>
      </c>
      <c r="G406" s="114">
        <f>G407</f>
        <v>1820084</v>
      </c>
      <c r="H406" s="114">
        <f>H407</f>
        <v>1377076</v>
      </c>
      <c r="I406" s="114">
        <f>I407</f>
        <v>33563</v>
      </c>
      <c r="J406" s="114">
        <f>J407</f>
        <v>0</v>
      </c>
      <c r="K406" s="27">
        <f aca="true" t="shared" si="93" ref="K406:K425">L406+O406</f>
        <v>0</v>
      </c>
      <c r="L406" s="114">
        <f>L407</f>
        <v>0</v>
      </c>
      <c r="M406" s="114">
        <f>M407</f>
        <v>0</v>
      </c>
      <c r="N406" s="114">
        <f>N407</f>
        <v>0</v>
      </c>
      <c r="O406" s="114">
        <f>O407</f>
        <v>0</v>
      </c>
      <c r="P406" s="114">
        <f>P407</f>
        <v>0</v>
      </c>
      <c r="Q406" s="27">
        <f aca="true" t="shared" si="94" ref="Q406:Q425">F406+K406</f>
        <v>1820084</v>
      </c>
    </row>
    <row r="407" spans="1:17" ht="26.25" customHeight="1">
      <c r="A407" s="50" t="s">
        <v>15</v>
      </c>
      <c r="B407" s="28" t="s">
        <v>33</v>
      </c>
      <c r="C407" s="50" t="s">
        <v>614</v>
      </c>
      <c r="D407" s="50" t="s">
        <v>575</v>
      </c>
      <c r="E407" s="51" t="s">
        <v>1148</v>
      </c>
      <c r="F407" s="27">
        <f t="shared" si="92"/>
        <v>1820084</v>
      </c>
      <c r="G407" s="27">
        <v>1820084</v>
      </c>
      <c r="H407" s="27">
        <v>1377076</v>
      </c>
      <c r="I407" s="27">
        <v>33563</v>
      </c>
      <c r="J407" s="27"/>
      <c r="K407" s="27">
        <f t="shared" si="93"/>
        <v>0</v>
      </c>
      <c r="L407" s="27"/>
      <c r="M407" s="27"/>
      <c r="N407" s="27"/>
      <c r="O407" s="27"/>
      <c r="P407" s="27"/>
      <c r="Q407" s="27">
        <f t="shared" si="94"/>
        <v>1820084</v>
      </c>
    </row>
    <row r="408" spans="1:17" ht="13.5" customHeight="1">
      <c r="A408" s="112" t="s">
        <v>702</v>
      </c>
      <c r="B408" s="112" t="s">
        <v>629</v>
      </c>
      <c r="C408" s="112" t="s">
        <v>1021</v>
      </c>
      <c r="D408" s="112"/>
      <c r="E408" s="113" t="s">
        <v>631</v>
      </c>
      <c r="F408" s="27">
        <f t="shared" si="92"/>
        <v>0</v>
      </c>
      <c r="G408" s="114">
        <f>G409</f>
        <v>0</v>
      </c>
      <c r="H408" s="114">
        <f>H409</f>
        <v>0</v>
      </c>
      <c r="I408" s="114">
        <f>I409</f>
        <v>0</v>
      </c>
      <c r="J408" s="114">
        <f>J409</f>
        <v>0</v>
      </c>
      <c r="K408" s="27">
        <f t="shared" si="93"/>
        <v>290424708</v>
      </c>
      <c r="L408" s="114">
        <f>L409</f>
        <v>0</v>
      </c>
      <c r="M408" s="114">
        <f>M409</f>
        <v>0</v>
      </c>
      <c r="N408" s="114">
        <f>N409</f>
        <v>0</v>
      </c>
      <c r="O408" s="114">
        <f>O409</f>
        <v>290424708</v>
      </c>
      <c r="P408" s="114">
        <f>P409</f>
        <v>290424708</v>
      </c>
      <c r="Q408" s="27">
        <f t="shared" si="94"/>
        <v>290424708</v>
      </c>
    </row>
    <row r="409" spans="1:17" ht="29.25" customHeight="1">
      <c r="A409" s="50" t="s">
        <v>475</v>
      </c>
      <c r="B409" s="50">
        <v>150101</v>
      </c>
      <c r="C409" s="50" t="s">
        <v>981</v>
      </c>
      <c r="D409" s="50" t="s">
        <v>577</v>
      </c>
      <c r="E409" s="48" t="s">
        <v>174</v>
      </c>
      <c r="F409" s="27">
        <f t="shared" si="92"/>
        <v>0</v>
      </c>
      <c r="G409" s="27"/>
      <c r="H409" s="27"/>
      <c r="I409" s="27"/>
      <c r="J409" s="27"/>
      <c r="K409" s="27">
        <f t="shared" si="93"/>
        <v>290424708</v>
      </c>
      <c r="L409" s="27"/>
      <c r="M409" s="27"/>
      <c r="N409" s="27"/>
      <c r="O409" s="27">
        <f>P409</f>
        <v>290424708</v>
      </c>
      <c r="P409" s="27">
        <f>1571658+205000000+196372000-400000-20000000-45972000-27627251-20000000+874972+605329</f>
        <v>290424708</v>
      </c>
      <c r="Q409" s="27">
        <f t="shared" si="94"/>
        <v>290424708</v>
      </c>
    </row>
    <row r="410" spans="1:17" ht="38.25">
      <c r="A410" s="112" t="s">
        <v>703</v>
      </c>
      <c r="B410" s="112" t="s">
        <v>644</v>
      </c>
      <c r="C410" s="112" t="s">
        <v>1108</v>
      </c>
      <c r="D410" s="112"/>
      <c r="E410" s="115" t="s">
        <v>670</v>
      </c>
      <c r="F410" s="27">
        <f t="shared" si="92"/>
        <v>58800000</v>
      </c>
      <c r="G410" s="114">
        <f>G411</f>
        <v>58800000</v>
      </c>
      <c r="H410" s="114">
        <f>H411</f>
        <v>0</v>
      </c>
      <c r="I410" s="114">
        <f>I411</f>
        <v>0</v>
      </c>
      <c r="J410" s="114">
        <f>J411</f>
        <v>0</v>
      </c>
      <c r="K410" s="27">
        <f t="shared" si="93"/>
        <v>0</v>
      </c>
      <c r="L410" s="114">
        <f>L411</f>
        <v>0</v>
      </c>
      <c r="M410" s="114">
        <f>M411</f>
        <v>0</v>
      </c>
      <c r="N410" s="114">
        <f>N411</f>
        <v>0</v>
      </c>
      <c r="O410" s="114">
        <f>O411</f>
        <v>0</v>
      </c>
      <c r="P410" s="114">
        <f>P411</f>
        <v>0</v>
      </c>
      <c r="Q410" s="27">
        <f t="shared" si="94"/>
        <v>58800000</v>
      </c>
    </row>
    <row r="411" spans="1:17" ht="25.5">
      <c r="A411" s="50" t="s">
        <v>484</v>
      </c>
      <c r="B411" s="28" t="s">
        <v>117</v>
      </c>
      <c r="C411" s="50" t="s">
        <v>1117</v>
      </c>
      <c r="D411" s="50" t="s">
        <v>612</v>
      </c>
      <c r="E411" s="25" t="s">
        <v>121</v>
      </c>
      <c r="F411" s="27">
        <f t="shared" si="92"/>
        <v>58800000</v>
      </c>
      <c r="G411" s="27">
        <f>60000000-1200000</f>
        <v>58800000</v>
      </c>
      <c r="H411" s="27"/>
      <c r="I411" s="27"/>
      <c r="J411" s="27"/>
      <c r="K411" s="27">
        <f t="shared" si="93"/>
        <v>0</v>
      </c>
      <c r="L411" s="27"/>
      <c r="M411" s="27"/>
      <c r="N411" s="27"/>
      <c r="O411" s="27"/>
      <c r="P411" s="27"/>
      <c r="Q411" s="27">
        <f t="shared" si="94"/>
        <v>58800000</v>
      </c>
    </row>
    <row r="412" spans="1:17" ht="25.5" customHeight="1">
      <c r="A412" s="85" t="s">
        <v>274</v>
      </c>
      <c r="B412" s="85" t="s">
        <v>331</v>
      </c>
      <c r="C412" s="85" t="s">
        <v>1118</v>
      </c>
      <c r="D412" s="85" t="s">
        <v>611</v>
      </c>
      <c r="E412" s="87" t="s">
        <v>418</v>
      </c>
      <c r="F412" s="88">
        <f t="shared" si="92"/>
        <v>19844253</v>
      </c>
      <c r="G412" s="88">
        <f>G413+G414+G415</f>
        <v>19844253</v>
      </c>
      <c r="H412" s="88">
        <f>H413+H414+H415</f>
        <v>0</v>
      </c>
      <c r="I412" s="88">
        <f>I413+I414+I415</f>
        <v>0</v>
      </c>
      <c r="J412" s="88">
        <f>J413+J414+J415</f>
        <v>0</v>
      </c>
      <c r="K412" s="27">
        <f t="shared" si="93"/>
        <v>2010676</v>
      </c>
      <c r="L412" s="88">
        <f>L413+L414+L415</f>
        <v>0</v>
      </c>
      <c r="M412" s="88">
        <f>M413+M414+M415</f>
        <v>0</v>
      </c>
      <c r="N412" s="88">
        <f>N413+N414+N415</f>
        <v>0</v>
      </c>
      <c r="O412" s="88">
        <f>O413+O414+O415</f>
        <v>2010676</v>
      </c>
      <c r="P412" s="88">
        <f>P413+P414+P415</f>
        <v>2010676</v>
      </c>
      <c r="Q412" s="88">
        <f t="shared" si="94"/>
        <v>21854929</v>
      </c>
    </row>
    <row r="413" spans="1:17" s="169" customFormat="1" ht="27.75" customHeight="1" hidden="1">
      <c r="A413" s="170" t="s">
        <v>393</v>
      </c>
      <c r="B413" s="170" t="s">
        <v>331</v>
      </c>
      <c r="C413" s="170" t="s">
        <v>1119</v>
      </c>
      <c r="D413" s="170" t="s">
        <v>611</v>
      </c>
      <c r="E413" s="179" t="s">
        <v>275</v>
      </c>
      <c r="F413" s="173">
        <f t="shared" si="92"/>
        <v>0</v>
      </c>
      <c r="G413" s="173"/>
      <c r="H413" s="173"/>
      <c r="I413" s="173"/>
      <c r="J413" s="173"/>
      <c r="K413" s="173">
        <f t="shared" si="93"/>
        <v>0</v>
      </c>
      <c r="L413" s="173"/>
      <c r="M413" s="173"/>
      <c r="N413" s="173"/>
      <c r="O413" s="173"/>
      <c r="P413" s="173"/>
      <c r="Q413" s="173">
        <f t="shared" si="94"/>
        <v>0</v>
      </c>
    </row>
    <row r="414" spans="1:17" s="169" customFormat="1" ht="25.5" hidden="1">
      <c r="A414" s="170" t="s">
        <v>476</v>
      </c>
      <c r="B414" s="170" t="s">
        <v>331</v>
      </c>
      <c r="C414" s="170" t="s">
        <v>1120</v>
      </c>
      <c r="D414" s="170" t="s">
        <v>611</v>
      </c>
      <c r="E414" s="179" t="s">
        <v>477</v>
      </c>
      <c r="F414" s="173">
        <f t="shared" si="92"/>
        <v>19245753</v>
      </c>
      <c r="G414" s="173">
        <v>19245753</v>
      </c>
      <c r="H414" s="173"/>
      <c r="I414" s="173"/>
      <c r="J414" s="173"/>
      <c r="K414" s="173">
        <f t="shared" si="93"/>
        <v>2010676</v>
      </c>
      <c r="L414" s="173"/>
      <c r="M414" s="173"/>
      <c r="N414" s="173"/>
      <c r="O414" s="173">
        <f>P414</f>
        <v>2010676</v>
      </c>
      <c r="P414" s="173">
        <f>20000000-19245753+1256429</f>
        <v>2010676</v>
      </c>
      <c r="Q414" s="173">
        <f t="shared" si="94"/>
        <v>21256429</v>
      </c>
    </row>
    <row r="415" spans="1:17" s="169" customFormat="1" ht="42.75" customHeight="1" hidden="1">
      <c r="A415" s="170" t="s">
        <v>852</v>
      </c>
      <c r="B415" s="170" t="s">
        <v>331</v>
      </c>
      <c r="C415" s="170" t="s">
        <v>1121</v>
      </c>
      <c r="D415" s="170" t="s">
        <v>611</v>
      </c>
      <c r="E415" s="179" t="s">
        <v>853</v>
      </c>
      <c r="F415" s="173">
        <f t="shared" si="92"/>
        <v>598500</v>
      </c>
      <c r="G415" s="173">
        <f>1200000-601500</f>
        <v>598500</v>
      </c>
      <c r="H415" s="173"/>
      <c r="I415" s="173"/>
      <c r="J415" s="173"/>
      <c r="K415" s="173">
        <f t="shared" si="93"/>
        <v>0</v>
      </c>
      <c r="L415" s="173"/>
      <c r="M415" s="173"/>
      <c r="N415" s="173"/>
      <c r="O415" s="173"/>
      <c r="P415" s="173"/>
      <c r="Q415" s="173">
        <f t="shared" si="94"/>
        <v>598500</v>
      </c>
    </row>
    <row r="416" spans="1:17" ht="27.75" customHeight="1" hidden="1">
      <c r="A416" s="93" t="s">
        <v>507</v>
      </c>
      <c r="B416" s="93" t="s">
        <v>501</v>
      </c>
      <c r="C416" s="93" t="s">
        <v>1122</v>
      </c>
      <c r="D416" s="93" t="s">
        <v>1192</v>
      </c>
      <c r="E416" s="100" t="s">
        <v>508</v>
      </c>
      <c r="F416" s="27">
        <f t="shared" si="92"/>
        <v>0</v>
      </c>
      <c r="G416" s="88">
        <f>G417</f>
        <v>0</v>
      </c>
      <c r="H416" s="88">
        <f>H417</f>
        <v>0</v>
      </c>
      <c r="I416" s="88">
        <f>I417</f>
        <v>0</v>
      </c>
      <c r="J416" s="88">
        <f>J417</f>
        <v>0</v>
      </c>
      <c r="K416" s="27">
        <f t="shared" si="93"/>
        <v>0</v>
      </c>
      <c r="L416" s="88">
        <f>L417</f>
        <v>0</v>
      </c>
      <c r="M416" s="88">
        <f>M417</f>
        <v>0</v>
      </c>
      <c r="N416" s="88">
        <f>N417</f>
        <v>0</v>
      </c>
      <c r="O416" s="88">
        <f>O417</f>
        <v>0</v>
      </c>
      <c r="P416" s="88">
        <f>P417</f>
        <v>0</v>
      </c>
      <c r="Q416" s="27">
        <f t="shared" si="94"/>
        <v>0</v>
      </c>
    </row>
    <row r="417" spans="1:17" s="169" customFormat="1" ht="25.5" customHeight="1" hidden="1">
      <c r="A417" s="170" t="s">
        <v>509</v>
      </c>
      <c r="B417" s="170" t="s">
        <v>501</v>
      </c>
      <c r="C417" s="170" t="s">
        <v>1123</v>
      </c>
      <c r="D417" s="170"/>
      <c r="E417" s="178" t="s">
        <v>510</v>
      </c>
      <c r="F417" s="173">
        <f t="shared" si="92"/>
        <v>0</v>
      </c>
      <c r="G417" s="176"/>
      <c r="H417" s="176"/>
      <c r="I417" s="176"/>
      <c r="J417" s="176"/>
      <c r="K417" s="173">
        <f t="shared" si="93"/>
        <v>0</v>
      </c>
      <c r="L417" s="176"/>
      <c r="M417" s="176"/>
      <c r="N417" s="176"/>
      <c r="O417" s="176"/>
      <c r="P417" s="176"/>
      <c r="Q417" s="173">
        <f t="shared" si="94"/>
        <v>0</v>
      </c>
    </row>
    <row r="418" spans="1:17" ht="25.5">
      <c r="A418" s="112" t="s">
        <v>704</v>
      </c>
      <c r="B418" s="111" t="s">
        <v>618</v>
      </c>
      <c r="C418" s="111" t="s">
        <v>1092</v>
      </c>
      <c r="D418" s="111"/>
      <c r="E418" s="122" t="s">
        <v>620</v>
      </c>
      <c r="F418" s="27">
        <f t="shared" si="92"/>
        <v>0</v>
      </c>
      <c r="G418" s="114">
        <f>G419</f>
        <v>0</v>
      </c>
      <c r="H418" s="114">
        <f>H419</f>
        <v>0</v>
      </c>
      <c r="I418" s="114">
        <f>I419</f>
        <v>0</v>
      </c>
      <c r="J418" s="114">
        <f>J419</f>
        <v>0</v>
      </c>
      <c r="K418" s="114">
        <f t="shared" si="93"/>
        <v>72666163</v>
      </c>
      <c r="L418" s="114">
        <f>L419</f>
        <v>0</v>
      </c>
      <c r="M418" s="114">
        <f>M419</f>
        <v>0</v>
      </c>
      <c r="N418" s="114">
        <f>N419</f>
        <v>0</v>
      </c>
      <c r="O418" s="114">
        <f>O419</f>
        <v>72666163</v>
      </c>
      <c r="P418" s="114">
        <f>P419</f>
        <v>72666163</v>
      </c>
      <c r="Q418" s="114">
        <f t="shared" si="94"/>
        <v>72666163</v>
      </c>
    </row>
    <row r="419" spans="1:17" ht="25.5">
      <c r="A419" s="50" t="s">
        <v>552</v>
      </c>
      <c r="B419" s="28" t="s">
        <v>95</v>
      </c>
      <c r="C419" s="50" t="s">
        <v>983</v>
      </c>
      <c r="D419" s="50" t="s">
        <v>577</v>
      </c>
      <c r="E419" s="48" t="s">
        <v>259</v>
      </c>
      <c r="F419" s="27">
        <f t="shared" si="92"/>
        <v>0</v>
      </c>
      <c r="G419" s="27"/>
      <c r="H419" s="27"/>
      <c r="I419" s="27"/>
      <c r="J419" s="27"/>
      <c r="K419" s="27">
        <f t="shared" si="93"/>
        <v>72666163</v>
      </c>
      <c r="L419" s="27"/>
      <c r="M419" s="27"/>
      <c r="N419" s="27"/>
      <c r="O419" s="27">
        <f>P419</f>
        <v>72666163</v>
      </c>
      <c r="P419" s="27">
        <f>73323350+508360-1165547</f>
        <v>72666163</v>
      </c>
      <c r="Q419" s="27">
        <f t="shared" si="94"/>
        <v>72666163</v>
      </c>
    </row>
    <row r="420" spans="1:17" ht="25.5" hidden="1">
      <c r="A420" s="112" t="s">
        <v>868</v>
      </c>
      <c r="B420" s="112" t="s">
        <v>635</v>
      </c>
      <c r="C420" s="112" t="s">
        <v>1022</v>
      </c>
      <c r="D420" s="112"/>
      <c r="E420" s="113" t="s">
        <v>636</v>
      </c>
      <c r="F420" s="27">
        <f t="shared" si="92"/>
        <v>0</v>
      </c>
      <c r="G420" s="114">
        <f>G421</f>
        <v>0</v>
      </c>
      <c r="H420" s="114">
        <f>H421</f>
        <v>0</v>
      </c>
      <c r="I420" s="114">
        <f>I421</f>
        <v>0</v>
      </c>
      <c r="J420" s="114">
        <f>J421</f>
        <v>0</v>
      </c>
      <c r="K420" s="27">
        <f t="shared" si="93"/>
        <v>0</v>
      </c>
      <c r="L420" s="114">
        <f>L421</f>
        <v>0</v>
      </c>
      <c r="M420" s="114">
        <f>M421</f>
        <v>0</v>
      </c>
      <c r="N420" s="114">
        <f>N421</f>
        <v>0</v>
      </c>
      <c r="O420" s="114">
        <f>O421</f>
        <v>0</v>
      </c>
      <c r="P420" s="114">
        <f>P421</f>
        <v>0</v>
      </c>
      <c r="Q420" s="27">
        <f t="shared" si="94"/>
        <v>0</v>
      </c>
    </row>
    <row r="421" spans="1:17" ht="12.75" hidden="1">
      <c r="A421" s="89" t="s">
        <v>443</v>
      </c>
      <c r="B421" s="89" t="s">
        <v>54</v>
      </c>
      <c r="C421" s="89" t="s">
        <v>1094</v>
      </c>
      <c r="D421" s="89"/>
      <c r="E421" s="99" t="s">
        <v>417</v>
      </c>
      <c r="F421" s="27">
        <f t="shared" si="92"/>
        <v>0</v>
      </c>
      <c r="G421" s="27">
        <f>G422+G423</f>
        <v>0</v>
      </c>
      <c r="H421" s="27">
        <f>H422+H423</f>
        <v>0</v>
      </c>
      <c r="I421" s="27">
        <f>I422+I423</f>
        <v>0</v>
      </c>
      <c r="J421" s="27">
        <f>J422+J423</f>
        <v>0</v>
      </c>
      <c r="K421" s="27">
        <f t="shared" si="93"/>
        <v>0</v>
      </c>
      <c r="L421" s="27">
        <f>L422+L423</f>
        <v>0</v>
      </c>
      <c r="M421" s="27">
        <f>M422+M423</f>
        <v>0</v>
      </c>
      <c r="N421" s="27">
        <f>N422+N423</f>
        <v>0</v>
      </c>
      <c r="O421" s="27">
        <f>O422+O423</f>
        <v>0</v>
      </c>
      <c r="P421" s="27">
        <f>P422+P423</f>
        <v>0</v>
      </c>
      <c r="Q421" s="27">
        <f t="shared" si="94"/>
        <v>0</v>
      </c>
    </row>
    <row r="422" spans="1:17" ht="63.75" hidden="1">
      <c r="A422" s="7" t="s">
        <v>442</v>
      </c>
      <c r="B422" s="7" t="s">
        <v>54</v>
      </c>
      <c r="C422" s="7" t="s">
        <v>986</v>
      </c>
      <c r="D422" s="7"/>
      <c r="E422" s="83" t="s">
        <v>434</v>
      </c>
      <c r="F422" s="27">
        <f t="shared" si="92"/>
        <v>0</v>
      </c>
      <c r="G422" s="27"/>
      <c r="H422" s="27"/>
      <c r="I422" s="27"/>
      <c r="J422" s="27"/>
      <c r="K422" s="27">
        <f t="shared" si="93"/>
        <v>0</v>
      </c>
      <c r="L422" s="27"/>
      <c r="M422" s="27"/>
      <c r="N422" s="27"/>
      <c r="O422" s="27"/>
      <c r="P422" s="27"/>
      <c r="Q422" s="27">
        <f t="shared" si="94"/>
        <v>0</v>
      </c>
    </row>
    <row r="423" spans="1:17" ht="51" hidden="1">
      <c r="A423" s="7" t="s">
        <v>494</v>
      </c>
      <c r="B423" s="7" t="s">
        <v>54</v>
      </c>
      <c r="C423" s="7" t="s">
        <v>990</v>
      </c>
      <c r="D423" s="7"/>
      <c r="E423" s="48" t="s">
        <v>321</v>
      </c>
      <c r="F423" s="27">
        <f t="shared" si="92"/>
        <v>0</v>
      </c>
      <c r="G423" s="27"/>
      <c r="H423" s="27"/>
      <c r="I423" s="27"/>
      <c r="J423" s="27"/>
      <c r="K423" s="27">
        <f t="shared" si="93"/>
        <v>0</v>
      </c>
      <c r="L423" s="27"/>
      <c r="M423" s="27"/>
      <c r="N423" s="27"/>
      <c r="O423" s="27"/>
      <c r="P423" s="27"/>
      <c r="Q423" s="27">
        <f t="shared" si="94"/>
        <v>0</v>
      </c>
    </row>
    <row r="424" spans="1:17" ht="12.75">
      <c r="A424" s="112" t="s">
        <v>1203</v>
      </c>
      <c r="B424" s="112" t="s">
        <v>98</v>
      </c>
      <c r="C424" s="112" t="s">
        <v>1016</v>
      </c>
      <c r="D424" s="112"/>
      <c r="E424" s="122" t="s">
        <v>99</v>
      </c>
      <c r="F424" s="26"/>
      <c r="G424" s="114"/>
      <c r="H424" s="114"/>
      <c r="I424" s="114"/>
      <c r="J424" s="114">
        <f>J425+J426</f>
        <v>0</v>
      </c>
      <c r="K424" s="26">
        <f t="shared" si="93"/>
        <v>25000</v>
      </c>
      <c r="L424" s="114"/>
      <c r="M424" s="114"/>
      <c r="N424" s="114"/>
      <c r="O424" s="114">
        <f>O425</f>
        <v>25000</v>
      </c>
      <c r="P424" s="114">
        <f>P425+P426</f>
        <v>0</v>
      </c>
      <c r="Q424" s="26">
        <f t="shared" si="94"/>
        <v>25000</v>
      </c>
    </row>
    <row r="425" spans="1:17" ht="25.5">
      <c r="A425" s="50" t="s">
        <v>1204</v>
      </c>
      <c r="B425" s="28" t="s">
        <v>86</v>
      </c>
      <c r="C425" s="50" t="s">
        <v>1017</v>
      </c>
      <c r="D425" s="50" t="s">
        <v>588</v>
      </c>
      <c r="E425" s="25" t="s">
        <v>93</v>
      </c>
      <c r="F425" s="26">
        <f t="shared" si="92"/>
        <v>0</v>
      </c>
      <c r="G425" s="27"/>
      <c r="H425" s="27"/>
      <c r="I425" s="27"/>
      <c r="J425" s="27"/>
      <c r="K425" s="26">
        <f t="shared" si="93"/>
        <v>25000</v>
      </c>
      <c r="L425" s="27"/>
      <c r="M425" s="27"/>
      <c r="N425" s="27"/>
      <c r="O425" s="27">
        <v>25000</v>
      </c>
      <c r="P425" s="27"/>
      <c r="Q425" s="26">
        <f t="shared" si="94"/>
        <v>25000</v>
      </c>
    </row>
    <row r="426" spans="1:17" ht="51">
      <c r="A426" s="62" t="s">
        <v>276</v>
      </c>
      <c r="B426" s="62" t="s">
        <v>157</v>
      </c>
      <c r="C426" s="62" t="s">
        <v>157</v>
      </c>
      <c r="D426" s="62"/>
      <c r="E426" s="61" t="s">
        <v>131</v>
      </c>
      <c r="F426" s="39">
        <f>G426+J426</f>
        <v>12855024</v>
      </c>
      <c r="G426" s="39">
        <f>G427</f>
        <v>12855024</v>
      </c>
      <c r="H426" s="39">
        <f>H427</f>
        <v>9245522</v>
      </c>
      <c r="I426" s="39">
        <f>I427</f>
        <v>205439</v>
      </c>
      <c r="J426" s="39">
        <f>J427</f>
        <v>0</v>
      </c>
      <c r="K426" s="39">
        <f aca="true" t="shared" si="95" ref="K426:K432">L426+O426</f>
        <v>214188</v>
      </c>
      <c r="L426" s="39">
        <f>L427</f>
        <v>177355</v>
      </c>
      <c r="M426" s="39">
        <f>M427</f>
        <v>65526</v>
      </c>
      <c r="N426" s="39">
        <f>N427</f>
        <v>59</v>
      </c>
      <c r="O426" s="39">
        <f>O427</f>
        <v>36833</v>
      </c>
      <c r="P426" s="39">
        <f>P427</f>
        <v>0</v>
      </c>
      <c r="Q426" s="40">
        <f>F426+K426</f>
        <v>13069212</v>
      </c>
    </row>
    <row r="427" spans="1:17" ht="51">
      <c r="A427" s="59" t="s">
        <v>277</v>
      </c>
      <c r="B427" s="31"/>
      <c r="C427" s="31"/>
      <c r="D427" s="31"/>
      <c r="E427" s="49" t="s">
        <v>131</v>
      </c>
      <c r="F427" s="26">
        <f>G427+J427</f>
        <v>12855024</v>
      </c>
      <c r="G427" s="26">
        <f>G428+G430</f>
        <v>12855024</v>
      </c>
      <c r="H427" s="26">
        <f>H428+H430</f>
        <v>9245522</v>
      </c>
      <c r="I427" s="26">
        <f>I428+I430</f>
        <v>205439</v>
      </c>
      <c r="J427" s="26">
        <f>J428+J430</f>
        <v>0</v>
      </c>
      <c r="K427" s="26">
        <f t="shared" si="95"/>
        <v>214188</v>
      </c>
      <c r="L427" s="26">
        <f>L428+L430</f>
        <v>177355</v>
      </c>
      <c r="M427" s="26">
        <f>M428+M430</f>
        <v>65526</v>
      </c>
      <c r="N427" s="26">
        <f>N428+N430</f>
        <v>59</v>
      </c>
      <c r="O427" s="26">
        <f>O428+O430</f>
        <v>36833</v>
      </c>
      <c r="P427" s="26">
        <f>P428+P430</f>
        <v>0</v>
      </c>
      <c r="Q427" s="26">
        <f>F427+K427</f>
        <v>13069212</v>
      </c>
    </row>
    <row r="428" spans="1:17" ht="12.75">
      <c r="A428" s="112" t="s">
        <v>705</v>
      </c>
      <c r="B428" s="111" t="s">
        <v>672</v>
      </c>
      <c r="C428" s="111" t="s">
        <v>973</v>
      </c>
      <c r="D428" s="111"/>
      <c r="E428" s="127" t="s">
        <v>674</v>
      </c>
      <c r="F428" s="123">
        <f aca="true" t="shared" si="96" ref="F428:F433">G428+J428</f>
        <v>3204268</v>
      </c>
      <c r="G428" s="123">
        <f>G429</f>
        <v>3204268</v>
      </c>
      <c r="H428" s="123">
        <f>H429</f>
        <v>2444781</v>
      </c>
      <c r="I428" s="123">
        <f>I429</f>
        <v>96141</v>
      </c>
      <c r="J428" s="123">
        <f>J429</f>
        <v>0</v>
      </c>
      <c r="K428" s="26">
        <f t="shared" si="95"/>
        <v>0</v>
      </c>
      <c r="L428" s="123">
        <f>L429</f>
        <v>0</v>
      </c>
      <c r="M428" s="123">
        <f>M429</f>
        <v>0</v>
      </c>
      <c r="N428" s="123">
        <f>N429</f>
        <v>0</v>
      </c>
      <c r="O428" s="123">
        <f>O429</f>
        <v>0</v>
      </c>
      <c r="P428" s="123">
        <f>P429</f>
        <v>0</v>
      </c>
      <c r="Q428" s="123">
        <f aca="true" t="shared" si="97" ref="Q428:Q433">F428+K428</f>
        <v>3204268</v>
      </c>
    </row>
    <row r="429" spans="1:17" ht="51">
      <c r="A429" s="50" t="s">
        <v>16</v>
      </c>
      <c r="B429" s="28" t="s">
        <v>33</v>
      </c>
      <c r="C429" s="50" t="s">
        <v>614</v>
      </c>
      <c r="D429" s="50" t="s">
        <v>575</v>
      </c>
      <c r="E429" s="51" t="s">
        <v>1149</v>
      </c>
      <c r="F429" s="26">
        <f t="shared" si="96"/>
        <v>3204268</v>
      </c>
      <c r="G429" s="27">
        <v>3204268</v>
      </c>
      <c r="H429" s="27">
        <v>2444781</v>
      </c>
      <c r="I429" s="27">
        <v>96141</v>
      </c>
      <c r="J429" s="27"/>
      <c r="K429" s="26">
        <f t="shared" si="95"/>
        <v>0</v>
      </c>
      <c r="L429" s="27"/>
      <c r="M429" s="27"/>
      <c r="N429" s="27"/>
      <c r="O429" s="27"/>
      <c r="P429" s="27"/>
      <c r="Q429" s="26">
        <f t="shared" si="97"/>
        <v>3204268</v>
      </c>
    </row>
    <row r="430" spans="1:17" ht="38.25">
      <c r="A430" s="112" t="s">
        <v>707</v>
      </c>
      <c r="B430" s="112" t="s">
        <v>706</v>
      </c>
      <c r="C430" s="112" t="s">
        <v>1124</v>
      </c>
      <c r="D430" s="112"/>
      <c r="E430" s="113" t="s">
        <v>708</v>
      </c>
      <c r="F430" s="26">
        <f t="shared" si="96"/>
        <v>9650756</v>
      </c>
      <c r="G430" s="114">
        <f>G431+G432+G433</f>
        <v>9650756</v>
      </c>
      <c r="H430" s="114">
        <f>H431+H432+H433</f>
        <v>6800741</v>
      </c>
      <c r="I430" s="114">
        <f>I431+I432+I433</f>
        <v>109298</v>
      </c>
      <c r="J430" s="114">
        <f>J431+J432+J433</f>
        <v>0</v>
      </c>
      <c r="K430" s="26">
        <f t="shared" si="95"/>
        <v>214188</v>
      </c>
      <c r="L430" s="114">
        <f>L431+L432+L433</f>
        <v>177355</v>
      </c>
      <c r="M430" s="114">
        <f>M431+M432+M433</f>
        <v>65526</v>
      </c>
      <c r="N430" s="114">
        <f>N431+N432+N433</f>
        <v>59</v>
      </c>
      <c r="O430" s="114">
        <f>O431+O432+O433</f>
        <v>36833</v>
      </c>
      <c r="P430" s="114">
        <f>P431+P432+P433</f>
        <v>0</v>
      </c>
      <c r="Q430" s="26">
        <f t="shared" si="97"/>
        <v>9864944</v>
      </c>
    </row>
    <row r="431" spans="1:17" s="41" customFormat="1" ht="38.25">
      <c r="A431" s="50" t="s">
        <v>394</v>
      </c>
      <c r="B431" s="28" t="s">
        <v>52</v>
      </c>
      <c r="C431" s="50" t="s">
        <v>1125</v>
      </c>
      <c r="D431" s="50" t="s">
        <v>613</v>
      </c>
      <c r="E431" s="48" t="s">
        <v>28</v>
      </c>
      <c r="F431" s="26">
        <f t="shared" si="96"/>
        <v>4662123</v>
      </c>
      <c r="G431" s="27">
        <f>1219293+3421085+21745</f>
        <v>4662123</v>
      </c>
      <c r="H431" s="27">
        <v>3421085</v>
      </c>
      <c r="I431" s="27">
        <v>21745</v>
      </c>
      <c r="J431" s="27"/>
      <c r="K431" s="26">
        <f t="shared" si="95"/>
        <v>93043</v>
      </c>
      <c r="L431" s="27">
        <f>49490+43553</f>
        <v>93043</v>
      </c>
      <c r="M431" s="27">
        <v>43553</v>
      </c>
      <c r="N431" s="27"/>
      <c r="O431" s="27"/>
      <c r="P431" s="27"/>
      <c r="Q431" s="26">
        <f t="shared" si="97"/>
        <v>4755166</v>
      </c>
    </row>
    <row r="432" spans="1:17" s="41" customFormat="1" ht="40.5" customHeight="1" hidden="1">
      <c r="A432" s="50" t="s">
        <v>921</v>
      </c>
      <c r="B432" s="50" t="s">
        <v>924</v>
      </c>
      <c r="C432" s="50" t="s">
        <v>1126</v>
      </c>
      <c r="D432" s="50" t="s">
        <v>922</v>
      </c>
      <c r="E432" s="48" t="s">
        <v>923</v>
      </c>
      <c r="F432" s="26"/>
      <c r="G432" s="27"/>
      <c r="H432" s="27"/>
      <c r="I432" s="27"/>
      <c r="J432" s="27"/>
      <c r="K432" s="26">
        <f t="shared" si="95"/>
        <v>0</v>
      </c>
      <c r="L432" s="27"/>
      <c r="M432" s="27"/>
      <c r="N432" s="27"/>
      <c r="O432" s="27"/>
      <c r="P432" s="27"/>
      <c r="Q432" s="26"/>
    </row>
    <row r="433" spans="1:17" ht="12.75">
      <c r="A433" s="50" t="s">
        <v>17</v>
      </c>
      <c r="B433" s="28">
        <v>210110</v>
      </c>
      <c r="C433" s="50" t="s">
        <v>1127</v>
      </c>
      <c r="D433" s="50" t="s">
        <v>613</v>
      </c>
      <c r="E433" s="48" t="s">
        <v>278</v>
      </c>
      <c r="F433" s="26">
        <f t="shared" si="96"/>
        <v>4988633</v>
      </c>
      <c r="G433" s="27">
        <f>1521424+3379656+87553</f>
        <v>4988633</v>
      </c>
      <c r="H433" s="27">
        <v>3379656</v>
      </c>
      <c r="I433" s="27">
        <v>87553</v>
      </c>
      <c r="J433" s="27"/>
      <c r="K433" s="26">
        <f>L433+O433</f>
        <v>121145</v>
      </c>
      <c r="L433" s="27">
        <f>62280+21973+59</f>
        <v>84312</v>
      </c>
      <c r="M433" s="27">
        <v>21973</v>
      </c>
      <c r="N433" s="27">
        <v>59</v>
      </c>
      <c r="O433" s="27">
        <f>P433+36833</f>
        <v>36833</v>
      </c>
      <c r="P433" s="27"/>
      <c r="Q433" s="26">
        <f t="shared" si="97"/>
        <v>5109778</v>
      </c>
    </row>
    <row r="434" spans="1:17" ht="25.5">
      <c r="A434" s="62" t="s">
        <v>279</v>
      </c>
      <c r="B434" s="62" t="s">
        <v>168</v>
      </c>
      <c r="C434" s="62" t="s">
        <v>168</v>
      </c>
      <c r="D434" s="62"/>
      <c r="E434" s="61" t="s">
        <v>143</v>
      </c>
      <c r="F434" s="39">
        <f>G434+J434</f>
        <v>9363676</v>
      </c>
      <c r="G434" s="39">
        <f>G435</f>
        <v>9363676</v>
      </c>
      <c r="H434" s="39">
        <f>H435</f>
        <v>3212703</v>
      </c>
      <c r="I434" s="39">
        <f>I435</f>
        <v>117496</v>
      </c>
      <c r="J434" s="39">
        <f>J435</f>
        <v>0</v>
      </c>
      <c r="K434" s="39">
        <f>L434+O434</f>
        <v>30000</v>
      </c>
      <c r="L434" s="39">
        <f>L435</f>
        <v>0</v>
      </c>
      <c r="M434" s="39">
        <f>M435</f>
        <v>0</v>
      </c>
      <c r="N434" s="39">
        <f>N435</f>
        <v>0</v>
      </c>
      <c r="O434" s="39">
        <f>O435</f>
        <v>30000</v>
      </c>
      <c r="P434" s="39">
        <f>P435</f>
        <v>0</v>
      </c>
      <c r="Q434" s="40">
        <f>F434+K434</f>
        <v>9393676</v>
      </c>
    </row>
    <row r="435" spans="1:17" ht="25.5">
      <c r="A435" s="59" t="s">
        <v>280</v>
      </c>
      <c r="B435" s="31"/>
      <c r="C435" s="31"/>
      <c r="D435" s="31"/>
      <c r="E435" s="49" t="s">
        <v>143</v>
      </c>
      <c r="F435" s="26">
        <f>G435+J435</f>
        <v>9363676</v>
      </c>
      <c r="G435" s="26">
        <f>G436+G438+G440+G441+G445+G448+G443</f>
        <v>9363676</v>
      </c>
      <c r="H435" s="26">
        <f>H436+H438+H440+H441+H445+H448+H443</f>
        <v>3212703</v>
      </c>
      <c r="I435" s="26">
        <f>I436+I438+I440+I441+I445+I448+I443</f>
        <v>117496</v>
      </c>
      <c r="J435" s="26">
        <f>J436+J438+J440+J441+J445+J448+J443</f>
        <v>0</v>
      </c>
      <c r="K435" s="26">
        <f>L435+O435</f>
        <v>30000</v>
      </c>
      <c r="L435" s="26">
        <f>L436+L438+L440+L441+L445+L448+L443</f>
        <v>0</v>
      </c>
      <c r="M435" s="26">
        <f>M436+M438+M440+M441+M445+M448+M443</f>
        <v>0</v>
      </c>
      <c r="N435" s="26">
        <f>N436+N438+N440+N441+N445+N448+N443</f>
        <v>0</v>
      </c>
      <c r="O435" s="26">
        <f>O436+O438+O440+O441+O445+O448+O443</f>
        <v>30000</v>
      </c>
      <c r="P435" s="26">
        <f>P436+P438+P440+P441+P445+P448+P443</f>
        <v>0</v>
      </c>
      <c r="Q435" s="26">
        <f>F435+K435</f>
        <v>9393676</v>
      </c>
    </row>
    <row r="436" spans="1:17" ht="12.75">
      <c r="A436" s="112" t="s">
        <v>709</v>
      </c>
      <c r="B436" s="111" t="s">
        <v>672</v>
      </c>
      <c r="C436" s="111" t="s">
        <v>973</v>
      </c>
      <c r="D436" s="111"/>
      <c r="E436" s="127" t="s">
        <v>674</v>
      </c>
      <c r="F436" s="26">
        <f aca="true" t="shared" si="98" ref="F436:F450">G436+J436</f>
        <v>4276145</v>
      </c>
      <c r="G436" s="123">
        <f>G437</f>
        <v>4276145</v>
      </c>
      <c r="H436" s="123">
        <f>H437</f>
        <v>3212703</v>
      </c>
      <c r="I436" s="123">
        <f>I437</f>
        <v>117496</v>
      </c>
      <c r="J436" s="123">
        <f>J437</f>
        <v>0</v>
      </c>
      <c r="K436" s="26">
        <f aca="true" t="shared" si="99" ref="K436:K451">L436+O436</f>
        <v>0</v>
      </c>
      <c r="L436" s="123">
        <f>L437</f>
        <v>0</v>
      </c>
      <c r="M436" s="123">
        <f>M437</f>
        <v>0</v>
      </c>
      <c r="N436" s="123">
        <f>N437</f>
        <v>0</v>
      </c>
      <c r="O436" s="123">
        <f>O437</f>
        <v>0</v>
      </c>
      <c r="P436" s="123">
        <f>P437</f>
        <v>0</v>
      </c>
      <c r="Q436" s="26">
        <f aca="true" t="shared" si="100" ref="Q436:Q451">F436+K436</f>
        <v>4276145</v>
      </c>
    </row>
    <row r="437" spans="1:17" ht="27.75" customHeight="1">
      <c r="A437" s="50" t="s">
        <v>18</v>
      </c>
      <c r="B437" s="28" t="s">
        <v>33</v>
      </c>
      <c r="C437" s="50" t="s">
        <v>614</v>
      </c>
      <c r="D437" s="50" t="s">
        <v>575</v>
      </c>
      <c r="E437" s="51" t="s">
        <v>311</v>
      </c>
      <c r="F437" s="26">
        <f>G437+J437</f>
        <v>4276145</v>
      </c>
      <c r="G437" s="27">
        <f>4441248-165103</f>
        <v>4276145</v>
      </c>
      <c r="H437" s="27">
        <v>3212703</v>
      </c>
      <c r="I437" s="27">
        <v>117496</v>
      </c>
      <c r="J437" s="27"/>
      <c r="K437" s="26">
        <f t="shared" si="99"/>
        <v>0</v>
      </c>
      <c r="L437" s="27"/>
      <c r="M437" s="27"/>
      <c r="N437" s="27"/>
      <c r="O437" s="27"/>
      <c r="P437" s="27"/>
      <c r="Q437" s="26">
        <f t="shared" si="100"/>
        <v>4276145</v>
      </c>
    </row>
    <row r="438" spans="1:17" ht="12.75" hidden="1">
      <c r="A438" s="112" t="s">
        <v>710</v>
      </c>
      <c r="B438" s="112" t="s">
        <v>629</v>
      </c>
      <c r="C438" s="112" t="s">
        <v>1021</v>
      </c>
      <c r="D438" s="112"/>
      <c r="E438" s="113" t="s">
        <v>631</v>
      </c>
      <c r="F438" s="26">
        <f t="shared" si="98"/>
        <v>0</v>
      </c>
      <c r="G438" s="114">
        <f>G439</f>
        <v>0</v>
      </c>
      <c r="H438" s="114">
        <f>H439</f>
        <v>0</v>
      </c>
      <c r="I438" s="114">
        <f>I439</f>
        <v>0</v>
      </c>
      <c r="J438" s="114">
        <f>J439</f>
        <v>0</v>
      </c>
      <c r="K438" s="26">
        <f t="shared" si="99"/>
        <v>0</v>
      </c>
      <c r="L438" s="114">
        <f>L439</f>
        <v>0</v>
      </c>
      <c r="M438" s="114">
        <f>M439</f>
        <v>0</v>
      </c>
      <c r="N438" s="114">
        <f>N439</f>
        <v>0</v>
      </c>
      <c r="O438" s="114">
        <f>O439</f>
        <v>0</v>
      </c>
      <c r="P438" s="114">
        <f>P439</f>
        <v>0</v>
      </c>
      <c r="Q438" s="26">
        <f t="shared" si="100"/>
        <v>0</v>
      </c>
    </row>
    <row r="439" spans="1:17" ht="25.5" hidden="1">
      <c r="A439" s="50" t="s">
        <v>281</v>
      </c>
      <c r="B439" s="28" t="s">
        <v>87</v>
      </c>
      <c r="C439" s="50" t="s">
        <v>981</v>
      </c>
      <c r="D439" s="50" t="s">
        <v>577</v>
      </c>
      <c r="E439" s="48" t="s">
        <v>174</v>
      </c>
      <c r="F439" s="26">
        <f t="shared" si="98"/>
        <v>0</v>
      </c>
      <c r="G439" s="27"/>
      <c r="H439" s="27"/>
      <c r="I439" s="27"/>
      <c r="J439" s="27"/>
      <c r="K439" s="26">
        <f t="shared" si="99"/>
        <v>0</v>
      </c>
      <c r="L439" s="27"/>
      <c r="M439" s="27"/>
      <c r="N439" s="27"/>
      <c r="O439" s="27"/>
      <c r="P439" s="27"/>
      <c r="Q439" s="26">
        <f t="shared" si="100"/>
        <v>0</v>
      </c>
    </row>
    <row r="440" spans="1:17" ht="63.75" hidden="1">
      <c r="A440" s="50" t="s">
        <v>395</v>
      </c>
      <c r="B440" s="28" t="s">
        <v>94</v>
      </c>
      <c r="C440" s="50" t="s">
        <v>1104</v>
      </c>
      <c r="D440" s="50" t="s">
        <v>608</v>
      </c>
      <c r="E440" s="51" t="s">
        <v>282</v>
      </c>
      <c r="F440" s="26">
        <f t="shared" si="98"/>
        <v>0</v>
      </c>
      <c r="G440" s="27"/>
      <c r="H440" s="27"/>
      <c r="I440" s="27"/>
      <c r="J440" s="27"/>
      <c r="K440" s="26">
        <f t="shared" si="99"/>
        <v>0</v>
      </c>
      <c r="L440" s="27"/>
      <c r="M440" s="27"/>
      <c r="N440" s="27"/>
      <c r="O440" s="27"/>
      <c r="P440" s="27"/>
      <c r="Q440" s="26">
        <f t="shared" si="100"/>
        <v>0</v>
      </c>
    </row>
    <row r="441" spans="1:17" ht="25.5" hidden="1">
      <c r="A441" s="112" t="s">
        <v>757</v>
      </c>
      <c r="B441" s="111" t="s">
        <v>618</v>
      </c>
      <c r="C441" s="111" t="s">
        <v>1092</v>
      </c>
      <c r="D441" s="111"/>
      <c r="E441" s="122" t="s">
        <v>620</v>
      </c>
      <c r="F441" s="26">
        <f t="shared" si="98"/>
        <v>0</v>
      </c>
      <c r="G441" s="27">
        <f>G442</f>
        <v>0</v>
      </c>
      <c r="H441" s="27">
        <f>H442</f>
        <v>0</v>
      </c>
      <c r="I441" s="27">
        <f>I442</f>
        <v>0</v>
      </c>
      <c r="J441" s="27">
        <f>J442</f>
        <v>0</v>
      </c>
      <c r="K441" s="26">
        <f t="shared" si="99"/>
        <v>0</v>
      </c>
      <c r="L441" s="27">
        <f>L442</f>
        <v>0</v>
      </c>
      <c r="M441" s="27">
        <f>M442</f>
        <v>0</v>
      </c>
      <c r="N441" s="27">
        <f>N442</f>
        <v>0</v>
      </c>
      <c r="O441" s="27">
        <f>O442</f>
        <v>0</v>
      </c>
      <c r="P441" s="27">
        <f>P442</f>
        <v>0</v>
      </c>
      <c r="Q441" s="26">
        <f t="shared" si="100"/>
        <v>0</v>
      </c>
    </row>
    <row r="442" spans="1:17" ht="25.5" hidden="1">
      <c r="A442" s="50" t="s">
        <v>758</v>
      </c>
      <c r="B442" s="28" t="s">
        <v>95</v>
      </c>
      <c r="C442" s="50" t="s">
        <v>983</v>
      </c>
      <c r="D442" s="50" t="s">
        <v>577</v>
      </c>
      <c r="E442" s="48" t="s">
        <v>259</v>
      </c>
      <c r="F442" s="26">
        <f t="shared" si="98"/>
        <v>0</v>
      </c>
      <c r="G442" s="27"/>
      <c r="H442" s="27"/>
      <c r="I442" s="27"/>
      <c r="J442" s="27"/>
      <c r="K442" s="26">
        <f t="shared" si="99"/>
        <v>0</v>
      </c>
      <c r="L442" s="27"/>
      <c r="M442" s="27"/>
      <c r="N442" s="27"/>
      <c r="O442" s="27"/>
      <c r="P442" s="27"/>
      <c r="Q442" s="26">
        <f t="shared" si="100"/>
        <v>0</v>
      </c>
    </row>
    <row r="443" spans="1:17" s="43" customFormat="1" ht="25.5">
      <c r="A443" s="59" t="s">
        <v>1150</v>
      </c>
      <c r="B443" s="59" t="s">
        <v>502</v>
      </c>
      <c r="C443" s="59" t="s">
        <v>1091</v>
      </c>
      <c r="D443" s="59"/>
      <c r="E443" s="83" t="s">
        <v>504</v>
      </c>
      <c r="F443" s="26">
        <f aca="true" t="shared" si="101" ref="F443:P443">F444</f>
        <v>4784670</v>
      </c>
      <c r="G443" s="26">
        <f t="shared" si="101"/>
        <v>4784670</v>
      </c>
      <c r="H443" s="26">
        <f t="shared" si="101"/>
        <v>0</v>
      </c>
      <c r="I443" s="26">
        <f t="shared" si="101"/>
        <v>0</v>
      </c>
      <c r="J443" s="26">
        <f t="shared" si="101"/>
        <v>0</v>
      </c>
      <c r="K443" s="26">
        <f t="shared" si="101"/>
        <v>0</v>
      </c>
      <c r="L443" s="26">
        <f t="shared" si="101"/>
        <v>0</v>
      </c>
      <c r="M443" s="26">
        <f t="shared" si="101"/>
        <v>0</v>
      </c>
      <c r="N443" s="26">
        <f t="shared" si="101"/>
        <v>0</v>
      </c>
      <c r="O443" s="26">
        <f t="shared" si="101"/>
        <v>0</v>
      </c>
      <c r="P443" s="26">
        <f t="shared" si="101"/>
        <v>0</v>
      </c>
      <c r="Q443" s="26">
        <f t="shared" si="100"/>
        <v>4784670</v>
      </c>
    </row>
    <row r="444" spans="1:17" s="169" customFormat="1" ht="12.75" hidden="1">
      <c r="A444" s="170" t="s">
        <v>1151</v>
      </c>
      <c r="B444" s="170" t="s">
        <v>502</v>
      </c>
      <c r="C444" s="170" t="s">
        <v>1152</v>
      </c>
      <c r="D444" s="170" t="s">
        <v>586</v>
      </c>
      <c r="E444" s="178" t="s">
        <v>1153</v>
      </c>
      <c r="F444" s="173">
        <f>G444+J444</f>
        <v>4784670</v>
      </c>
      <c r="G444" s="173">
        <f>7000000-2215330</f>
        <v>4784670</v>
      </c>
      <c r="H444" s="173"/>
      <c r="I444" s="173"/>
      <c r="J444" s="173"/>
      <c r="K444" s="173">
        <f>L444+O444</f>
        <v>0</v>
      </c>
      <c r="L444" s="173"/>
      <c r="M444" s="173"/>
      <c r="N444" s="173"/>
      <c r="O444" s="173"/>
      <c r="P444" s="173"/>
      <c r="Q444" s="173">
        <f t="shared" si="100"/>
        <v>4784670</v>
      </c>
    </row>
    <row r="445" spans="1:17" ht="25.5">
      <c r="A445" s="112" t="s">
        <v>712</v>
      </c>
      <c r="B445" s="112" t="s">
        <v>635</v>
      </c>
      <c r="C445" s="112" t="s">
        <v>1022</v>
      </c>
      <c r="D445" s="112"/>
      <c r="E445" s="113" t="s">
        <v>636</v>
      </c>
      <c r="F445" s="114">
        <f t="shared" si="98"/>
        <v>302861</v>
      </c>
      <c r="G445" s="114">
        <f>G446</f>
        <v>302861</v>
      </c>
      <c r="H445" s="114">
        <f aca="true" t="shared" si="102" ref="H445:J446">H446</f>
        <v>0</v>
      </c>
      <c r="I445" s="114">
        <f t="shared" si="102"/>
        <v>0</v>
      </c>
      <c r="J445" s="114">
        <f t="shared" si="102"/>
        <v>0</v>
      </c>
      <c r="K445" s="26">
        <f t="shared" si="99"/>
        <v>0</v>
      </c>
      <c r="L445" s="114">
        <f aca="true" t="shared" si="103" ref="L445:P446">L446</f>
        <v>0</v>
      </c>
      <c r="M445" s="114">
        <f t="shared" si="103"/>
        <v>0</v>
      </c>
      <c r="N445" s="114">
        <f t="shared" si="103"/>
        <v>0</v>
      </c>
      <c r="O445" s="114">
        <f t="shared" si="103"/>
        <v>0</v>
      </c>
      <c r="P445" s="114">
        <f t="shared" si="103"/>
        <v>0</v>
      </c>
      <c r="Q445" s="114">
        <f t="shared" si="100"/>
        <v>302861</v>
      </c>
    </row>
    <row r="446" spans="1:17" ht="12.75">
      <c r="A446" s="106" t="s">
        <v>713</v>
      </c>
      <c r="B446" s="106" t="s">
        <v>54</v>
      </c>
      <c r="C446" s="106" t="s">
        <v>1094</v>
      </c>
      <c r="D446" s="106" t="s">
        <v>578</v>
      </c>
      <c r="E446" s="129" t="s">
        <v>417</v>
      </c>
      <c r="F446" s="105">
        <f t="shared" si="98"/>
        <v>302861</v>
      </c>
      <c r="G446" s="105">
        <f>G447</f>
        <v>302861</v>
      </c>
      <c r="H446" s="105">
        <f t="shared" si="102"/>
        <v>0</v>
      </c>
      <c r="I446" s="105">
        <f t="shared" si="102"/>
        <v>0</v>
      </c>
      <c r="J446" s="105">
        <f t="shared" si="102"/>
        <v>0</v>
      </c>
      <c r="K446" s="26">
        <f t="shared" si="99"/>
        <v>0</v>
      </c>
      <c r="L446" s="105">
        <f t="shared" si="103"/>
        <v>0</v>
      </c>
      <c r="M446" s="105">
        <f t="shared" si="103"/>
        <v>0</v>
      </c>
      <c r="N446" s="105">
        <f t="shared" si="103"/>
        <v>0</v>
      </c>
      <c r="O446" s="105">
        <f t="shared" si="103"/>
        <v>0</v>
      </c>
      <c r="P446" s="105">
        <f t="shared" si="103"/>
        <v>0</v>
      </c>
      <c r="Q446" s="105">
        <f t="shared" si="100"/>
        <v>302861</v>
      </c>
    </row>
    <row r="447" spans="1:17" s="169" customFormat="1" ht="38.25" hidden="1">
      <c r="A447" s="170" t="s">
        <v>450</v>
      </c>
      <c r="B447" s="171" t="s">
        <v>54</v>
      </c>
      <c r="C447" s="170" t="s">
        <v>986</v>
      </c>
      <c r="D447" s="170" t="s">
        <v>578</v>
      </c>
      <c r="E447" s="178" t="s">
        <v>854</v>
      </c>
      <c r="F447" s="173">
        <f t="shared" si="98"/>
        <v>302861</v>
      </c>
      <c r="G447" s="173">
        <v>302861</v>
      </c>
      <c r="H447" s="173"/>
      <c r="I447" s="173"/>
      <c r="J447" s="173"/>
      <c r="K447" s="173">
        <f t="shared" si="99"/>
        <v>0</v>
      </c>
      <c r="L447" s="173"/>
      <c r="M447" s="173"/>
      <c r="N447" s="173"/>
      <c r="O447" s="173"/>
      <c r="P447" s="173"/>
      <c r="Q447" s="173">
        <f t="shared" si="100"/>
        <v>302861</v>
      </c>
    </row>
    <row r="448" spans="1:17" ht="12.75">
      <c r="A448" s="112" t="s">
        <v>759</v>
      </c>
      <c r="B448" s="112" t="s">
        <v>98</v>
      </c>
      <c r="C448" s="112" t="s">
        <v>1016</v>
      </c>
      <c r="D448" s="112"/>
      <c r="E448" s="115" t="s">
        <v>99</v>
      </c>
      <c r="F448" s="26">
        <f t="shared" si="98"/>
        <v>0</v>
      </c>
      <c r="G448" s="27">
        <f>G450</f>
        <v>0</v>
      </c>
      <c r="H448" s="27">
        <f>H450</f>
        <v>0</v>
      </c>
      <c r="I448" s="27">
        <f>I450</f>
        <v>0</v>
      </c>
      <c r="J448" s="27">
        <f>J450</f>
        <v>0</v>
      </c>
      <c r="K448" s="26">
        <f t="shared" si="99"/>
        <v>30000</v>
      </c>
      <c r="L448" s="27">
        <f>L450+L449</f>
        <v>0</v>
      </c>
      <c r="M448" s="27">
        <f>M450+M449</f>
        <v>0</v>
      </c>
      <c r="N448" s="27">
        <f>N450+N449</f>
        <v>0</v>
      </c>
      <c r="O448" s="27">
        <f>O450+O449</f>
        <v>30000</v>
      </c>
      <c r="P448" s="27">
        <f>P450</f>
        <v>0</v>
      </c>
      <c r="Q448" s="26">
        <f t="shared" si="100"/>
        <v>30000</v>
      </c>
    </row>
    <row r="449" spans="1:17" ht="25.5">
      <c r="A449" s="50" t="s">
        <v>1202</v>
      </c>
      <c r="B449" s="28" t="s">
        <v>86</v>
      </c>
      <c r="C449" s="50" t="s">
        <v>1017</v>
      </c>
      <c r="D449" s="50" t="s">
        <v>588</v>
      </c>
      <c r="E449" s="25" t="s">
        <v>93</v>
      </c>
      <c r="F449" s="26">
        <f t="shared" si="98"/>
        <v>0</v>
      </c>
      <c r="G449" s="27"/>
      <c r="H449" s="27"/>
      <c r="I449" s="27"/>
      <c r="J449" s="27"/>
      <c r="K449" s="26">
        <f t="shared" si="99"/>
        <v>30000</v>
      </c>
      <c r="L449" s="27"/>
      <c r="M449" s="27"/>
      <c r="N449" s="27"/>
      <c r="O449" s="27">
        <v>30000</v>
      </c>
      <c r="P449" s="27"/>
      <c r="Q449" s="26">
        <f t="shared" si="100"/>
        <v>30000</v>
      </c>
    </row>
    <row r="450" spans="1:17" ht="49.5" customHeight="1" hidden="1">
      <c r="A450" s="85" t="s">
        <v>760</v>
      </c>
      <c r="B450" s="93" t="s">
        <v>53</v>
      </c>
      <c r="C450" s="93" t="s">
        <v>993</v>
      </c>
      <c r="D450" s="93"/>
      <c r="E450" s="94" t="s">
        <v>432</v>
      </c>
      <c r="F450" s="26">
        <f t="shared" si="98"/>
        <v>0</v>
      </c>
      <c r="G450" s="27">
        <f>G451</f>
        <v>0</v>
      </c>
      <c r="H450" s="27">
        <f>H451</f>
        <v>0</v>
      </c>
      <c r="I450" s="27">
        <f>I451</f>
        <v>0</v>
      </c>
      <c r="J450" s="27">
        <f>J451</f>
        <v>0</v>
      </c>
      <c r="K450" s="26">
        <f t="shared" si="99"/>
        <v>0</v>
      </c>
      <c r="L450" s="27">
        <f>L451</f>
        <v>0</v>
      </c>
      <c r="M450" s="27">
        <f>M451</f>
        <v>0</v>
      </c>
      <c r="N450" s="27">
        <f>N451</f>
        <v>0</v>
      </c>
      <c r="O450" s="27">
        <f>O451</f>
        <v>0</v>
      </c>
      <c r="P450" s="27">
        <f>P451</f>
        <v>0</v>
      </c>
      <c r="Q450" s="26">
        <f t="shared" si="100"/>
        <v>0</v>
      </c>
    </row>
    <row r="451" spans="1:17" ht="25.5" hidden="1">
      <c r="A451" s="7" t="s">
        <v>761</v>
      </c>
      <c r="B451" s="7" t="s">
        <v>53</v>
      </c>
      <c r="C451" s="7" t="s">
        <v>994</v>
      </c>
      <c r="D451" s="7" t="s">
        <v>578</v>
      </c>
      <c r="E451" s="48" t="s">
        <v>175</v>
      </c>
      <c r="F451" s="27"/>
      <c r="G451" s="27"/>
      <c r="H451" s="27"/>
      <c r="I451" s="27"/>
      <c r="J451" s="27"/>
      <c r="K451" s="26">
        <f t="shared" si="99"/>
        <v>0</v>
      </c>
      <c r="L451" s="27"/>
      <c r="M451" s="27"/>
      <c r="N451" s="27"/>
      <c r="O451" s="27"/>
      <c r="P451" s="27"/>
      <c r="Q451" s="26">
        <f t="shared" si="100"/>
        <v>0</v>
      </c>
    </row>
    <row r="452" spans="1:17" s="43" customFormat="1" ht="39.75" customHeight="1">
      <c r="A452" s="62" t="s">
        <v>283</v>
      </c>
      <c r="B452" s="62" t="s">
        <v>166</v>
      </c>
      <c r="C452" s="62" t="s">
        <v>166</v>
      </c>
      <c r="D452" s="62"/>
      <c r="E452" s="63" t="s">
        <v>129</v>
      </c>
      <c r="F452" s="39">
        <f aca="true" t="shared" si="104" ref="F452:F461">G452+J452</f>
        <v>8544193</v>
      </c>
      <c r="G452" s="39">
        <f>G453</f>
        <v>8544193</v>
      </c>
      <c r="H452" s="39">
        <f>H453</f>
        <v>5645041</v>
      </c>
      <c r="I452" s="39">
        <f>I453</f>
        <v>155190</v>
      </c>
      <c r="J452" s="39">
        <f>J453</f>
        <v>0</v>
      </c>
      <c r="K452" s="39">
        <f aca="true" t="shared" si="105" ref="K452:K461">L452+O452</f>
        <v>0</v>
      </c>
      <c r="L452" s="39">
        <f>L453</f>
        <v>0</v>
      </c>
      <c r="M452" s="39">
        <f>M453</f>
        <v>0</v>
      </c>
      <c r="N452" s="39">
        <f>N453</f>
        <v>0</v>
      </c>
      <c r="O452" s="39">
        <f>O453</f>
        <v>0</v>
      </c>
      <c r="P452" s="39">
        <f>P453</f>
        <v>0</v>
      </c>
      <c r="Q452" s="40">
        <f aca="true" t="shared" si="106" ref="Q452:Q461">F452+K452</f>
        <v>8544193</v>
      </c>
    </row>
    <row r="453" spans="1:17" s="43" customFormat="1" ht="42.75" customHeight="1">
      <c r="A453" s="59" t="s">
        <v>284</v>
      </c>
      <c r="B453" s="31"/>
      <c r="C453" s="31"/>
      <c r="D453" s="31"/>
      <c r="E453" s="49" t="s">
        <v>129</v>
      </c>
      <c r="F453" s="26">
        <f t="shared" si="104"/>
        <v>8544193</v>
      </c>
      <c r="G453" s="26">
        <f>G454+G456+G459</f>
        <v>8544193</v>
      </c>
      <c r="H453" s="26">
        <f>H454+H456+H459</f>
        <v>5645041</v>
      </c>
      <c r="I453" s="26">
        <f>I454+I456+I459</f>
        <v>155190</v>
      </c>
      <c r="J453" s="26">
        <f>J454+J456+J459</f>
        <v>0</v>
      </c>
      <c r="K453" s="26">
        <f t="shared" si="105"/>
        <v>0</v>
      </c>
      <c r="L453" s="26">
        <f>L454+L456+L459</f>
        <v>0</v>
      </c>
      <c r="M453" s="26">
        <f>M454+M456+M459</f>
        <v>0</v>
      </c>
      <c r="N453" s="26">
        <f>N454+N456+N459</f>
        <v>0</v>
      </c>
      <c r="O453" s="26">
        <f>O454+O456+O459</f>
        <v>0</v>
      </c>
      <c r="P453" s="26">
        <f>P454+P456+P459</f>
        <v>0</v>
      </c>
      <c r="Q453" s="26">
        <f t="shared" si="106"/>
        <v>8544193</v>
      </c>
    </row>
    <row r="454" spans="1:17" s="43" customFormat="1" ht="12.75">
      <c r="A454" s="112" t="s">
        <v>711</v>
      </c>
      <c r="B454" s="111" t="s">
        <v>672</v>
      </c>
      <c r="C454" s="111" t="s">
        <v>973</v>
      </c>
      <c r="D454" s="111"/>
      <c r="E454" s="127" t="s">
        <v>674</v>
      </c>
      <c r="F454" s="26">
        <f t="shared" si="104"/>
        <v>8544193</v>
      </c>
      <c r="G454" s="123">
        <f>G455</f>
        <v>8544193</v>
      </c>
      <c r="H454" s="123">
        <f>H455</f>
        <v>5645041</v>
      </c>
      <c r="I454" s="123">
        <f>I455</f>
        <v>155190</v>
      </c>
      <c r="J454" s="123">
        <f>J455</f>
        <v>0</v>
      </c>
      <c r="K454" s="26">
        <f t="shared" si="105"/>
        <v>0</v>
      </c>
      <c r="L454" s="123">
        <f>L455</f>
        <v>0</v>
      </c>
      <c r="M454" s="123">
        <f>M455</f>
        <v>0</v>
      </c>
      <c r="N454" s="123">
        <f>N455</f>
        <v>0</v>
      </c>
      <c r="O454" s="123">
        <f>O455</f>
        <v>0</v>
      </c>
      <c r="P454" s="123">
        <f>P455</f>
        <v>0</v>
      </c>
      <c r="Q454" s="26">
        <f t="shared" si="106"/>
        <v>8544193</v>
      </c>
    </row>
    <row r="455" spans="1:17" s="43" customFormat="1" ht="25.5">
      <c r="A455" s="50" t="s">
        <v>19</v>
      </c>
      <c r="B455" s="28" t="s">
        <v>33</v>
      </c>
      <c r="C455" s="50" t="s">
        <v>614</v>
      </c>
      <c r="D455" s="50" t="s">
        <v>575</v>
      </c>
      <c r="E455" s="51" t="s">
        <v>312</v>
      </c>
      <c r="F455" s="26">
        <f t="shared" si="104"/>
        <v>8544193</v>
      </c>
      <c r="G455" s="27">
        <f>7512552+220000+(1010000)-198359</f>
        <v>8544193</v>
      </c>
      <c r="H455" s="27">
        <v>5645041</v>
      </c>
      <c r="I455" s="27">
        <v>155190</v>
      </c>
      <c r="J455" s="27"/>
      <c r="K455" s="26">
        <f t="shared" si="105"/>
        <v>0</v>
      </c>
      <c r="L455" s="27"/>
      <c r="M455" s="27"/>
      <c r="N455" s="27"/>
      <c r="O455" s="27"/>
      <c r="P455" s="27"/>
      <c r="Q455" s="26">
        <f t="shared" si="106"/>
        <v>8544193</v>
      </c>
    </row>
    <row r="456" spans="1:17" s="43" customFormat="1" ht="25.5" hidden="1">
      <c r="A456" s="112" t="s">
        <v>714</v>
      </c>
      <c r="B456" s="112" t="s">
        <v>635</v>
      </c>
      <c r="C456" s="112" t="s">
        <v>1022</v>
      </c>
      <c r="D456" s="112"/>
      <c r="E456" s="113" t="s">
        <v>636</v>
      </c>
      <c r="F456" s="26">
        <f t="shared" si="104"/>
        <v>0</v>
      </c>
      <c r="G456" s="114">
        <f>G457</f>
        <v>0</v>
      </c>
      <c r="H456" s="114">
        <f aca="true" t="shared" si="107" ref="H456:J457">H457</f>
        <v>0</v>
      </c>
      <c r="I456" s="114">
        <f t="shared" si="107"/>
        <v>0</v>
      </c>
      <c r="J456" s="114">
        <f t="shared" si="107"/>
        <v>0</v>
      </c>
      <c r="K456" s="26">
        <f t="shared" si="105"/>
        <v>0</v>
      </c>
      <c r="L456" s="114">
        <f aca="true" t="shared" si="108" ref="L456:P457">L457</f>
        <v>0</v>
      </c>
      <c r="M456" s="114">
        <f t="shared" si="108"/>
        <v>0</v>
      </c>
      <c r="N456" s="114">
        <f t="shared" si="108"/>
        <v>0</v>
      </c>
      <c r="O456" s="114">
        <f t="shared" si="108"/>
        <v>0</v>
      </c>
      <c r="P456" s="114">
        <f t="shared" si="108"/>
        <v>0</v>
      </c>
      <c r="Q456" s="26">
        <f t="shared" si="106"/>
        <v>0</v>
      </c>
    </row>
    <row r="457" spans="1:17" s="43" customFormat="1" ht="12.75" customHeight="1" hidden="1">
      <c r="A457" s="85" t="s">
        <v>424</v>
      </c>
      <c r="B457" s="85" t="s">
        <v>54</v>
      </c>
      <c r="C457" s="85" t="s">
        <v>1094</v>
      </c>
      <c r="D457" s="85"/>
      <c r="E457" s="87" t="s">
        <v>417</v>
      </c>
      <c r="F457" s="26">
        <f t="shared" si="104"/>
        <v>0</v>
      </c>
      <c r="G457" s="88">
        <f>G458</f>
        <v>0</v>
      </c>
      <c r="H457" s="88">
        <f t="shared" si="107"/>
        <v>0</v>
      </c>
      <c r="I457" s="88">
        <f t="shared" si="107"/>
        <v>0</v>
      </c>
      <c r="J457" s="88">
        <f t="shared" si="107"/>
        <v>0</v>
      </c>
      <c r="K457" s="26">
        <f t="shared" si="105"/>
        <v>0</v>
      </c>
      <c r="L457" s="88">
        <f t="shared" si="108"/>
        <v>0</v>
      </c>
      <c r="M457" s="88">
        <f t="shared" si="108"/>
        <v>0</v>
      </c>
      <c r="N457" s="88">
        <f t="shared" si="108"/>
        <v>0</v>
      </c>
      <c r="O457" s="88">
        <f t="shared" si="108"/>
        <v>0</v>
      </c>
      <c r="P457" s="88">
        <f t="shared" si="108"/>
        <v>0</v>
      </c>
      <c r="Q457" s="26">
        <f t="shared" si="106"/>
        <v>0</v>
      </c>
    </row>
    <row r="458" spans="1:17" s="169" customFormat="1" ht="102" hidden="1">
      <c r="A458" s="170" t="s">
        <v>366</v>
      </c>
      <c r="B458" s="170" t="s">
        <v>54</v>
      </c>
      <c r="C458" s="170" t="s">
        <v>991</v>
      </c>
      <c r="D458" s="170" t="s">
        <v>578</v>
      </c>
      <c r="E458" s="178" t="s">
        <v>367</v>
      </c>
      <c r="F458" s="173">
        <f t="shared" si="104"/>
        <v>0</v>
      </c>
      <c r="G458" s="173"/>
      <c r="H458" s="173"/>
      <c r="I458" s="173"/>
      <c r="J458" s="173"/>
      <c r="K458" s="173">
        <f t="shared" si="105"/>
        <v>0</v>
      </c>
      <c r="L458" s="173"/>
      <c r="M458" s="173"/>
      <c r="N458" s="173"/>
      <c r="O458" s="173"/>
      <c r="P458" s="173"/>
      <c r="Q458" s="173">
        <f t="shared" si="106"/>
        <v>0</v>
      </c>
    </row>
    <row r="459" spans="1:17" s="43" customFormat="1" ht="15.75" customHeight="1" hidden="1">
      <c r="A459" s="50" t="s">
        <v>365</v>
      </c>
      <c r="B459" s="28" t="s">
        <v>100</v>
      </c>
      <c r="C459" s="50" t="s">
        <v>1128</v>
      </c>
      <c r="D459" s="50" t="s">
        <v>925</v>
      </c>
      <c r="E459" s="25" t="s">
        <v>101</v>
      </c>
      <c r="F459" s="26">
        <f t="shared" si="104"/>
        <v>0</v>
      </c>
      <c r="G459" s="27"/>
      <c r="H459" s="27"/>
      <c r="I459" s="27"/>
      <c r="J459" s="27"/>
      <c r="K459" s="26">
        <f t="shared" si="105"/>
        <v>0</v>
      </c>
      <c r="L459" s="27"/>
      <c r="M459" s="27"/>
      <c r="N459" s="27"/>
      <c r="O459" s="27"/>
      <c r="P459" s="27"/>
      <c r="Q459" s="26">
        <f t="shared" si="106"/>
        <v>0</v>
      </c>
    </row>
    <row r="460" spans="1:17" s="68" customFormat="1" ht="39" customHeight="1">
      <c r="A460" s="72" t="s">
        <v>285</v>
      </c>
      <c r="B460" s="72" t="s">
        <v>167</v>
      </c>
      <c r="C460" s="62" t="s">
        <v>167</v>
      </c>
      <c r="D460" s="72"/>
      <c r="E460" s="65" t="s">
        <v>129</v>
      </c>
      <c r="F460" s="73">
        <f t="shared" si="104"/>
        <v>230674990</v>
      </c>
      <c r="G460" s="73">
        <f>G461</f>
        <v>230674990</v>
      </c>
      <c r="H460" s="73">
        <f aca="true" t="shared" si="109" ref="H460:J461">H461</f>
        <v>0</v>
      </c>
      <c r="I460" s="73">
        <f t="shared" si="109"/>
        <v>0</v>
      </c>
      <c r="J460" s="73">
        <f t="shared" si="109"/>
        <v>0</v>
      </c>
      <c r="K460" s="73">
        <f t="shared" si="105"/>
        <v>5745400</v>
      </c>
      <c r="L460" s="73">
        <f aca="true" t="shared" si="110" ref="L460:P461">L461</f>
        <v>0</v>
      </c>
      <c r="M460" s="73">
        <f t="shared" si="110"/>
        <v>0</v>
      </c>
      <c r="N460" s="73">
        <f t="shared" si="110"/>
        <v>0</v>
      </c>
      <c r="O460" s="73">
        <f t="shared" si="110"/>
        <v>5745400</v>
      </c>
      <c r="P460" s="73">
        <f t="shared" si="110"/>
        <v>5745400</v>
      </c>
      <c r="Q460" s="74">
        <f t="shared" si="106"/>
        <v>236420390</v>
      </c>
    </row>
    <row r="461" spans="1:17" s="68" customFormat="1" ht="39" customHeight="1">
      <c r="A461" s="75" t="s">
        <v>286</v>
      </c>
      <c r="B461" s="75"/>
      <c r="C461" s="75"/>
      <c r="D461" s="75"/>
      <c r="E461" s="76" t="s">
        <v>129</v>
      </c>
      <c r="F461" s="77">
        <f t="shared" si="104"/>
        <v>230674990</v>
      </c>
      <c r="G461" s="77">
        <f>G462</f>
        <v>230674990</v>
      </c>
      <c r="H461" s="77">
        <f t="shared" si="109"/>
        <v>0</v>
      </c>
      <c r="I461" s="77">
        <f t="shared" si="109"/>
        <v>0</v>
      </c>
      <c r="J461" s="77">
        <f t="shared" si="109"/>
        <v>0</v>
      </c>
      <c r="K461" s="77">
        <f t="shared" si="105"/>
        <v>5745400</v>
      </c>
      <c r="L461" s="77">
        <f t="shared" si="110"/>
        <v>0</v>
      </c>
      <c r="M461" s="77">
        <f t="shared" si="110"/>
        <v>0</v>
      </c>
      <c r="N461" s="77">
        <f t="shared" si="110"/>
        <v>0</v>
      </c>
      <c r="O461" s="77">
        <f t="shared" si="110"/>
        <v>5745400</v>
      </c>
      <c r="P461" s="77">
        <f t="shared" si="110"/>
        <v>5745400</v>
      </c>
      <c r="Q461" s="77">
        <f t="shared" si="106"/>
        <v>236420390</v>
      </c>
    </row>
    <row r="462" spans="1:17" s="68" customFormat="1" ht="27.75" customHeight="1">
      <c r="A462" s="112" t="s">
        <v>715</v>
      </c>
      <c r="B462" s="111" t="s">
        <v>635</v>
      </c>
      <c r="C462" s="111" t="s">
        <v>1022</v>
      </c>
      <c r="D462" s="111"/>
      <c r="E462" s="113" t="s">
        <v>636</v>
      </c>
      <c r="F462" s="123">
        <f aca="true" t="shared" si="111" ref="F462:F467">G462+J462</f>
        <v>230674990</v>
      </c>
      <c r="G462" s="123">
        <f>G463+G464+G465+G466</f>
        <v>230674990</v>
      </c>
      <c r="H462" s="123">
        <f>H463+H464+H465+H466</f>
        <v>0</v>
      </c>
      <c r="I462" s="123">
        <f>I463+I464+I465+I466</f>
        <v>0</v>
      </c>
      <c r="J462" s="123">
        <f>J463+J464+J465+J466</f>
        <v>0</v>
      </c>
      <c r="K462" s="77">
        <f aca="true" t="shared" si="112" ref="K462:K467">L462+O462</f>
        <v>5745400</v>
      </c>
      <c r="L462" s="123">
        <f>L463+L464+L465+L466</f>
        <v>0</v>
      </c>
      <c r="M462" s="123">
        <f>M463+M464+M465+M466</f>
        <v>0</v>
      </c>
      <c r="N462" s="123">
        <f>N463+N464+N465+N466</f>
        <v>0</v>
      </c>
      <c r="O462" s="123">
        <f>O463+O464+O465+O466</f>
        <v>5745400</v>
      </c>
      <c r="P462" s="123">
        <f>P463+P464+P465+P466</f>
        <v>5745400</v>
      </c>
      <c r="Q462" s="123">
        <f aca="true" t="shared" si="113" ref="Q462:Q467">F462+K462</f>
        <v>236420390</v>
      </c>
    </row>
    <row r="463" spans="1:17" s="68" customFormat="1" ht="12.75" hidden="1">
      <c r="A463" s="50" t="s">
        <v>570</v>
      </c>
      <c r="B463" s="59" t="s">
        <v>530</v>
      </c>
      <c r="C463" s="59" t="s">
        <v>984</v>
      </c>
      <c r="D463" s="59" t="s">
        <v>578</v>
      </c>
      <c r="E463" s="49" t="s">
        <v>531</v>
      </c>
      <c r="F463" s="77">
        <f t="shared" si="111"/>
        <v>0</v>
      </c>
      <c r="G463" s="77"/>
      <c r="H463" s="77"/>
      <c r="I463" s="77"/>
      <c r="J463" s="77"/>
      <c r="K463" s="77">
        <f t="shared" si="112"/>
        <v>0</v>
      </c>
      <c r="L463" s="77"/>
      <c r="M463" s="77"/>
      <c r="N463" s="77"/>
      <c r="O463" s="77"/>
      <c r="P463" s="77"/>
      <c r="Q463" s="77">
        <f t="shared" si="113"/>
        <v>0</v>
      </c>
    </row>
    <row r="464" spans="1:17" s="70" customFormat="1" ht="12.75">
      <c r="A464" s="75" t="s">
        <v>21</v>
      </c>
      <c r="B464" s="75" t="s">
        <v>55</v>
      </c>
      <c r="C464" s="59" t="s">
        <v>1129</v>
      </c>
      <c r="D464" s="59" t="s">
        <v>614</v>
      </c>
      <c r="E464" s="49" t="s">
        <v>926</v>
      </c>
      <c r="F464" s="77">
        <f t="shared" si="111"/>
        <v>228235100</v>
      </c>
      <c r="G464" s="77">
        <v>228235100</v>
      </c>
      <c r="H464" s="77"/>
      <c r="I464" s="77"/>
      <c r="J464" s="77"/>
      <c r="K464" s="77">
        <f t="shared" si="112"/>
        <v>0</v>
      </c>
      <c r="L464" s="77"/>
      <c r="M464" s="77"/>
      <c r="N464" s="77"/>
      <c r="O464" s="77"/>
      <c r="P464" s="77"/>
      <c r="Q464" s="77">
        <f t="shared" si="113"/>
        <v>228235100</v>
      </c>
    </row>
    <row r="465" spans="1:17" s="71" customFormat="1" ht="51">
      <c r="A465" s="59" t="s">
        <v>716</v>
      </c>
      <c r="B465" s="78" t="s">
        <v>116</v>
      </c>
      <c r="C465" s="50" t="s">
        <v>1130</v>
      </c>
      <c r="D465" s="50" t="s">
        <v>614</v>
      </c>
      <c r="E465" s="48" t="s">
        <v>144</v>
      </c>
      <c r="F465" s="77">
        <f t="shared" si="111"/>
        <v>2439890</v>
      </c>
      <c r="G465" s="52">
        <f>1217890+1222000</f>
        <v>2439890</v>
      </c>
      <c r="H465" s="52"/>
      <c r="I465" s="52"/>
      <c r="J465" s="52"/>
      <c r="K465" s="77">
        <f t="shared" si="112"/>
        <v>5745400</v>
      </c>
      <c r="L465" s="52"/>
      <c r="M465" s="52"/>
      <c r="N465" s="52"/>
      <c r="O465" s="52">
        <f>P465</f>
        <v>5745400</v>
      </c>
      <c r="P465" s="52">
        <f>6967400-1222000</f>
        <v>5745400</v>
      </c>
      <c r="Q465" s="77">
        <f t="shared" si="113"/>
        <v>8185290</v>
      </c>
    </row>
    <row r="466" spans="1:17" s="71" customFormat="1" ht="12.75" hidden="1">
      <c r="A466" s="78" t="s">
        <v>482</v>
      </c>
      <c r="B466" s="78" t="s">
        <v>481</v>
      </c>
      <c r="C466" s="50" t="s">
        <v>1131</v>
      </c>
      <c r="D466" s="50" t="s">
        <v>614</v>
      </c>
      <c r="E466" s="79" t="s">
        <v>483</v>
      </c>
      <c r="F466" s="77">
        <f t="shared" si="111"/>
        <v>0</v>
      </c>
      <c r="G466" s="52">
        <f>G467</f>
        <v>0</v>
      </c>
      <c r="H466" s="52">
        <f>H467</f>
        <v>0</v>
      </c>
      <c r="I466" s="52">
        <f>I467</f>
        <v>0</v>
      </c>
      <c r="J466" s="52">
        <f>J467</f>
        <v>0</v>
      </c>
      <c r="K466" s="77">
        <f t="shared" si="112"/>
        <v>0</v>
      </c>
      <c r="L466" s="52">
        <f>L467</f>
        <v>0</v>
      </c>
      <c r="M466" s="52">
        <f>M467</f>
        <v>0</v>
      </c>
      <c r="N466" s="52">
        <f>N467</f>
        <v>0</v>
      </c>
      <c r="O466" s="52">
        <f>O467</f>
        <v>0</v>
      </c>
      <c r="P466" s="52">
        <f>P467</f>
        <v>0</v>
      </c>
      <c r="Q466" s="77">
        <f t="shared" si="113"/>
        <v>0</v>
      </c>
    </row>
    <row r="467" spans="1:17" s="71" customFormat="1" ht="12.75" hidden="1">
      <c r="A467" s="159" t="s">
        <v>927</v>
      </c>
      <c r="B467" s="78"/>
      <c r="C467" s="78"/>
      <c r="D467" s="50"/>
      <c r="E467" s="79"/>
      <c r="F467" s="77">
        <f t="shared" si="111"/>
        <v>0</v>
      </c>
      <c r="G467" s="52"/>
      <c r="H467" s="52"/>
      <c r="I467" s="52"/>
      <c r="J467" s="52"/>
      <c r="K467" s="77">
        <f t="shared" si="112"/>
        <v>0</v>
      </c>
      <c r="L467" s="52"/>
      <c r="M467" s="52"/>
      <c r="N467" s="52"/>
      <c r="O467" s="52"/>
      <c r="P467" s="52"/>
      <c r="Q467" s="77">
        <f t="shared" si="113"/>
        <v>0</v>
      </c>
    </row>
    <row r="468" spans="1:17" s="12" customFormat="1" ht="40.5" customHeight="1">
      <c r="A468" s="11" t="s">
        <v>287</v>
      </c>
      <c r="B468" s="11" t="s">
        <v>145</v>
      </c>
      <c r="C468" s="11" t="s">
        <v>145</v>
      </c>
      <c r="D468" s="11"/>
      <c r="E468" s="13" t="s">
        <v>788</v>
      </c>
      <c r="F468" s="21">
        <f>G468+J468</f>
        <v>16588639</v>
      </c>
      <c r="G468" s="21">
        <f>G469</f>
        <v>16588639</v>
      </c>
      <c r="H468" s="21">
        <f>H469</f>
        <v>4431938</v>
      </c>
      <c r="I468" s="21">
        <f>I469</f>
        <v>669422</v>
      </c>
      <c r="J468" s="21">
        <f>J469</f>
        <v>0</v>
      </c>
      <c r="K468" s="21">
        <f>L468+O468</f>
        <v>176779</v>
      </c>
      <c r="L468" s="21">
        <f>L469</f>
        <v>156779</v>
      </c>
      <c r="M468" s="21">
        <f>M469</f>
        <v>0</v>
      </c>
      <c r="N468" s="21">
        <f>N469</f>
        <v>0</v>
      </c>
      <c r="O468" s="21">
        <f>O469</f>
        <v>20000</v>
      </c>
      <c r="P468" s="21">
        <f>P469</f>
        <v>20000</v>
      </c>
      <c r="Q468" s="20">
        <f>F468+K468</f>
        <v>16765418</v>
      </c>
    </row>
    <row r="469" spans="1:17" s="2" customFormat="1" ht="39" customHeight="1">
      <c r="A469" s="7" t="s">
        <v>288</v>
      </c>
      <c r="B469" s="7"/>
      <c r="C469" s="7"/>
      <c r="D469" s="7"/>
      <c r="E469" s="3" t="s">
        <v>789</v>
      </c>
      <c r="F469" s="18">
        <f>G469+J469</f>
        <v>16588639</v>
      </c>
      <c r="G469" s="18">
        <f>G470+G472+G475+G477+G488</f>
        <v>16588639</v>
      </c>
      <c r="H469" s="18">
        <f>H470+H472+H475+H477+H488</f>
        <v>4431938</v>
      </c>
      <c r="I469" s="18">
        <f>I470+I472+I475+I477+I488</f>
        <v>669422</v>
      </c>
      <c r="J469" s="18">
        <f>J470+J472+J475+J477+J488</f>
        <v>0</v>
      </c>
      <c r="K469" s="18">
        <f>L469+O469</f>
        <v>176779</v>
      </c>
      <c r="L469" s="18">
        <f>L470+L472+L475+L477+L488</f>
        <v>156779</v>
      </c>
      <c r="M469" s="18">
        <f>M470+M472+M475+M477+M488</f>
        <v>0</v>
      </c>
      <c r="N469" s="18">
        <f>N470+N472+N475+N477+N488</f>
        <v>0</v>
      </c>
      <c r="O469" s="18">
        <f>O470+O472+O475+O477+O488</f>
        <v>20000</v>
      </c>
      <c r="P469" s="18">
        <f>P470+P472+P475+P477+P488</f>
        <v>20000</v>
      </c>
      <c r="Q469" s="18">
        <f>F469+K469</f>
        <v>16765418</v>
      </c>
    </row>
    <row r="470" spans="1:17" s="2" customFormat="1" ht="12.75">
      <c r="A470" s="116" t="s">
        <v>717</v>
      </c>
      <c r="B470" s="116" t="s">
        <v>672</v>
      </c>
      <c r="C470" s="116" t="s">
        <v>973</v>
      </c>
      <c r="D470" s="116"/>
      <c r="E470" s="124" t="s">
        <v>674</v>
      </c>
      <c r="F470" s="121">
        <f aca="true" t="shared" si="114" ref="F470:F478">G470+J470</f>
        <v>8484518</v>
      </c>
      <c r="G470" s="121">
        <f>G471</f>
        <v>8484518</v>
      </c>
      <c r="H470" s="121">
        <f>H471</f>
        <v>4431938</v>
      </c>
      <c r="I470" s="121">
        <f>I471</f>
        <v>513900</v>
      </c>
      <c r="J470" s="121">
        <f>J471</f>
        <v>0</v>
      </c>
      <c r="K470" s="121">
        <f aca="true" t="shared" si="115" ref="K470:K478">L470+O470</f>
        <v>156779</v>
      </c>
      <c r="L470" s="121">
        <f>L471</f>
        <v>156779</v>
      </c>
      <c r="M470" s="121">
        <f>M471</f>
        <v>0</v>
      </c>
      <c r="N470" s="121">
        <f>N471</f>
        <v>0</v>
      </c>
      <c r="O470" s="121">
        <f>O471</f>
        <v>0</v>
      </c>
      <c r="P470" s="121">
        <f>P471</f>
        <v>0</v>
      </c>
      <c r="Q470" s="121">
        <f aca="true" t="shared" si="116" ref="Q470:Q478">F470+K470</f>
        <v>8641297</v>
      </c>
    </row>
    <row r="471" spans="1:17" s="2" customFormat="1" ht="62.25" customHeight="1">
      <c r="A471" s="7" t="s">
        <v>20</v>
      </c>
      <c r="B471" s="7" t="s">
        <v>33</v>
      </c>
      <c r="C471" s="7" t="s">
        <v>614</v>
      </c>
      <c r="D471" s="7" t="s">
        <v>575</v>
      </c>
      <c r="E471" s="51" t="s">
        <v>889</v>
      </c>
      <c r="F471" s="18">
        <f t="shared" si="114"/>
        <v>8484518</v>
      </c>
      <c r="G471" s="18">
        <f>6644006+(2121747)-281235</f>
        <v>8484518</v>
      </c>
      <c r="H471" s="18">
        <v>4431938</v>
      </c>
      <c r="I471" s="18">
        <v>513900</v>
      </c>
      <c r="J471" s="18"/>
      <c r="K471" s="18">
        <f t="shared" si="115"/>
        <v>156779</v>
      </c>
      <c r="L471" s="18">
        <v>156779</v>
      </c>
      <c r="M471" s="18"/>
      <c r="N471" s="18"/>
      <c r="O471" s="18"/>
      <c r="P471" s="18"/>
      <c r="Q471" s="18">
        <f t="shared" si="116"/>
        <v>8641297</v>
      </c>
    </row>
    <row r="472" spans="1:17" s="2" customFormat="1" ht="12.75">
      <c r="A472" s="116" t="s">
        <v>718</v>
      </c>
      <c r="B472" s="117" t="s">
        <v>664</v>
      </c>
      <c r="C472" s="117" t="s">
        <v>1095</v>
      </c>
      <c r="D472" s="117"/>
      <c r="E472" s="124" t="s">
        <v>666</v>
      </c>
      <c r="F472" s="121">
        <f t="shared" si="114"/>
        <v>7741630</v>
      </c>
      <c r="G472" s="121">
        <f>G473+G474</f>
        <v>7741630</v>
      </c>
      <c r="H472" s="121">
        <f>H473+H474</f>
        <v>0</v>
      </c>
      <c r="I472" s="121">
        <f>I473+I474</f>
        <v>155522</v>
      </c>
      <c r="J472" s="121">
        <f>J473+J474</f>
        <v>0</v>
      </c>
      <c r="K472" s="121">
        <f t="shared" si="115"/>
        <v>20000</v>
      </c>
      <c r="L472" s="121">
        <f>L473+L474</f>
        <v>0</v>
      </c>
      <c r="M472" s="121">
        <f>M473+M474</f>
        <v>0</v>
      </c>
      <c r="N472" s="121">
        <f>N473+N474</f>
        <v>0</v>
      </c>
      <c r="O472" s="121">
        <f>O473+O474</f>
        <v>20000</v>
      </c>
      <c r="P472" s="121">
        <f>P473+P474</f>
        <v>20000</v>
      </c>
      <c r="Q472" s="121">
        <f t="shared" si="116"/>
        <v>7761630</v>
      </c>
    </row>
    <row r="473" spans="1:17" s="2" customFormat="1" ht="51">
      <c r="A473" s="112" t="s">
        <v>770</v>
      </c>
      <c r="B473" s="112" t="s">
        <v>322</v>
      </c>
      <c r="C473" s="112" t="s">
        <v>1096</v>
      </c>
      <c r="D473" s="112" t="s">
        <v>607</v>
      </c>
      <c r="E473" s="113" t="s">
        <v>329</v>
      </c>
      <c r="F473" s="121">
        <f t="shared" si="114"/>
        <v>4105154</v>
      </c>
      <c r="G473" s="121">
        <v>4105154</v>
      </c>
      <c r="H473" s="121"/>
      <c r="I473" s="121"/>
      <c r="J473" s="121"/>
      <c r="K473" s="121">
        <f t="shared" si="115"/>
        <v>0</v>
      </c>
      <c r="L473" s="121"/>
      <c r="M473" s="121"/>
      <c r="N473" s="121"/>
      <c r="O473" s="121"/>
      <c r="P473" s="121"/>
      <c r="Q473" s="121">
        <f t="shared" si="116"/>
        <v>4105154</v>
      </c>
    </row>
    <row r="474" spans="1:17" s="2" customFormat="1" ht="12.75">
      <c r="A474" s="112" t="s">
        <v>396</v>
      </c>
      <c r="B474" s="112" t="s">
        <v>123</v>
      </c>
      <c r="C474" s="112" t="s">
        <v>1107</v>
      </c>
      <c r="D474" s="112" t="s">
        <v>608</v>
      </c>
      <c r="E474" s="113" t="s">
        <v>125</v>
      </c>
      <c r="F474" s="121">
        <f t="shared" si="114"/>
        <v>3636476</v>
      </c>
      <c r="G474" s="121">
        <f>3614476+(22232)+22000-(22232)</f>
        <v>3636476</v>
      </c>
      <c r="H474" s="121"/>
      <c r="I474" s="121">
        <v>155522</v>
      </c>
      <c r="J474" s="121"/>
      <c r="K474" s="121">
        <f t="shared" si="115"/>
        <v>20000</v>
      </c>
      <c r="L474" s="121"/>
      <c r="M474" s="121"/>
      <c r="N474" s="121"/>
      <c r="O474" s="121">
        <f>P474</f>
        <v>20000</v>
      </c>
      <c r="P474" s="121">
        <f>((20000))</f>
        <v>20000</v>
      </c>
      <c r="Q474" s="121">
        <f t="shared" si="116"/>
        <v>3656476</v>
      </c>
    </row>
    <row r="475" spans="1:17" s="2" customFormat="1" ht="12.75" hidden="1">
      <c r="A475" s="112" t="s">
        <v>792</v>
      </c>
      <c r="B475" s="111" t="s">
        <v>629</v>
      </c>
      <c r="C475" s="111" t="s">
        <v>1021</v>
      </c>
      <c r="D475" s="111"/>
      <c r="E475" s="127" t="s">
        <v>631</v>
      </c>
      <c r="F475" s="18">
        <f t="shared" si="114"/>
        <v>0</v>
      </c>
      <c r="G475" s="18">
        <f>G476</f>
        <v>0</v>
      </c>
      <c r="H475" s="18">
        <f>H476</f>
        <v>0</v>
      </c>
      <c r="I475" s="18">
        <f>I476</f>
        <v>0</v>
      </c>
      <c r="J475" s="18">
        <f>J476</f>
        <v>0</v>
      </c>
      <c r="K475" s="18">
        <f t="shared" si="115"/>
        <v>0</v>
      </c>
      <c r="L475" s="18">
        <f>L476</f>
        <v>0</v>
      </c>
      <c r="M475" s="18">
        <f>M476</f>
        <v>0</v>
      </c>
      <c r="N475" s="18">
        <f>N476</f>
        <v>0</v>
      </c>
      <c r="O475" s="18">
        <f>O476</f>
        <v>0</v>
      </c>
      <c r="P475" s="18">
        <f>P476</f>
        <v>0</v>
      </c>
      <c r="Q475" s="18">
        <f t="shared" si="116"/>
        <v>0</v>
      </c>
    </row>
    <row r="476" spans="1:17" s="2" customFormat="1" ht="25.5" hidden="1">
      <c r="A476" s="50" t="s">
        <v>289</v>
      </c>
      <c r="B476" s="28" t="s">
        <v>87</v>
      </c>
      <c r="C476" s="50" t="s">
        <v>981</v>
      </c>
      <c r="D476" s="50" t="s">
        <v>577</v>
      </c>
      <c r="E476" s="51" t="s">
        <v>174</v>
      </c>
      <c r="F476" s="27">
        <f t="shared" si="114"/>
        <v>0</v>
      </c>
      <c r="G476" s="27"/>
      <c r="H476" s="27"/>
      <c r="I476" s="27"/>
      <c r="J476" s="27"/>
      <c r="K476" s="27">
        <f t="shared" si="115"/>
        <v>0</v>
      </c>
      <c r="L476" s="27"/>
      <c r="M476" s="27"/>
      <c r="N476" s="27"/>
      <c r="O476" s="27"/>
      <c r="P476" s="27"/>
      <c r="Q476" s="27">
        <f t="shared" si="116"/>
        <v>0</v>
      </c>
    </row>
    <row r="477" spans="1:17" s="2" customFormat="1" ht="24" customHeight="1">
      <c r="A477" s="116" t="s">
        <v>719</v>
      </c>
      <c r="B477" s="116" t="s">
        <v>635</v>
      </c>
      <c r="C477" s="116" t="s">
        <v>1022</v>
      </c>
      <c r="D477" s="116"/>
      <c r="E477" s="125" t="s">
        <v>636</v>
      </c>
      <c r="F477" s="121">
        <f t="shared" si="114"/>
        <v>362491</v>
      </c>
      <c r="G477" s="121">
        <f>G478</f>
        <v>362491</v>
      </c>
      <c r="H477" s="121">
        <f>H478</f>
        <v>0</v>
      </c>
      <c r="I477" s="121">
        <f>I478</f>
        <v>0</v>
      </c>
      <c r="J477" s="121">
        <f>J478</f>
        <v>0</v>
      </c>
      <c r="K477" s="121">
        <f t="shared" si="115"/>
        <v>0</v>
      </c>
      <c r="L477" s="121">
        <f>L478</f>
        <v>0</v>
      </c>
      <c r="M477" s="121">
        <f>M478</f>
        <v>0</v>
      </c>
      <c r="N477" s="121">
        <f>N478</f>
        <v>0</v>
      </c>
      <c r="O477" s="121">
        <f>O478</f>
        <v>0</v>
      </c>
      <c r="P477" s="121">
        <f>P478</f>
        <v>0</v>
      </c>
      <c r="Q477" s="121">
        <f t="shared" si="116"/>
        <v>362491</v>
      </c>
    </row>
    <row r="478" spans="1:17" s="2" customFormat="1" ht="12.75">
      <c r="A478" s="89" t="s">
        <v>425</v>
      </c>
      <c r="B478" s="89" t="s">
        <v>54</v>
      </c>
      <c r="C478" s="89" t="s">
        <v>1094</v>
      </c>
      <c r="D478" s="89" t="s">
        <v>578</v>
      </c>
      <c r="E478" s="99" t="s">
        <v>417</v>
      </c>
      <c r="F478" s="92">
        <f t="shared" si="114"/>
        <v>362491</v>
      </c>
      <c r="G478" s="92">
        <f>SUM(G479:G487)</f>
        <v>362491</v>
      </c>
      <c r="H478" s="92">
        <f>SUM(H479:H487)</f>
        <v>0</v>
      </c>
      <c r="I478" s="92">
        <f>SUM(I479:I487)</f>
        <v>0</v>
      </c>
      <c r="J478" s="92">
        <f>SUM(J479:J487)</f>
        <v>0</v>
      </c>
      <c r="K478" s="92">
        <f t="shared" si="115"/>
        <v>0</v>
      </c>
      <c r="L478" s="92">
        <f>SUM(L479:L487)</f>
        <v>0</v>
      </c>
      <c r="M478" s="92">
        <f>SUM(M479:M487)</f>
        <v>0</v>
      </c>
      <c r="N478" s="92">
        <f>SUM(N479:N487)</f>
        <v>0</v>
      </c>
      <c r="O478" s="92">
        <f>SUM(O479:O487)</f>
        <v>0</v>
      </c>
      <c r="P478" s="92">
        <f>SUM(P479:P487)</f>
        <v>0</v>
      </c>
      <c r="Q478" s="92">
        <f t="shared" si="116"/>
        <v>362491</v>
      </c>
    </row>
    <row r="479" spans="1:17" ht="56.25" customHeight="1" hidden="1">
      <c r="A479" s="59" t="s">
        <v>928</v>
      </c>
      <c r="B479" s="50" t="s">
        <v>54</v>
      </c>
      <c r="C479" s="50" t="s">
        <v>985</v>
      </c>
      <c r="D479" s="50" t="s">
        <v>578</v>
      </c>
      <c r="E479" s="48" t="s">
        <v>178</v>
      </c>
      <c r="F479" s="26">
        <f>G479+J479</f>
        <v>0</v>
      </c>
      <c r="G479" s="27"/>
      <c r="H479" s="27"/>
      <c r="I479" s="27"/>
      <c r="J479" s="27"/>
      <c r="K479" s="26">
        <f>L479+O479</f>
        <v>0</v>
      </c>
      <c r="L479" s="27"/>
      <c r="M479" s="27"/>
      <c r="N479" s="27"/>
      <c r="O479" s="27"/>
      <c r="P479" s="27"/>
      <c r="Q479" s="26">
        <f>F479+K479</f>
        <v>0</v>
      </c>
    </row>
    <row r="480" spans="1:17" s="181" customFormat="1" ht="41.25" customHeight="1" hidden="1">
      <c r="A480" s="170" t="s">
        <v>368</v>
      </c>
      <c r="B480" s="171" t="s">
        <v>54</v>
      </c>
      <c r="C480" s="170" t="s">
        <v>986</v>
      </c>
      <c r="D480" s="170" t="s">
        <v>578</v>
      </c>
      <c r="E480" s="178" t="s">
        <v>854</v>
      </c>
      <c r="F480" s="173">
        <f aca="true" t="shared" si="117" ref="F480:F487">G480+J480</f>
        <v>256309</v>
      </c>
      <c r="G480" s="180">
        <v>256309</v>
      </c>
      <c r="H480" s="180"/>
      <c r="I480" s="180"/>
      <c r="J480" s="180"/>
      <c r="K480" s="173">
        <f aca="true" t="shared" si="118" ref="K480:K488">L480+O480</f>
        <v>0</v>
      </c>
      <c r="L480" s="173"/>
      <c r="M480" s="173"/>
      <c r="N480" s="173"/>
      <c r="O480" s="173"/>
      <c r="P480" s="173"/>
      <c r="Q480" s="173">
        <f aca="true" t="shared" si="119" ref="Q480:Q488">F480+K480</f>
        <v>256309</v>
      </c>
    </row>
    <row r="481" spans="1:17" s="169" customFormat="1" ht="51" customHeight="1" hidden="1">
      <c r="A481" s="170" t="s">
        <v>397</v>
      </c>
      <c r="B481" s="170" t="s">
        <v>54</v>
      </c>
      <c r="C481" s="170" t="s">
        <v>987</v>
      </c>
      <c r="D481" s="170" t="s">
        <v>578</v>
      </c>
      <c r="E481" s="178" t="s">
        <v>334</v>
      </c>
      <c r="F481" s="173">
        <f t="shared" si="117"/>
        <v>44235</v>
      </c>
      <c r="G481" s="173">
        <v>44235</v>
      </c>
      <c r="H481" s="173"/>
      <c r="I481" s="173"/>
      <c r="J481" s="173"/>
      <c r="K481" s="173">
        <f t="shared" si="118"/>
        <v>0</v>
      </c>
      <c r="L481" s="173"/>
      <c r="M481" s="173"/>
      <c r="N481" s="173"/>
      <c r="O481" s="173"/>
      <c r="P481" s="173"/>
      <c r="Q481" s="173">
        <f t="shared" si="119"/>
        <v>44235</v>
      </c>
    </row>
    <row r="482" spans="1:17" s="169" customFormat="1" ht="50.25" customHeight="1" hidden="1">
      <c r="A482" s="170" t="s">
        <v>929</v>
      </c>
      <c r="B482" s="170" t="s">
        <v>54</v>
      </c>
      <c r="C482" s="170" t="s">
        <v>988</v>
      </c>
      <c r="D482" s="170" t="s">
        <v>578</v>
      </c>
      <c r="E482" s="178" t="s">
        <v>480</v>
      </c>
      <c r="F482" s="173">
        <f t="shared" si="117"/>
        <v>0</v>
      </c>
      <c r="G482" s="173"/>
      <c r="H482" s="173"/>
      <c r="I482" s="173"/>
      <c r="J482" s="173"/>
      <c r="K482" s="173">
        <f t="shared" si="118"/>
        <v>0</v>
      </c>
      <c r="L482" s="173"/>
      <c r="M482" s="173"/>
      <c r="N482" s="173"/>
      <c r="O482" s="173"/>
      <c r="P482" s="173"/>
      <c r="Q482" s="173">
        <f t="shared" si="119"/>
        <v>0</v>
      </c>
    </row>
    <row r="483" spans="1:17" s="169" customFormat="1" ht="53.25" customHeight="1" hidden="1">
      <c r="A483" s="170" t="s">
        <v>439</v>
      </c>
      <c r="B483" s="170" t="s">
        <v>54</v>
      </c>
      <c r="C483" s="170" t="s">
        <v>989</v>
      </c>
      <c r="D483" s="170" t="s">
        <v>578</v>
      </c>
      <c r="E483" s="178" t="s">
        <v>363</v>
      </c>
      <c r="F483" s="173">
        <f t="shared" si="117"/>
        <v>0</v>
      </c>
      <c r="G483" s="173"/>
      <c r="H483" s="173"/>
      <c r="I483" s="173"/>
      <c r="J483" s="173"/>
      <c r="K483" s="173">
        <f t="shared" si="118"/>
        <v>0</v>
      </c>
      <c r="L483" s="173"/>
      <c r="M483" s="173"/>
      <c r="N483" s="173"/>
      <c r="O483" s="173"/>
      <c r="P483" s="173"/>
      <c r="Q483" s="173">
        <f t="shared" si="119"/>
        <v>0</v>
      </c>
    </row>
    <row r="484" spans="1:17" s="169" customFormat="1" ht="51" hidden="1">
      <c r="A484" s="170" t="s">
        <v>464</v>
      </c>
      <c r="B484" s="170" t="s">
        <v>54</v>
      </c>
      <c r="C484" s="170" t="s">
        <v>990</v>
      </c>
      <c r="D484" s="170" t="s">
        <v>578</v>
      </c>
      <c r="E484" s="178" t="s">
        <v>321</v>
      </c>
      <c r="F484" s="173">
        <f t="shared" si="117"/>
        <v>50000</v>
      </c>
      <c r="G484" s="173">
        <v>50000</v>
      </c>
      <c r="H484" s="173"/>
      <c r="I484" s="173"/>
      <c r="J484" s="173"/>
      <c r="K484" s="173">
        <f t="shared" si="118"/>
        <v>0</v>
      </c>
      <c r="L484" s="173"/>
      <c r="M484" s="173"/>
      <c r="N484" s="173"/>
      <c r="O484" s="173"/>
      <c r="P484" s="173"/>
      <c r="Q484" s="173">
        <f t="shared" si="119"/>
        <v>50000</v>
      </c>
    </row>
    <row r="485" spans="1:17" s="169" customFormat="1" ht="102" customHeight="1" hidden="1">
      <c r="A485" s="170" t="s">
        <v>930</v>
      </c>
      <c r="B485" s="170" t="s">
        <v>54</v>
      </c>
      <c r="C485" s="170" t="s">
        <v>991</v>
      </c>
      <c r="D485" s="170" t="s">
        <v>578</v>
      </c>
      <c r="E485" s="178" t="s">
        <v>367</v>
      </c>
      <c r="F485" s="173">
        <f t="shared" si="117"/>
        <v>0</v>
      </c>
      <c r="G485" s="176"/>
      <c r="H485" s="176"/>
      <c r="I485" s="176"/>
      <c r="J485" s="176"/>
      <c r="K485" s="173">
        <f t="shared" si="118"/>
        <v>0</v>
      </c>
      <c r="L485" s="176"/>
      <c r="M485" s="176"/>
      <c r="N485" s="176"/>
      <c r="O485" s="176"/>
      <c r="P485" s="176"/>
      <c r="Q485" s="173">
        <f t="shared" si="119"/>
        <v>0</v>
      </c>
    </row>
    <row r="486" spans="1:17" s="169" customFormat="1" ht="25.5" hidden="1">
      <c r="A486" s="170" t="s">
        <v>444</v>
      </c>
      <c r="B486" s="170" t="s">
        <v>54</v>
      </c>
      <c r="C486" s="170" t="s">
        <v>992</v>
      </c>
      <c r="D486" s="170" t="s">
        <v>578</v>
      </c>
      <c r="E486" s="178" t="s">
        <v>887</v>
      </c>
      <c r="F486" s="173">
        <f t="shared" si="117"/>
        <v>11947</v>
      </c>
      <c r="G486" s="176">
        <v>11947</v>
      </c>
      <c r="H486" s="176"/>
      <c r="I486" s="176"/>
      <c r="J486" s="176"/>
      <c r="K486" s="173">
        <f t="shared" si="118"/>
        <v>0</v>
      </c>
      <c r="L486" s="176"/>
      <c r="M486" s="176"/>
      <c r="N486" s="176"/>
      <c r="O486" s="176"/>
      <c r="P486" s="176"/>
      <c r="Q486" s="173">
        <f t="shared" si="119"/>
        <v>11947</v>
      </c>
    </row>
    <row r="487" spans="1:17" s="43" customFormat="1" ht="15" customHeight="1" hidden="1">
      <c r="A487" s="59" t="s">
        <v>931</v>
      </c>
      <c r="B487" s="31" t="s">
        <v>54</v>
      </c>
      <c r="C487" s="59" t="s">
        <v>1132</v>
      </c>
      <c r="D487" s="59" t="s">
        <v>578</v>
      </c>
      <c r="E487" s="48" t="s">
        <v>835</v>
      </c>
      <c r="F487" s="26">
        <f t="shared" si="117"/>
        <v>0</v>
      </c>
      <c r="G487" s="26"/>
      <c r="H487" s="26"/>
      <c r="I487" s="26"/>
      <c r="J487" s="26"/>
      <c r="K487" s="26">
        <f t="shared" si="118"/>
        <v>0</v>
      </c>
      <c r="L487" s="26"/>
      <c r="M487" s="26"/>
      <c r="N487" s="26"/>
      <c r="O487" s="26"/>
      <c r="P487" s="26"/>
      <c r="Q487" s="26">
        <f t="shared" si="119"/>
        <v>0</v>
      </c>
    </row>
    <row r="488" spans="1:17" ht="12.75" hidden="1">
      <c r="A488" s="112" t="s">
        <v>932</v>
      </c>
      <c r="B488" s="112" t="s">
        <v>98</v>
      </c>
      <c r="C488" s="112" t="s">
        <v>1016</v>
      </c>
      <c r="D488" s="112"/>
      <c r="E488" s="115" t="s">
        <v>99</v>
      </c>
      <c r="F488" s="18">
        <f>G488+J488</f>
        <v>0</v>
      </c>
      <c r="G488" s="27">
        <f>G489</f>
        <v>0</v>
      </c>
      <c r="H488" s="27">
        <f aca="true" t="shared" si="120" ref="H488:J489">H489</f>
        <v>0</v>
      </c>
      <c r="I488" s="27">
        <f t="shared" si="120"/>
        <v>0</v>
      </c>
      <c r="J488" s="27">
        <f t="shared" si="120"/>
        <v>0</v>
      </c>
      <c r="K488" s="26">
        <f t="shared" si="118"/>
        <v>0</v>
      </c>
      <c r="L488" s="27">
        <f aca="true" t="shared" si="121" ref="L488:P489">L489</f>
        <v>0</v>
      </c>
      <c r="M488" s="27">
        <f t="shared" si="121"/>
        <v>0</v>
      </c>
      <c r="N488" s="27">
        <f t="shared" si="121"/>
        <v>0</v>
      </c>
      <c r="O488" s="27">
        <f t="shared" si="121"/>
        <v>0</v>
      </c>
      <c r="P488" s="27">
        <f t="shared" si="121"/>
        <v>0</v>
      </c>
      <c r="Q488" s="26">
        <f t="shared" si="119"/>
        <v>0</v>
      </c>
    </row>
    <row r="489" spans="1:17" s="2" customFormat="1" ht="50.25" customHeight="1" hidden="1">
      <c r="A489" s="85" t="s">
        <v>963</v>
      </c>
      <c r="B489" s="93" t="s">
        <v>53</v>
      </c>
      <c r="C489" s="93" t="s">
        <v>993</v>
      </c>
      <c r="D489" s="93"/>
      <c r="E489" s="94" t="s">
        <v>432</v>
      </c>
      <c r="F489" s="18">
        <f>G489+J489</f>
        <v>0</v>
      </c>
      <c r="G489" s="88">
        <f>G490</f>
        <v>0</v>
      </c>
      <c r="H489" s="88">
        <f t="shared" si="120"/>
        <v>0</v>
      </c>
      <c r="I489" s="88">
        <f t="shared" si="120"/>
        <v>0</v>
      </c>
      <c r="J489" s="88">
        <f t="shared" si="120"/>
        <v>0</v>
      </c>
      <c r="K489" s="18">
        <f>L489+O489</f>
        <v>0</v>
      </c>
      <c r="L489" s="88">
        <f t="shared" si="121"/>
        <v>0</v>
      </c>
      <c r="M489" s="88">
        <f t="shared" si="121"/>
        <v>0</v>
      </c>
      <c r="N489" s="88">
        <f t="shared" si="121"/>
        <v>0</v>
      </c>
      <c r="O489" s="88">
        <f t="shared" si="121"/>
        <v>0</v>
      </c>
      <c r="P489" s="88">
        <f t="shared" si="121"/>
        <v>0</v>
      </c>
      <c r="Q489" s="18">
        <f>F489+K489</f>
        <v>0</v>
      </c>
    </row>
    <row r="490" spans="1:17" s="2" customFormat="1" ht="30" customHeight="1" hidden="1">
      <c r="A490" s="7" t="s">
        <v>962</v>
      </c>
      <c r="B490" s="7" t="s">
        <v>53</v>
      </c>
      <c r="C490" s="7" t="s">
        <v>994</v>
      </c>
      <c r="D490" s="7"/>
      <c r="E490" s="48" t="s">
        <v>175</v>
      </c>
      <c r="F490" s="18">
        <f>G490+J490</f>
        <v>0</v>
      </c>
      <c r="G490" s="18"/>
      <c r="H490" s="18"/>
      <c r="I490" s="18"/>
      <c r="J490" s="18"/>
      <c r="K490" s="18">
        <f>L490+O490</f>
        <v>0</v>
      </c>
      <c r="L490" s="18"/>
      <c r="M490" s="18"/>
      <c r="N490" s="18"/>
      <c r="O490" s="18"/>
      <c r="P490" s="18"/>
      <c r="Q490" s="18">
        <f>F490+K490</f>
        <v>0</v>
      </c>
    </row>
    <row r="491" spans="1:33" s="12" customFormat="1" ht="40.5" customHeight="1">
      <c r="A491" s="155" t="s">
        <v>290</v>
      </c>
      <c r="B491" s="155" t="s">
        <v>146</v>
      </c>
      <c r="C491" s="155" t="s">
        <v>146</v>
      </c>
      <c r="D491" s="155"/>
      <c r="E491" s="13" t="s">
        <v>134</v>
      </c>
      <c r="F491" s="22">
        <f>G491+J491</f>
        <v>11795132</v>
      </c>
      <c r="G491" s="22">
        <f>G492</f>
        <v>11795132</v>
      </c>
      <c r="H491" s="22">
        <f>H492</f>
        <v>4339242</v>
      </c>
      <c r="I491" s="22">
        <f>I492</f>
        <v>291746</v>
      </c>
      <c r="J491" s="22">
        <f>J492</f>
        <v>0</v>
      </c>
      <c r="K491" s="22">
        <f>L491+O491</f>
        <v>7465796</v>
      </c>
      <c r="L491" s="22">
        <f>L492</f>
        <v>94830</v>
      </c>
      <c r="M491" s="22">
        <f>M492</f>
        <v>0</v>
      </c>
      <c r="N491" s="22">
        <f>N492</f>
        <v>0</v>
      </c>
      <c r="O491" s="22">
        <f>O492</f>
        <v>7370966</v>
      </c>
      <c r="P491" s="22">
        <f>P492</f>
        <v>7370966</v>
      </c>
      <c r="Q491" s="22">
        <f>F491+K491</f>
        <v>19260928</v>
      </c>
      <c r="R491" s="14"/>
      <c r="S491" s="14"/>
      <c r="T491" s="14"/>
      <c r="U491" s="14"/>
      <c r="V491" s="14"/>
      <c r="W491" s="14"/>
      <c r="X491" s="14"/>
      <c r="Y491" s="14"/>
      <c r="Z491" s="14"/>
      <c r="AA491" s="14"/>
      <c r="AB491" s="14"/>
      <c r="AC491" s="14"/>
      <c r="AD491" s="14"/>
      <c r="AE491" s="14"/>
      <c r="AF491" s="14"/>
      <c r="AG491" s="14"/>
    </row>
    <row r="492" spans="1:33" s="2" customFormat="1" ht="42" customHeight="1">
      <c r="A492" s="156" t="s">
        <v>291</v>
      </c>
      <c r="B492" s="156"/>
      <c r="C492" s="156"/>
      <c r="D492" s="156"/>
      <c r="E492" s="3" t="s">
        <v>292</v>
      </c>
      <c r="F492" s="19">
        <f>G492+J492</f>
        <v>11795132</v>
      </c>
      <c r="G492" s="19">
        <f>G493+G495+G498+G500+G511</f>
        <v>11795132</v>
      </c>
      <c r="H492" s="19">
        <f>H493+H495+H498+H500+H511</f>
        <v>4339242</v>
      </c>
      <c r="I492" s="19">
        <f>I493+I495+I498+I500+I511</f>
        <v>291746</v>
      </c>
      <c r="J492" s="19">
        <f>J493+J495+J498+J500+J511</f>
        <v>0</v>
      </c>
      <c r="K492" s="18">
        <f>L492+O492</f>
        <v>7465796</v>
      </c>
      <c r="L492" s="19">
        <f>L493+L495+L498+L500+L511</f>
        <v>94830</v>
      </c>
      <c r="M492" s="19">
        <f>M493+M495+M498+M500+M511</f>
        <v>0</v>
      </c>
      <c r="N492" s="19">
        <f>N493+N495+N498+N500+N511</f>
        <v>0</v>
      </c>
      <c r="O492" s="19">
        <f>O493+O495+O498+O500+O511</f>
        <v>7370966</v>
      </c>
      <c r="P492" s="19">
        <f>P493+P495+P498+P500+P511</f>
        <v>7370966</v>
      </c>
      <c r="Q492" s="19">
        <f>F492+K492</f>
        <v>19260928</v>
      </c>
      <c r="R492" s="9"/>
      <c r="S492" s="9"/>
      <c r="T492" s="9"/>
      <c r="U492" s="9"/>
      <c r="V492" s="9"/>
      <c r="W492" s="9"/>
      <c r="X492" s="9"/>
      <c r="Y492" s="9"/>
      <c r="Z492" s="9"/>
      <c r="AA492" s="9"/>
      <c r="AB492" s="9"/>
      <c r="AC492" s="9"/>
      <c r="AD492" s="9"/>
      <c r="AE492" s="9"/>
      <c r="AF492" s="9"/>
      <c r="AG492" s="9"/>
    </row>
    <row r="493" spans="1:33" s="2" customFormat="1" ht="12.75">
      <c r="A493" s="117" t="s">
        <v>720</v>
      </c>
      <c r="B493" s="157" t="s">
        <v>664</v>
      </c>
      <c r="C493" s="157" t="s">
        <v>973</v>
      </c>
      <c r="D493" s="157"/>
      <c r="E493" s="124" t="s">
        <v>674</v>
      </c>
      <c r="F493" s="130">
        <f aca="true" t="shared" si="122" ref="F493:F501">G493+J493</f>
        <v>7311067</v>
      </c>
      <c r="G493" s="130">
        <f>G494</f>
        <v>7311067</v>
      </c>
      <c r="H493" s="130">
        <f>H494</f>
        <v>4339242</v>
      </c>
      <c r="I493" s="130">
        <f>I494</f>
        <v>291746</v>
      </c>
      <c r="J493" s="130">
        <f>J494</f>
        <v>0</v>
      </c>
      <c r="K493" s="18">
        <f aca="true" t="shared" si="123" ref="K493:K501">L493+O493</f>
        <v>100000</v>
      </c>
      <c r="L493" s="130">
        <f>L494</f>
        <v>0</v>
      </c>
      <c r="M493" s="130">
        <f>M494</f>
        <v>0</v>
      </c>
      <c r="N493" s="130">
        <f>N494</f>
        <v>0</v>
      </c>
      <c r="O493" s="130">
        <f>O494</f>
        <v>100000</v>
      </c>
      <c r="P493" s="130">
        <f>P494</f>
        <v>100000</v>
      </c>
      <c r="Q493" s="130">
        <f aca="true" t="shared" si="124" ref="Q493:Q501">F493+K493</f>
        <v>7411067</v>
      </c>
      <c r="R493" s="9"/>
      <c r="S493" s="9"/>
      <c r="T493" s="9"/>
      <c r="U493" s="9"/>
      <c r="V493" s="9"/>
      <c r="W493" s="9"/>
      <c r="X493" s="9"/>
      <c r="Y493" s="9"/>
      <c r="Z493" s="9"/>
      <c r="AA493" s="9"/>
      <c r="AB493" s="9"/>
      <c r="AC493" s="9"/>
      <c r="AD493" s="9"/>
      <c r="AE493" s="9"/>
      <c r="AF493" s="9"/>
      <c r="AG493" s="9"/>
    </row>
    <row r="494" spans="1:33" s="4" customFormat="1" ht="63.75">
      <c r="A494" s="6" t="s">
        <v>22</v>
      </c>
      <c r="B494" s="158" t="s">
        <v>33</v>
      </c>
      <c r="C494" s="6" t="s">
        <v>614</v>
      </c>
      <c r="D494" s="6" t="s">
        <v>575</v>
      </c>
      <c r="E494" s="51" t="s">
        <v>889</v>
      </c>
      <c r="F494" s="19">
        <f t="shared" si="122"/>
        <v>7311067</v>
      </c>
      <c r="G494" s="19">
        <f>6169348+(1196568)-254849+200000</f>
        <v>7311067</v>
      </c>
      <c r="H494" s="19">
        <v>4339242</v>
      </c>
      <c r="I494" s="19">
        <v>291746</v>
      </c>
      <c r="J494" s="19"/>
      <c r="K494" s="18">
        <f t="shared" si="123"/>
        <v>100000</v>
      </c>
      <c r="L494" s="19"/>
      <c r="M494" s="19"/>
      <c r="N494" s="19"/>
      <c r="O494" s="19">
        <f>P494</f>
        <v>100000</v>
      </c>
      <c r="P494" s="19">
        <v>100000</v>
      </c>
      <c r="Q494" s="19">
        <f t="shared" si="124"/>
        <v>7411067</v>
      </c>
      <c r="R494" s="8"/>
      <c r="S494" s="8"/>
      <c r="T494" s="8"/>
      <c r="U494" s="8"/>
      <c r="V494" s="8"/>
      <c r="W494" s="8"/>
      <c r="X494" s="8"/>
      <c r="Y494" s="8"/>
      <c r="Z494" s="8"/>
      <c r="AA494" s="8"/>
      <c r="AB494" s="8"/>
      <c r="AC494" s="8"/>
      <c r="AD494" s="8"/>
      <c r="AE494" s="8"/>
      <c r="AF494" s="8"/>
      <c r="AG494" s="8"/>
    </row>
    <row r="495" spans="1:33" s="4" customFormat="1" ht="12.75">
      <c r="A495" s="116" t="s">
        <v>721</v>
      </c>
      <c r="B495" s="117" t="s">
        <v>664</v>
      </c>
      <c r="C495" s="117" t="s">
        <v>1095</v>
      </c>
      <c r="D495" s="117"/>
      <c r="E495" s="118" t="s">
        <v>666</v>
      </c>
      <c r="F495" s="130">
        <f t="shared" si="122"/>
        <v>4320508</v>
      </c>
      <c r="G495" s="130">
        <f>G496+G497</f>
        <v>4320508</v>
      </c>
      <c r="H495" s="130">
        <f>H496+H497</f>
        <v>0</v>
      </c>
      <c r="I495" s="130">
        <f>I496+I497</f>
        <v>0</v>
      </c>
      <c r="J495" s="130">
        <f>J496+J497</f>
        <v>0</v>
      </c>
      <c r="K495" s="18">
        <f t="shared" si="123"/>
        <v>194830</v>
      </c>
      <c r="L495" s="130">
        <f>L496+L497</f>
        <v>94830</v>
      </c>
      <c r="M495" s="130">
        <f>M496+M497</f>
        <v>0</v>
      </c>
      <c r="N495" s="130">
        <f>N496+N497</f>
        <v>0</v>
      </c>
      <c r="O495" s="130">
        <f>O496+O497</f>
        <v>100000</v>
      </c>
      <c r="P495" s="130">
        <f>P496+P497</f>
        <v>100000</v>
      </c>
      <c r="Q495" s="130">
        <f t="shared" si="124"/>
        <v>4515338</v>
      </c>
      <c r="R495" s="8"/>
      <c r="S495" s="8"/>
      <c r="T495" s="8"/>
      <c r="U495" s="8"/>
      <c r="V495" s="8"/>
      <c r="W495" s="8"/>
      <c r="X495" s="8"/>
      <c r="Y495" s="8"/>
      <c r="Z495" s="8"/>
      <c r="AA495" s="8"/>
      <c r="AB495" s="8"/>
      <c r="AC495" s="8"/>
      <c r="AD495" s="8"/>
      <c r="AE495" s="8"/>
      <c r="AF495" s="8"/>
      <c r="AG495" s="8"/>
    </row>
    <row r="496" spans="1:17" s="2" customFormat="1" ht="46.5" customHeight="1">
      <c r="A496" s="112" t="s">
        <v>771</v>
      </c>
      <c r="B496" s="112" t="s">
        <v>322</v>
      </c>
      <c r="C496" s="112" t="s">
        <v>1096</v>
      </c>
      <c r="D496" s="112" t="s">
        <v>607</v>
      </c>
      <c r="E496" s="113" t="s">
        <v>329</v>
      </c>
      <c r="F496" s="121">
        <f t="shared" si="122"/>
        <v>2989802</v>
      </c>
      <c r="G496" s="121">
        <f>2749802+(200000)+(40000)</f>
        <v>2989802</v>
      </c>
      <c r="H496" s="121"/>
      <c r="I496" s="121"/>
      <c r="J496" s="121"/>
      <c r="K496" s="18">
        <f t="shared" si="123"/>
        <v>0</v>
      </c>
      <c r="L496" s="121"/>
      <c r="M496" s="121"/>
      <c r="N496" s="121"/>
      <c r="O496" s="121"/>
      <c r="P496" s="121"/>
      <c r="Q496" s="121">
        <f t="shared" si="124"/>
        <v>2989802</v>
      </c>
    </row>
    <row r="497" spans="1:17" s="2" customFormat="1" ht="12.75">
      <c r="A497" s="7" t="s">
        <v>404</v>
      </c>
      <c r="B497" s="7" t="s">
        <v>123</v>
      </c>
      <c r="C497" s="7" t="s">
        <v>1107</v>
      </c>
      <c r="D497" s="7" t="s">
        <v>608</v>
      </c>
      <c r="E497" s="3" t="s">
        <v>125</v>
      </c>
      <c r="F497" s="18">
        <f t="shared" si="122"/>
        <v>1330706</v>
      </c>
      <c r="G497" s="18">
        <v>1330706</v>
      </c>
      <c r="H497" s="18"/>
      <c r="I497" s="18"/>
      <c r="J497" s="18"/>
      <c r="K497" s="18">
        <f t="shared" si="123"/>
        <v>194830</v>
      </c>
      <c r="L497" s="18">
        <v>94830</v>
      </c>
      <c r="M497" s="18"/>
      <c r="N497" s="18"/>
      <c r="O497" s="18">
        <f>P497</f>
        <v>100000</v>
      </c>
      <c r="P497" s="18">
        <v>100000</v>
      </c>
      <c r="Q497" s="19">
        <f t="shared" si="124"/>
        <v>1525536</v>
      </c>
    </row>
    <row r="498" spans="1:17" s="2" customFormat="1" ht="12.75">
      <c r="A498" s="112" t="s">
        <v>726</v>
      </c>
      <c r="B498" s="111" t="s">
        <v>629</v>
      </c>
      <c r="C498" s="111" t="s">
        <v>1021</v>
      </c>
      <c r="D498" s="111"/>
      <c r="E498" s="127" t="s">
        <v>631</v>
      </c>
      <c r="F498" s="123">
        <f t="shared" si="122"/>
        <v>0</v>
      </c>
      <c r="G498" s="123">
        <f>G499</f>
        <v>0</v>
      </c>
      <c r="H498" s="123">
        <f>H499</f>
        <v>0</v>
      </c>
      <c r="I498" s="123">
        <f>I499</f>
        <v>0</v>
      </c>
      <c r="J498" s="123">
        <f>J499</f>
        <v>0</v>
      </c>
      <c r="K498" s="18">
        <f t="shared" si="123"/>
        <v>7170966</v>
      </c>
      <c r="L498" s="123">
        <f>L499</f>
        <v>0</v>
      </c>
      <c r="M498" s="123">
        <f>M499</f>
        <v>0</v>
      </c>
      <c r="N498" s="123">
        <f>N499</f>
        <v>0</v>
      </c>
      <c r="O498" s="123">
        <f>O499</f>
        <v>7170966</v>
      </c>
      <c r="P498" s="123">
        <f>P499</f>
        <v>7170966</v>
      </c>
      <c r="Q498" s="123">
        <f t="shared" si="124"/>
        <v>7170966</v>
      </c>
    </row>
    <row r="499" spans="1:17" s="2" customFormat="1" ht="25.5">
      <c r="A499" s="78" t="s">
        <v>325</v>
      </c>
      <c r="B499" s="75" t="s">
        <v>87</v>
      </c>
      <c r="C499" s="59" t="s">
        <v>981</v>
      </c>
      <c r="D499" s="59" t="s">
        <v>577</v>
      </c>
      <c r="E499" s="86" t="s">
        <v>174</v>
      </c>
      <c r="F499" s="18">
        <f t="shared" si="122"/>
        <v>0</v>
      </c>
      <c r="G499" s="18"/>
      <c r="H499" s="18"/>
      <c r="I499" s="18"/>
      <c r="J499" s="18"/>
      <c r="K499" s="18">
        <f t="shared" si="123"/>
        <v>7170966</v>
      </c>
      <c r="L499" s="18"/>
      <c r="M499" s="18"/>
      <c r="N499" s="18"/>
      <c r="O499" s="18">
        <f>P499</f>
        <v>7170966</v>
      </c>
      <c r="P499" s="18">
        <f>6000000+577500+593466</f>
        <v>7170966</v>
      </c>
      <c r="Q499" s="19">
        <f t="shared" si="124"/>
        <v>7170966</v>
      </c>
    </row>
    <row r="500" spans="1:17" s="2" customFormat="1" ht="25.5">
      <c r="A500" s="116" t="s">
        <v>725</v>
      </c>
      <c r="B500" s="116" t="s">
        <v>635</v>
      </c>
      <c r="C500" s="116" t="s">
        <v>1022</v>
      </c>
      <c r="D500" s="116"/>
      <c r="E500" s="125" t="s">
        <v>636</v>
      </c>
      <c r="F500" s="121">
        <f t="shared" si="122"/>
        <v>163557</v>
      </c>
      <c r="G500" s="121">
        <f>G501</f>
        <v>163557</v>
      </c>
      <c r="H500" s="121">
        <f>H501</f>
        <v>0</v>
      </c>
      <c r="I500" s="121">
        <f>I501</f>
        <v>0</v>
      </c>
      <c r="J500" s="121">
        <f>J501</f>
        <v>0</v>
      </c>
      <c r="K500" s="18">
        <f t="shared" si="123"/>
        <v>0</v>
      </c>
      <c r="L500" s="121">
        <f>L501</f>
        <v>0</v>
      </c>
      <c r="M500" s="121">
        <f>M501</f>
        <v>0</v>
      </c>
      <c r="N500" s="121">
        <f>N501</f>
        <v>0</v>
      </c>
      <c r="O500" s="121">
        <f>O501</f>
        <v>0</v>
      </c>
      <c r="P500" s="121">
        <f>P501</f>
        <v>0</v>
      </c>
      <c r="Q500" s="121">
        <f t="shared" si="124"/>
        <v>163557</v>
      </c>
    </row>
    <row r="501" spans="1:17" s="2" customFormat="1" ht="12.75">
      <c r="A501" s="89" t="s">
        <v>426</v>
      </c>
      <c r="B501" s="89" t="s">
        <v>54</v>
      </c>
      <c r="C501" s="89" t="s">
        <v>1094</v>
      </c>
      <c r="D501" s="89" t="s">
        <v>578</v>
      </c>
      <c r="E501" s="99" t="s">
        <v>417</v>
      </c>
      <c r="F501" s="92">
        <f t="shared" si="122"/>
        <v>163557</v>
      </c>
      <c r="G501" s="92">
        <f>SUM(G502:G510)</f>
        <v>163557</v>
      </c>
      <c r="H501" s="92">
        <f>SUM(H502:H510)</f>
        <v>0</v>
      </c>
      <c r="I501" s="92">
        <f>SUM(I502:I510)</f>
        <v>0</v>
      </c>
      <c r="J501" s="92">
        <f>SUM(J502:J510)</f>
        <v>0</v>
      </c>
      <c r="K501" s="18">
        <f t="shared" si="123"/>
        <v>0</v>
      </c>
      <c r="L501" s="92">
        <f>SUM(L502:L510)</f>
        <v>0</v>
      </c>
      <c r="M501" s="92">
        <f>SUM(M502:M510)</f>
        <v>0</v>
      </c>
      <c r="N501" s="92">
        <f>SUM(N502:N510)</f>
        <v>0</v>
      </c>
      <c r="O501" s="92">
        <f>SUM(O502:O510)</f>
        <v>0</v>
      </c>
      <c r="P501" s="92">
        <f>SUM(P502:P510)</f>
        <v>0</v>
      </c>
      <c r="Q501" s="95">
        <f t="shared" si="124"/>
        <v>163557</v>
      </c>
    </row>
    <row r="502" spans="1:17" ht="56.25" customHeight="1" hidden="1">
      <c r="A502" s="59" t="s">
        <v>933</v>
      </c>
      <c r="B502" s="50" t="s">
        <v>54</v>
      </c>
      <c r="C502" s="50" t="s">
        <v>985</v>
      </c>
      <c r="D502" s="50" t="s">
        <v>578</v>
      </c>
      <c r="E502" s="48" t="s">
        <v>178</v>
      </c>
      <c r="F502" s="26">
        <f>G502+J502</f>
        <v>0</v>
      </c>
      <c r="G502" s="27"/>
      <c r="H502" s="27"/>
      <c r="I502" s="27"/>
      <c r="J502" s="27"/>
      <c r="K502" s="26">
        <f>L502+O502</f>
        <v>0</v>
      </c>
      <c r="L502" s="27"/>
      <c r="M502" s="27"/>
      <c r="N502" s="27"/>
      <c r="O502" s="27"/>
      <c r="P502" s="27"/>
      <c r="Q502" s="26">
        <f>F502+K502</f>
        <v>0</v>
      </c>
    </row>
    <row r="503" spans="1:17" s="181" customFormat="1" ht="41.25" customHeight="1" hidden="1">
      <c r="A503" s="170" t="s">
        <v>369</v>
      </c>
      <c r="B503" s="171" t="s">
        <v>54</v>
      </c>
      <c r="C503" s="170" t="s">
        <v>986</v>
      </c>
      <c r="D503" s="170" t="s">
        <v>578</v>
      </c>
      <c r="E503" s="178" t="s">
        <v>854</v>
      </c>
      <c r="F503" s="173">
        <f aca="true" t="shared" si="125" ref="F503:F510">G503+J503</f>
        <v>38400</v>
      </c>
      <c r="G503" s="180">
        <v>38400</v>
      </c>
      <c r="H503" s="180"/>
      <c r="I503" s="180"/>
      <c r="J503" s="180"/>
      <c r="K503" s="173">
        <f aca="true" t="shared" si="126" ref="K503:K511">L503+O503</f>
        <v>0</v>
      </c>
      <c r="L503" s="173"/>
      <c r="M503" s="173"/>
      <c r="N503" s="173"/>
      <c r="O503" s="173"/>
      <c r="P503" s="173"/>
      <c r="Q503" s="173">
        <f aca="true" t="shared" si="127" ref="Q503:Q511">F503+K503</f>
        <v>38400</v>
      </c>
    </row>
    <row r="504" spans="1:17" s="169" customFormat="1" ht="51" customHeight="1" hidden="1">
      <c r="A504" s="170" t="s">
        <v>398</v>
      </c>
      <c r="B504" s="170" t="s">
        <v>54</v>
      </c>
      <c r="C504" s="170" t="s">
        <v>987</v>
      </c>
      <c r="D504" s="170" t="s">
        <v>578</v>
      </c>
      <c r="E504" s="178" t="s">
        <v>334</v>
      </c>
      <c r="F504" s="173">
        <f t="shared" si="125"/>
        <v>56738</v>
      </c>
      <c r="G504" s="173">
        <v>56738</v>
      </c>
      <c r="H504" s="173"/>
      <c r="I504" s="173"/>
      <c r="J504" s="173"/>
      <c r="K504" s="173">
        <f t="shared" si="126"/>
        <v>0</v>
      </c>
      <c r="L504" s="173"/>
      <c r="M504" s="173"/>
      <c r="N504" s="173"/>
      <c r="O504" s="173"/>
      <c r="P504" s="173"/>
      <c r="Q504" s="173">
        <f t="shared" si="127"/>
        <v>56738</v>
      </c>
    </row>
    <row r="505" spans="1:17" s="169" customFormat="1" ht="50.25" customHeight="1" hidden="1">
      <c r="A505" s="170" t="s">
        <v>934</v>
      </c>
      <c r="B505" s="170" t="s">
        <v>54</v>
      </c>
      <c r="C505" s="170" t="s">
        <v>988</v>
      </c>
      <c r="D505" s="170" t="s">
        <v>578</v>
      </c>
      <c r="E505" s="178" t="s">
        <v>480</v>
      </c>
      <c r="F505" s="173">
        <f t="shared" si="125"/>
        <v>0</v>
      </c>
      <c r="G505" s="173"/>
      <c r="H505" s="173"/>
      <c r="I505" s="173"/>
      <c r="J505" s="173"/>
      <c r="K505" s="173">
        <f t="shared" si="126"/>
        <v>0</v>
      </c>
      <c r="L505" s="173"/>
      <c r="M505" s="173"/>
      <c r="N505" s="173"/>
      <c r="O505" s="173"/>
      <c r="P505" s="173"/>
      <c r="Q505" s="173">
        <f t="shared" si="127"/>
        <v>0</v>
      </c>
    </row>
    <row r="506" spans="1:17" s="169" customFormat="1" ht="53.25" customHeight="1" hidden="1">
      <c r="A506" s="170" t="s">
        <v>473</v>
      </c>
      <c r="B506" s="170" t="s">
        <v>54</v>
      </c>
      <c r="C506" s="170" t="s">
        <v>989</v>
      </c>
      <c r="D506" s="170" t="s">
        <v>578</v>
      </c>
      <c r="E506" s="178" t="s">
        <v>363</v>
      </c>
      <c r="F506" s="173">
        <f t="shared" si="125"/>
        <v>0</v>
      </c>
      <c r="G506" s="173"/>
      <c r="H506" s="173"/>
      <c r="I506" s="173"/>
      <c r="J506" s="173"/>
      <c r="K506" s="173">
        <f t="shared" si="126"/>
        <v>0</v>
      </c>
      <c r="L506" s="173"/>
      <c r="M506" s="173"/>
      <c r="N506" s="173"/>
      <c r="O506" s="173"/>
      <c r="P506" s="173"/>
      <c r="Q506" s="173">
        <f t="shared" si="127"/>
        <v>0</v>
      </c>
    </row>
    <row r="507" spans="1:17" s="169" customFormat="1" ht="51" hidden="1">
      <c r="A507" s="170" t="s">
        <v>465</v>
      </c>
      <c r="B507" s="170" t="s">
        <v>54</v>
      </c>
      <c r="C507" s="170" t="s">
        <v>990</v>
      </c>
      <c r="D507" s="170" t="s">
        <v>578</v>
      </c>
      <c r="E507" s="178" t="s">
        <v>321</v>
      </c>
      <c r="F507" s="173">
        <f t="shared" si="125"/>
        <v>49999</v>
      </c>
      <c r="G507" s="173">
        <v>49999</v>
      </c>
      <c r="H507" s="173"/>
      <c r="I507" s="173"/>
      <c r="J507" s="173"/>
      <c r="K507" s="173">
        <f t="shared" si="126"/>
        <v>0</v>
      </c>
      <c r="L507" s="173"/>
      <c r="M507" s="173"/>
      <c r="N507" s="173"/>
      <c r="O507" s="173"/>
      <c r="P507" s="173"/>
      <c r="Q507" s="173">
        <f t="shared" si="127"/>
        <v>49999</v>
      </c>
    </row>
    <row r="508" spans="1:17" s="169" customFormat="1" ht="102" customHeight="1" hidden="1">
      <c r="A508" s="170" t="s">
        <v>935</v>
      </c>
      <c r="B508" s="170" t="s">
        <v>54</v>
      </c>
      <c r="C508" s="170" t="s">
        <v>991</v>
      </c>
      <c r="D508" s="170" t="s">
        <v>578</v>
      </c>
      <c r="E508" s="178" t="s">
        <v>367</v>
      </c>
      <c r="F508" s="173">
        <f t="shared" si="125"/>
        <v>0</v>
      </c>
      <c r="G508" s="176"/>
      <c r="H508" s="176"/>
      <c r="I508" s="176"/>
      <c r="J508" s="176"/>
      <c r="K508" s="173">
        <f t="shared" si="126"/>
        <v>0</v>
      </c>
      <c r="L508" s="176"/>
      <c r="M508" s="176"/>
      <c r="N508" s="176"/>
      <c r="O508" s="176"/>
      <c r="P508" s="176"/>
      <c r="Q508" s="173">
        <f t="shared" si="127"/>
        <v>0</v>
      </c>
    </row>
    <row r="509" spans="1:17" s="169" customFormat="1" ht="25.5" hidden="1">
      <c r="A509" s="170" t="s">
        <v>445</v>
      </c>
      <c r="B509" s="170" t="s">
        <v>54</v>
      </c>
      <c r="C509" s="170" t="s">
        <v>992</v>
      </c>
      <c r="D509" s="170" t="s">
        <v>578</v>
      </c>
      <c r="E509" s="178" t="s">
        <v>887</v>
      </c>
      <c r="F509" s="173">
        <f t="shared" si="125"/>
        <v>18420</v>
      </c>
      <c r="G509" s="176">
        <v>18420</v>
      </c>
      <c r="H509" s="176"/>
      <c r="I509" s="176"/>
      <c r="J509" s="176"/>
      <c r="K509" s="173">
        <f t="shared" si="126"/>
        <v>0</v>
      </c>
      <c r="L509" s="176"/>
      <c r="M509" s="176"/>
      <c r="N509" s="176"/>
      <c r="O509" s="176"/>
      <c r="P509" s="176"/>
      <c r="Q509" s="173">
        <f t="shared" si="127"/>
        <v>18420</v>
      </c>
    </row>
    <row r="510" spans="1:17" s="43" customFormat="1" ht="15" customHeight="1" hidden="1">
      <c r="A510" s="59" t="s">
        <v>936</v>
      </c>
      <c r="B510" s="31" t="s">
        <v>54</v>
      </c>
      <c r="C510" s="59" t="s">
        <v>1132</v>
      </c>
      <c r="D510" s="59" t="s">
        <v>578</v>
      </c>
      <c r="E510" s="48" t="s">
        <v>835</v>
      </c>
      <c r="F510" s="26">
        <f t="shared" si="125"/>
        <v>0</v>
      </c>
      <c r="G510" s="26"/>
      <c r="H510" s="26"/>
      <c r="I510" s="26"/>
      <c r="J510" s="26"/>
      <c r="K510" s="26">
        <f t="shared" si="126"/>
        <v>0</v>
      </c>
      <c r="L510" s="26"/>
      <c r="M510" s="26"/>
      <c r="N510" s="26"/>
      <c r="O510" s="26"/>
      <c r="P510" s="26"/>
      <c r="Q510" s="26">
        <f t="shared" si="127"/>
        <v>0</v>
      </c>
    </row>
    <row r="511" spans="1:17" s="2" customFormat="1" ht="12.75" hidden="1">
      <c r="A511" s="112" t="s">
        <v>722</v>
      </c>
      <c r="B511" s="112" t="s">
        <v>98</v>
      </c>
      <c r="C511" s="112" t="s">
        <v>1016</v>
      </c>
      <c r="D511" s="112"/>
      <c r="E511" s="115" t="s">
        <v>99</v>
      </c>
      <c r="F511" s="123">
        <f>G511+J511</f>
        <v>0</v>
      </c>
      <c r="G511" s="123">
        <f>G512</f>
        <v>0</v>
      </c>
      <c r="H511" s="123">
        <f aca="true" t="shared" si="128" ref="H511:J512">H512</f>
        <v>0</v>
      </c>
      <c r="I511" s="123">
        <f t="shared" si="128"/>
        <v>0</v>
      </c>
      <c r="J511" s="123">
        <f t="shared" si="128"/>
        <v>0</v>
      </c>
      <c r="K511" s="26">
        <f t="shared" si="126"/>
        <v>0</v>
      </c>
      <c r="L511" s="123">
        <f aca="true" t="shared" si="129" ref="L511:P512">L512</f>
        <v>0</v>
      </c>
      <c r="M511" s="123">
        <f t="shared" si="129"/>
        <v>0</v>
      </c>
      <c r="N511" s="123">
        <f t="shared" si="129"/>
        <v>0</v>
      </c>
      <c r="O511" s="123">
        <f t="shared" si="129"/>
        <v>0</v>
      </c>
      <c r="P511" s="123">
        <f t="shared" si="129"/>
        <v>0</v>
      </c>
      <c r="Q511" s="123">
        <f t="shared" si="127"/>
        <v>0</v>
      </c>
    </row>
    <row r="512" spans="1:17" s="2" customFormat="1" ht="50.25" customHeight="1" hidden="1">
      <c r="A512" s="85" t="s">
        <v>723</v>
      </c>
      <c r="B512" s="93" t="s">
        <v>53</v>
      </c>
      <c r="C512" s="93" t="s">
        <v>993</v>
      </c>
      <c r="D512" s="93"/>
      <c r="E512" s="94" t="s">
        <v>432</v>
      </c>
      <c r="F512" s="97">
        <f>G512+J512</f>
        <v>0</v>
      </c>
      <c r="G512" s="97">
        <f>G513</f>
        <v>0</v>
      </c>
      <c r="H512" s="97">
        <f t="shared" si="128"/>
        <v>0</v>
      </c>
      <c r="I512" s="97">
        <f t="shared" si="128"/>
        <v>0</v>
      </c>
      <c r="J512" s="97">
        <f t="shared" si="128"/>
        <v>0</v>
      </c>
      <c r="K512" s="18">
        <f>L512+O512</f>
        <v>0</v>
      </c>
      <c r="L512" s="97">
        <f t="shared" si="129"/>
        <v>0</v>
      </c>
      <c r="M512" s="97">
        <f t="shared" si="129"/>
        <v>0</v>
      </c>
      <c r="N512" s="97">
        <f t="shared" si="129"/>
        <v>0</v>
      </c>
      <c r="O512" s="97">
        <f t="shared" si="129"/>
        <v>0</v>
      </c>
      <c r="P512" s="97">
        <f t="shared" si="129"/>
        <v>0</v>
      </c>
      <c r="Q512" s="98">
        <f>F512+K512</f>
        <v>0</v>
      </c>
    </row>
    <row r="513" spans="1:17" s="2" customFormat="1" ht="25.5" hidden="1">
      <c r="A513" s="7" t="s">
        <v>724</v>
      </c>
      <c r="B513" s="7" t="s">
        <v>53</v>
      </c>
      <c r="C513" s="7" t="s">
        <v>994</v>
      </c>
      <c r="D513" s="7" t="s">
        <v>578</v>
      </c>
      <c r="E513" s="48" t="s">
        <v>175</v>
      </c>
      <c r="F513" s="18">
        <f>G513+J513</f>
        <v>0</v>
      </c>
      <c r="G513" s="18"/>
      <c r="H513" s="18"/>
      <c r="I513" s="18"/>
      <c r="J513" s="18"/>
      <c r="K513" s="18">
        <f>L513+O513</f>
        <v>0</v>
      </c>
      <c r="L513" s="18"/>
      <c r="M513" s="18"/>
      <c r="N513" s="18"/>
      <c r="O513" s="18"/>
      <c r="P513" s="18"/>
      <c r="Q513" s="19">
        <f>F513+K513</f>
        <v>0</v>
      </c>
    </row>
    <row r="514" spans="1:17" s="41" customFormat="1" ht="38.25">
      <c r="A514" s="62" t="s">
        <v>293</v>
      </c>
      <c r="B514" s="62" t="s">
        <v>147</v>
      </c>
      <c r="C514" s="62" t="s">
        <v>147</v>
      </c>
      <c r="D514" s="62"/>
      <c r="E514" s="13" t="s">
        <v>790</v>
      </c>
      <c r="F514" s="40">
        <f>G514+J514</f>
        <v>11375499</v>
      </c>
      <c r="G514" s="40">
        <f>G515</f>
        <v>11375499</v>
      </c>
      <c r="H514" s="40">
        <f>H515</f>
        <v>4106371</v>
      </c>
      <c r="I514" s="40">
        <f>I515</f>
        <v>478095</v>
      </c>
      <c r="J514" s="40">
        <f>J515</f>
        <v>0</v>
      </c>
      <c r="K514" s="40">
        <f>L514+O514</f>
        <v>15307557</v>
      </c>
      <c r="L514" s="40">
        <f>L515</f>
        <v>35149</v>
      </c>
      <c r="M514" s="40">
        <f>M515</f>
        <v>0</v>
      </c>
      <c r="N514" s="40">
        <f>N515</f>
        <v>0</v>
      </c>
      <c r="O514" s="40">
        <f>O515</f>
        <v>15272408</v>
      </c>
      <c r="P514" s="40">
        <f>P515</f>
        <v>11301456</v>
      </c>
      <c r="Q514" s="40">
        <f>F514+K514</f>
        <v>26683056</v>
      </c>
    </row>
    <row r="515" spans="1:17" s="43" customFormat="1" ht="38.25">
      <c r="A515" s="59" t="s">
        <v>294</v>
      </c>
      <c r="B515" s="31"/>
      <c r="C515" s="31"/>
      <c r="D515" s="31"/>
      <c r="E515" s="49" t="s">
        <v>790</v>
      </c>
      <c r="F515" s="32">
        <f>G515+J515</f>
        <v>11375499</v>
      </c>
      <c r="G515" s="32">
        <f>G516+G518+G521+G523+G534</f>
        <v>11375499</v>
      </c>
      <c r="H515" s="32">
        <f>H516+H518+H521+H523+H534</f>
        <v>4106371</v>
      </c>
      <c r="I515" s="32">
        <f>I516+I518+I521+I523+I534</f>
        <v>478095</v>
      </c>
      <c r="J515" s="32">
        <f>J516+J518+J521+J523+J534</f>
        <v>0</v>
      </c>
      <c r="K515" s="32">
        <f>L515+O515</f>
        <v>15307557</v>
      </c>
      <c r="L515" s="32">
        <f>L516+L518+L521+L523+L534</f>
        <v>35149</v>
      </c>
      <c r="M515" s="32">
        <f>M516+M518+M521+M523+M534</f>
        <v>0</v>
      </c>
      <c r="N515" s="32">
        <f>N516+N518+N521+N523+N534</f>
        <v>0</v>
      </c>
      <c r="O515" s="32">
        <f>O516+O518+O521+O523+O534</f>
        <v>15272408</v>
      </c>
      <c r="P515" s="32">
        <f>P516+P518+P521+P523+P534</f>
        <v>11301456</v>
      </c>
      <c r="Q515" s="32">
        <f>F515+K515</f>
        <v>26683056</v>
      </c>
    </row>
    <row r="516" spans="1:17" s="43" customFormat="1" ht="12.75">
      <c r="A516" s="111" t="s">
        <v>727</v>
      </c>
      <c r="B516" s="111" t="s">
        <v>672</v>
      </c>
      <c r="C516" s="111" t="s">
        <v>973</v>
      </c>
      <c r="D516" s="111"/>
      <c r="E516" s="127" t="s">
        <v>674</v>
      </c>
      <c r="F516" s="32">
        <f aca="true" t="shared" si="130" ref="F516:F533">G516+J516</f>
        <v>7367255</v>
      </c>
      <c r="G516" s="131">
        <f>G517</f>
        <v>7367255</v>
      </c>
      <c r="H516" s="131">
        <f>H517</f>
        <v>4106371</v>
      </c>
      <c r="I516" s="131">
        <f>I517</f>
        <v>478095</v>
      </c>
      <c r="J516" s="131">
        <f>J517</f>
        <v>0</v>
      </c>
      <c r="K516" s="32">
        <f aca="true" t="shared" si="131" ref="K516:K533">L516+O516</f>
        <v>100157</v>
      </c>
      <c r="L516" s="131">
        <f>L517</f>
        <v>35149</v>
      </c>
      <c r="M516" s="131">
        <f>M517</f>
        <v>0</v>
      </c>
      <c r="N516" s="131">
        <f>N517</f>
        <v>0</v>
      </c>
      <c r="O516" s="131">
        <f>O517</f>
        <v>65008</v>
      </c>
      <c r="P516" s="131">
        <f>P517</f>
        <v>65008</v>
      </c>
      <c r="Q516" s="32">
        <f aca="true" t="shared" si="132" ref="Q516:Q533">F516+K516</f>
        <v>7467412</v>
      </c>
    </row>
    <row r="517" spans="1:17" s="43" customFormat="1" ht="63.75">
      <c r="A517" s="59" t="s">
        <v>23</v>
      </c>
      <c r="B517" s="47" t="s">
        <v>33</v>
      </c>
      <c r="C517" s="59" t="s">
        <v>614</v>
      </c>
      <c r="D517" s="59" t="s">
        <v>575</v>
      </c>
      <c r="E517" s="51" t="s">
        <v>889</v>
      </c>
      <c r="F517" s="32">
        <f t="shared" si="130"/>
        <v>7367255</v>
      </c>
      <c r="G517" s="32">
        <f>6206893+(1437489)-277127</f>
        <v>7367255</v>
      </c>
      <c r="H517" s="32">
        <v>4106371</v>
      </c>
      <c r="I517" s="32">
        <v>478095</v>
      </c>
      <c r="J517" s="32"/>
      <c r="K517" s="32">
        <f t="shared" si="131"/>
        <v>100157</v>
      </c>
      <c r="L517" s="32">
        <f>33578+1571</f>
        <v>35149</v>
      </c>
      <c r="M517" s="32"/>
      <c r="N517" s="32"/>
      <c r="O517" s="32">
        <f>P517</f>
        <v>65008</v>
      </c>
      <c r="P517" s="32">
        <v>65008</v>
      </c>
      <c r="Q517" s="32">
        <f t="shared" si="132"/>
        <v>7467412</v>
      </c>
    </row>
    <row r="518" spans="1:17" s="43" customFormat="1" ht="12.75">
      <c r="A518" s="116" t="s">
        <v>728</v>
      </c>
      <c r="B518" s="116" t="s">
        <v>664</v>
      </c>
      <c r="C518" s="116" t="s">
        <v>1095</v>
      </c>
      <c r="D518" s="116"/>
      <c r="E518" s="118" t="s">
        <v>666</v>
      </c>
      <c r="F518" s="32">
        <f t="shared" si="130"/>
        <v>3646756</v>
      </c>
      <c r="G518" s="132">
        <f>G519+G520</f>
        <v>3646756</v>
      </c>
      <c r="H518" s="132">
        <f>H519+H520</f>
        <v>0</v>
      </c>
      <c r="I518" s="132">
        <f>I519+I520</f>
        <v>0</v>
      </c>
      <c r="J518" s="132">
        <f>J519+J520</f>
        <v>0</v>
      </c>
      <c r="K518" s="32">
        <f t="shared" si="131"/>
        <v>839905</v>
      </c>
      <c r="L518" s="132">
        <f>L519+L520</f>
        <v>0</v>
      </c>
      <c r="M518" s="132">
        <f>M519+M520</f>
        <v>0</v>
      </c>
      <c r="N518" s="132">
        <f>N519+N520</f>
        <v>0</v>
      </c>
      <c r="O518" s="132">
        <f>O519+O520</f>
        <v>839905</v>
      </c>
      <c r="P518" s="132">
        <f>P519+P520</f>
        <v>618953</v>
      </c>
      <c r="Q518" s="32">
        <f t="shared" si="132"/>
        <v>4486661</v>
      </c>
    </row>
    <row r="519" spans="1:17" s="2" customFormat="1" ht="51">
      <c r="A519" s="112" t="s">
        <v>772</v>
      </c>
      <c r="B519" s="112" t="s">
        <v>322</v>
      </c>
      <c r="C519" s="112" t="s">
        <v>1096</v>
      </c>
      <c r="D519" s="112" t="s">
        <v>607</v>
      </c>
      <c r="E519" s="113" t="s">
        <v>329</v>
      </c>
      <c r="F519" s="32">
        <f t="shared" si="130"/>
        <v>2016970</v>
      </c>
      <c r="G519" s="121">
        <v>2016970</v>
      </c>
      <c r="H519" s="121"/>
      <c r="I519" s="121"/>
      <c r="J519" s="121"/>
      <c r="K519" s="32">
        <f t="shared" si="131"/>
        <v>0</v>
      </c>
      <c r="L519" s="121"/>
      <c r="M519" s="121"/>
      <c r="N519" s="121"/>
      <c r="O519" s="121"/>
      <c r="P519" s="121"/>
      <c r="Q519" s="32">
        <f t="shared" si="132"/>
        <v>2016970</v>
      </c>
    </row>
    <row r="520" spans="1:17" s="2" customFormat="1" ht="12.75">
      <c r="A520" s="7" t="s">
        <v>405</v>
      </c>
      <c r="B520" s="7" t="s">
        <v>123</v>
      </c>
      <c r="C520" s="7" t="s">
        <v>1107</v>
      </c>
      <c r="D520" s="7" t="s">
        <v>608</v>
      </c>
      <c r="E520" s="3" t="s">
        <v>125</v>
      </c>
      <c r="F520" s="32">
        <f t="shared" si="130"/>
        <v>1629786</v>
      </c>
      <c r="G520" s="18">
        <f>1558746+71040</f>
        <v>1629786</v>
      </c>
      <c r="H520" s="18"/>
      <c r="I520" s="18"/>
      <c r="J520" s="18"/>
      <c r="K520" s="32">
        <f t="shared" si="131"/>
        <v>839905</v>
      </c>
      <c r="L520" s="18"/>
      <c r="M520" s="18"/>
      <c r="N520" s="18"/>
      <c r="O520" s="18">
        <f>P520+220952</f>
        <v>839905</v>
      </c>
      <c r="P520" s="18">
        <f>530490+88463</f>
        <v>618953</v>
      </c>
      <c r="Q520" s="32">
        <f t="shared" si="132"/>
        <v>2469691</v>
      </c>
    </row>
    <row r="521" spans="1:17" s="2" customFormat="1" ht="12.75">
      <c r="A521" s="112" t="s">
        <v>729</v>
      </c>
      <c r="B521" s="111" t="s">
        <v>629</v>
      </c>
      <c r="C521" s="111" t="s">
        <v>1021</v>
      </c>
      <c r="D521" s="111"/>
      <c r="E521" s="127" t="s">
        <v>631</v>
      </c>
      <c r="F521" s="32">
        <f t="shared" si="130"/>
        <v>0</v>
      </c>
      <c r="G521" s="123">
        <f>G522</f>
        <v>0</v>
      </c>
      <c r="H521" s="123">
        <f>H522</f>
        <v>0</v>
      </c>
      <c r="I521" s="123">
        <f>I522</f>
        <v>0</v>
      </c>
      <c r="J521" s="123">
        <f>J522</f>
        <v>0</v>
      </c>
      <c r="K521" s="32">
        <f t="shared" si="131"/>
        <v>10617495</v>
      </c>
      <c r="L521" s="123">
        <f>L522</f>
        <v>0</v>
      </c>
      <c r="M521" s="123">
        <f>M522</f>
        <v>0</v>
      </c>
      <c r="N521" s="123">
        <f>N522</f>
        <v>0</v>
      </c>
      <c r="O521" s="123">
        <f>O522</f>
        <v>10617495</v>
      </c>
      <c r="P521" s="123">
        <f>P522</f>
        <v>10617495</v>
      </c>
      <c r="Q521" s="32">
        <f t="shared" si="132"/>
        <v>10617495</v>
      </c>
    </row>
    <row r="522" spans="1:17" s="2" customFormat="1" ht="25.5">
      <c r="A522" s="50" t="s">
        <v>295</v>
      </c>
      <c r="B522" s="28" t="s">
        <v>87</v>
      </c>
      <c r="C522" s="50" t="s">
        <v>981</v>
      </c>
      <c r="D522" s="50" t="s">
        <v>577</v>
      </c>
      <c r="E522" s="51" t="s">
        <v>174</v>
      </c>
      <c r="F522" s="32">
        <f t="shared" si="130"/>
        <v>0</v>
      </c>
      <c r="G522" s="27"/>
      <c r="H522" s="27"/>
      <c r="I522" s="27"/>
      <c r="J522" s="27"/>
      <c r="K522" s="32">
        <f t="shared" si="131"/>
        <v>10617495</v>
      </c>
      <c r="L522" s="27"/>
      <c r="M522" s="27"/>
      <c r="N522" s="27"/>
      <c r="O522" s="27">
        <f>P522</f>
        <v>10617495</v>
      </c>
      <c r="P522" s="27">
        <f>7830239+2170416+299800+317040</f>
        <v>10617495</v>
      </c>
      <c r="Q522" s="32">
        <f t="shared" si="132"/>
        <v>10617495</v>
      </c>
    </row>
    <row r="523" spans="1:17" s="2" customFormat="1" ht="27.75" customHeight="1">
      <c r="A523" s="116" t="s">
        <v>730</v>
      </c>
      <c r="B523" s="116" t="s">
        <v>635</v>
      </c>
      <c r="C523" s="116" t="s">
        <v>1022</v>
      </c>
      <c r="D523" s="116"/>
      <c r="E523" s="125" t="s">
        <v>636</v>
      </c>
      <c r="F523" s="121">
        <f t="shared" si="130"/>
        <v>361488</v>
      </c>
      <c r="G523" s="121">
        <f>G524</f>
        <v>361488</v>
      </c>
      <c r="H523" s="121">
        <f>H524</f>
        <v>0</v>
      </c>
      <c r="I523" s="121">
        <f>I524</f>
        <v>0</v>
      </c>
      <c r="J523" s="121">
        <f>J524</f>
        <v>0</v>
      </c>
      <c r="K523" s="32">
        <f t="shared" si="131"/>
        <v>0</v>
      </c>
      <c r="L523" s="121">
        <f>L524</f>
        <v>0</v>
      </c>
      <c r="M523" s="121">
        <f>M524</f>
        <v>0</v>
      </c>
      <c r="N523" s="121">
        <f>N524</f>
        <v>0</v>
      </c>
      <c r="O523" s="121">
        <f>O524</f>
        <v>0</v>
      </c>
      <c r="P523" s="121">
        <f>P524</f>
        <v>0</v>
      </c>
      <c r="Q523" s="121">
        <f t="shared" si="132"/>
        <v>361488</v>
      </c>
    </row>
    <row r="524" spans="1:17" s="2" customFormat="1" ht="12.75">
      <c r="A524" s="89" t="s">
        <v>427</v>
      </c>
      <c r="B524" s="89" t="s">
        <v>54</v>
      </c>
      <c r="C524" s="89" t="s">
        <v>1094</v>
      </c>
      <c r="D524" s="89" t="s">
        <v>578</v>
      </c>
      <c r="E524" s="99" t="s">
        <v>417</v>
      </c>
      <c r="F524" s="92">
        <f t="shared" si="130"/>
        <v>361488</v>
      </c>
      <c r="G524" s="92">
        <f>SUM(G525:G533)</f>
        <v>361488</v>
      </c>
      <c r="H524" s="92">
        <f>SUM(H525:H533)</f>
        <v>0</v>
      </c>
      <c r="I524" s="92">
        <f>SUM(I525:I533)</f>
        <v>0</v>
      </c>
      <c r="J524" s="92">
        <f>SUM(J525:J533)</f>
        <v>0</v>
      </c>
      <c r="K524" s="32">
        <f t="shared" si="131"/>
        <v>0</v>
      </c>
      <c r="L524" s="92">
        <f>SUM(L525:L533)</f>
        <v>0</v>
      </c>
      <c r="M524" s="92">
        <f>SUM(M525:M533)</f>
        <v>0</v>
      </c>
      <c r="N524" s="92">
        <f>SUM(N525:N533)</f>
        <v>0</v>
      </c>
      <c r="O524" s="92">
        <f>SUM(O525:O533)</f>
        <v>0</v>
      </c>
      <c r="P524" s="92">
        <f>SUM(P525:P533)</f>
        <v>0</v>
      </c>
      <c r="Q524" s="92">
        <f t="shared" si="132"/>
        <v>361488</v>
      </c>
    </row>
    <row r="525" spans="1:17" ht="56.25" customHeight="1" hidden="1">
      <c r="A525" s="59" t="s">
        <v>937</v>
      </c>
      <c r="B525" s="50" t="s">
        <v>54</v>
      </c>
      <c r="C525" s="50" t="s">
        <v>985</v>
      </c>
      <c r="D525" s="50" t="s">
        <v>578</v>
      </c>
      <c r="E525" s="48" t="s">
        <v>178</v>
      </c>
      <c r="F525" s="32">
        <f t="shared" si="130"/>
        <v>0</v>
      </c>
      <c r="G525" s="27"/>
      <c r="H525" s="27"/>
      <c r="I525" s="27"/>
      <c r="J525" s="27"/>
      <c r="K525" s="32">
        <f t="shared" si="131"/>
        <v>0</v>
      </c>
      <c r="L525" s="27"/>
      <c r="M525" s="27"/>
      <c r="N525" s="27"/>
      <c r="O525" s="27"/>
      <c r="P525" s="27"/>
      <c r="Q525" s="32">
        <f t="shared" si="132"/>
        <v>0</v>
      </c>
    </row>
    <row r="526" spans="1:17" s="181" customFormat="1" ht="41.25" customHeight="1" hidden="1">
      <c r="A526" s="170" t="s">
        <v>370</v>
      </c>
      <c r="B526" s="171" t="s">
        <v>54</v>
      </c>
      <c r="C526" s="170" t="s">
        <v>986</v>
      </c>
      <c r="D526" s="170" t="s">
        <v>578</v>
      </c>
      <c r="E526" s="178" t="s">
        <v>854</v>
      </c>
      <c r="F526" s="185">
        <f t="shared" si="130"/>
        <v>211200</v>
      </c>
      <c r="G526" s="180">
        <v>211200</v>
      </c>
      <c r="H526" s="180"/>
      <c r="I526" s="180"/>
      <c r="J526" s="180"/>
      <c r="K526" s="185">
        <f t="shared" si="131"/>
        <v>0</v>
      </c>
      <c r="L526" s="173"/>
      <c r="M526" s="173"/>
      <c r="N526" s="173"/>
      <c r="O526" s="173"/>
      <c r="P526" s="173"/>
      <c r="Q526" s="185">
        <f t="shared" si="132"/>
        <v>211200</v>
      </c>
    </row>
    <row r="527" spans="1:17" s="169" customFormat="1" ht="51" customHeight="1" hidden="1">
      <c r="A527" s="170" t="s">
        <v>399</v>
      </c>
      <c r="B527" s="170" t="s">
        <v>54</v>
      </c>
      <c r="C527" s="170" t="s">
        <v>987</v>
      </c>
      <c r="D527" s="170" t="s">
        <v>578</v>
      </c>
      <c r="E527" s="178" t="s">
        <v>334</v>
      </c>
      <c r="F527" s="185">
        <f t="shared" si="130"/>
        <v>50673</v>
      </c>
      <c r="G527" s="173">
        <v>50673</v>
      </c>
      <c r="H527" s="173"/>
      <c r="I527" s="173"/>
      <c r="J527" s="173"/>
      <c r="K527" s="185">
        <f t="shared" si="131"/>
        <v>0</v>
      </c>
      <c r="L527" s="173"/>
      <c r="M527" s="173"/>
      <c r="N527" s="173"/>
      <c r="O527" s="173"/>
      <c r="P527" s="173"/>
      <c r="Q527" s="185">
        <f t="shared" si="132"/>
        <v>50673</v>
      </c>
    </row>
    <row r="528" spans="1:17" s="169" customFormat="1" ht="50.25" customHeight="1" hidden="1">
      <c r="A528" s="170" t="s">
        <v>938</v>
      </c>
      <c r="B528" s="170" t="s">
        <v>54</v>
      </c>
      <c r="C528" s="170" t="s">
        <v>988</v>
      </c>
      <c r="D528" s="170" t="s">
        <v>578</v>
      </c>
      <c r="E528" s="178" t="s">
        <v>480</v>
      </c>
      <c r="F528" s="185">
        <f t="shared" si="130"/>
        <v>0</v>
      </c>
      <c r="G528" s="173"/>
      <c r="H528" s="173"/>
      <c r="I528" s="173"/>
      <c r="J528" s="173"/>
      <c r="K528" s="185">
        <f t="shared" si="131"/>
        <v>0</v>
      </c>
      <c r="L528" s="173"/>
      <c r="M528" s="173"/>
      <c r="N528" s="173"/>
      <c r="O528" s="173"/>
      <c r="P528" s="173"/>
      <c r="Q528" s="185">
        <f t="shared" si="132"/>
        <v>0</v>
      </c>
    </row>
    <row r="529" spans="1:17" s="169" customFormat="1" ht="53.25" customHeight="1" hidden="1">
      <c r="A529" s="170" t="s">
        <v>440</v>
      </c>
      <c r="B529" s="170" t="s">
        <v>54</v>
      </c>
      <c r="C529" s="170" t="s">
        <v>989</v>
      </c>
      <c r="D529" s="170" t="s">
        <v>578</v>
      </c>
      <c r="E529" s="178" t="s">
        <v>363</v>
      </c>
      <c r="F529" s="185">
        <f t="shared" si="130"/>
        <v>0</v>
      </c>
      <c r="G529" s="173"/>
      <c r="H529" s="173"/>
      <c r="I529" s="173"/>
      <c r="J529" s="173"/>
      <c r="K529" s="185">
        <f t="shared" si="131"/>
        <v>0</v>
      </c>
      <c r="L529" s="173"/>
      <c r="M529" s="173"/>
      <c r="N529" s="173"/>
      <c r="O529" s="173"/>
      <c r="P529" s="173"/>
      <c r="Q529" s="185">
        <f t="shared" si="132"/>
        <v>0</v>
      </c>
    </row>
    <row r="530" spans="1:17" s="169" customFormat="1" ht="51" hidden="1">
      <c r="A530" s="170" t="s">
        <v>466</v>
      </c>
      <c r="B530" s="170" t="s">
        <v>54</v>
      </c>
      <c r="C530" s="170" t="s">
        <v>990</v>
      </c>
      <c r="D530" s="170" t="s">
        <v>578</v>
      </c>
      <c r="E530" s="178" t="s">
        <v>321</v>
      </c>
      <c r="F530" s="185">
        <f t="shared" si="130"/>
        <v>75855</v>
      </c>
      <c r="G530" s="173">
        <v>75855</v>
      </c>
      <c r="H530" s="173"/>
      <c r="I530" s="173"/>
      <c r="J530" s="173"/>
      <c r="K530" s="185">
        <f t="shared" si="131"/>
        <v>0</v>
      </c>
      <c r="L530" s="173"/>
      <c r="M530" s="173"/>
      <c r="N530" s="173"/>
      <c r="O530" s="173"/>
      <c r="P530" s="173"/>
      <c r="Q530" s="185">
        <f t="shared" si="132"/>
        <v>75855</v>
      </c>
    </row>
    <row r="531" spans="1:17" s="169" customFormat="1" ht="102" customHeight="1" hidden="1">
      <c r="A531" s="170" t="s">
        <v>939</v>
      </c>
      <c r="B531" s="170" t="s">
        <v>54</v>
      </c>
      <c r="C531" s="170" t="s">
        <v>991</v>
      </c>
      <c r="D531" s="170" t="s">
        <v>578</v>
      </c>
      <c r="E531" s="178" t="s">
        <v>367</v>
      </c>
      <c r="F531" s="185">
        <f t="shared" si="130"/>
        <v>0</v>
      </c>
      <c r="G531" s="176"/>
      <c r="H531" s="176"/>
      <c r="I531" s="176"/>
      <c r="J531" s="176"/>
      <c r="K531" s="185">
        <f t="shared" si="131"/>
        <v>0</v>
      </c>
      <c r="L531" s="176"/>
      <c r="M531" s="176"/>
      <c r="N531" s="176"/>
      <c r="O531" s="176"/>
      <c r="P531" s="176"/>
      <c r="Q531" s="185">
        <f t="shared" si="132"/>
        <v>0</v>
      </c>
    </row>
    <row r="532" spans="1:17" s="169" customFormat="1" ht="25.5" hidden="1">
      <c r="A532" s="170" t="s">
        <v>446</v>
      </c>
      <c r="B532" s="170" t="s">
        <v>54</v>
      </c>
      <c r="C532" s="170" t="s">
        <v>992</v>
      </c>
      <c r="D532" s="170" t="s">
        <v>578</v>
      </c>
      <c r="E532" s="178" t="s">
        <v>887</v>
      </c>
      <c r="F532" s="185">
        <f t="shared" si="130"/>
        <v>23760</v>
      </c>
      <c r="G532" s="176">
        <v>23760</v>
      </c>
      <c r="H532" s="176"/>
      <c r="I532" s="176"/>
      <c r="J532" s="176"/>
      <c r="K532" s="185">
        <f t="shared" si="131"/>
        <v>0</v>
      </c>
      <c r="L532" s="176"/>
      <c r="M532" s="176"/>
      <c r="N532" s="176"/>
      <c r="O532" s="176"/>
      <c r="P532" s="176"/>
      <c r="Q532" s="185">
        <f t="shared" si="132"/>
        <v>23760</v>
      </c>
    </row>
    <row r="533" spans="1:17" s="169" customFormat="1" ht="15" customHeight="1" hidden="1">
      <c r="A533" s="170" t="s">
        <v>940</v>
      </c>
      <c r="B533" s="171" t="s">
        <v>54</v>
      </c>
      <c r="C533" s="170" t="s">
        <v>1132</v>
      </c>
      <c r="D533" s="170" t="s">
        <v>578</v>
      </c>
      <c r="E533" s="178" t="s">
        <v>835</v>
      </c>
      <c r="F533" s="185">
        <f t="shared" si="130"/>
        <v>0</v>
      </c>
      <c r="G533" s="173"/>
      <c r="H533" s="173"/>
      <c r="I533" s="173"/>
      <c r="J533" s="173"/>
      <c r="K533" s="185">
        <f t="shared" si="131"/>
        <v>0</v>
      </c>
      <c r="L533" s="173"/>
      <c r="M533" s="173"/>
      <c r="N533" s="173"/>
      <c r="O533" s="173"/>
      <c r="P533" s="173"/>
      <c r="Q533" s="185">
        <f t="shared" si="132"/>
        <v>0</v>
      </c>
    </row>
    <row r="534" spans="1:17" ht="12.75">
      <c r="A534" s="112" t="s">
        <v>873</v>
      </c>
      <c r="B534" s="112" t="s">
        <v>98</v>
      </c>
      <c r="C534" s="112" t="s">
        <v>1016</v>
      </c>
      <c r="D534" s="112"/>
      <c r="E534" s="122" t="s">
        <v>99</v>
      </c>
      <c r="F534" s="32">
        <f>G534+J534</f>
        <v>0</v>
      </c>
      <c r="G534" s="114">
        <f>G536+G535</f>
        <v>0</v>
      </c>
      <c r="H534" s="114">
        <f aca="true" t="shared" si="133" ref="H534:Q534">H536+H535</f>
        <v>0</v>
      </c>
      <c r="I534" s="114">
        <f t="shared" si="133"/>
        <v>0</v>
      </c>
      <c r="J534" s="114">
        <f t="shared" si="133"/>
        <v>0</v>
      </c>
      <c r="K534" s="114">
        <f t="shared" si="133"/>
        <v>3750000</v>
      </c>
      <c r="L534" s="114">
        <f t="shared" si="133"/>
        <v>0</v>
      </c>
      <c r="M534" s="114">
        <f t="shared" si="133"/>
        <v>0</v>
      </c>
      <c r="N534" s="114">
        <f t="shared" si="133"/>
        <v>0</v>
      </c>
      <c r="O534" s="114">
        <f t="shared" si="133"/>
        <v>3750000</v>
      </c>
      <c r="P534" s="114">
        <f t="shared" si="133"/>
        <v>0</v>
      </c>
      <c r="Q534" s="114">
        <f t="shared" si="133"/>
        <v>3750000</v>
      </c>
    </row>
    <row r="535" spans="1:17" ht="25.5">
      <c r="A535" s="50" t="s">
        <v>974</v>
      </c>
      <c r="B535" s="28" t="s">
        <v>86</v>
      </c>
      <c r="C535" s="50" t="s">
        <v>1017</v>
      </c>
      <c r="D535" s="50" t="s">
        <v>588</v>
      </c>
      <c r="E535" s="25" t="s">
        <v>93</v>
      </c>
      <c r="F535" s="32"/>
      <c r="G535" s="114"/>
      <c r="H535" s="114"/>
      <c r="I535" s="114"/>
      <c r="J535" s="114"/>
      <c r="K535" s="32">
        <f aca="true" t="shared" si="134" ref="K535:K540">L535+O535</f>
        <v>3750000</v>
      </c>
      <c r="L535" s="114"/>
      <c r="M535" s="114"/>
      <c r="N535" s="114"/>
      <c r="O535" s="114">
        <f>3750000-3750000+3750000</f>
        <v>3750000</v>
      </c>
      <c r="P535" s="114"/>
      <c r="Q535" s="114">
        <f>F535+K535</f>
        <v>3750000</v>
      </c>
    </row>
    <row r="536" spans="1:17" s="2" customFormat="1" ht="52.5" customHeight="1" hidden="1">
      <c r="A536" s="89" t="s">
        <v>961</v>
      </c>
      <c r="B536" s="89" t="s">
        <v>53</v>
      </c>
      <c r="C536" s="89" t="s">
        <v>994</v>
      </c>
      <c r="D536" s="89"/>
      <c r="E536" s="91" t="s">
        <v>432</v>
      </c>
      <c r="F536" s="32">
        <f>G536+J536</f>
        <v>0</v>
      </c>
      <c r="G536" s="88">
        <f>G537</f>
        <v>0</v>
      </c>
      <c r="H536" s="88">
        <f>H537</f>
        <v>0</v>
      </c>
      <c r="I536" s="88">
        <f>I537</f>
        <v>0</v>
      </c>
      <c r="J536" s="88">
        <f>J537</f>
        <v>0</v>
      </c>
      <c r="K536" s="32">
        <f t="shared" si="134"/>
        <v>0</v>
      </c>
      <c r="L536" s="88">
        <f>L537</f>
        <v>0</v>
      </c>
      <c r="M536" s="88">
        <f>M537</f>
        <v>0</v>
      </c>
      <c r="N536" s="88">
        <f>N537</f>
        <v>0</v>
      </c>
      <c r="O536" s="88">
        <f>O537</f>
        <v>0</v>
      </c>
      <c r="P536" s="88">
        <f>P537</f>
        <v>0</v>
      </c>
      <c r="Q536" s="32">
        <f>F536+K536</f>
        <v>0</v>
      </c>
    </row>
    <row r="537" spans="1:17" s="2" customFormat="1" ht="33" customHeight="1" hidden="1">
      <c r="A537" s="7" t="s">
        <v>961</v>
      </c>
      <c r="B537" s="7" t="s">
        <v>53</v>
      </c>
      <c r="C537" s="7" t="s">
        <v>994</v>
      </c>
      <c r="D537" s="7"/>
      <c r="E537" s="48" t="s">
        <v>175</v>
      </c>
      <c r="F537" s="32">
        <f>G537+J537</f>
        <v>0</v>
      </c>
      <c r="G537" s="18"/>
      <c r="H537" s="18"/>
      <c r="I537" s="18"/>
      <c r="J537" s="18"/>
      <c r="K537" s="32">
        <f t="shared" si="134"/>
        <v>0</v>
      </c>
      <c r="L537" s="18"/>
      <c r="M537" s="18"/>
      <c r="N537" s="18"/>
      <c r="O537" s="18"/>
      <c r="P537" s="18"/>
      <c r="Q537" s="32">
        <f>F537+K537</f>
        <v>0</v>
      </c>
    </row>
    <row r="538" spans="1:17" s="12" customFormat="1" ht="38.25">
      <c r="A538" s="11" t="s">
        <v>296</v>
      </c>
      <c r="B538" s="11" t="s">
        <v>148</v>
      </c>
      <c r="C538" s="11" t="s">
        <v>148</v>
      </c>
      <c r="D538" s="11"/>
      <c r="E538" s="13" t="s">
        <v>791</v>
      </c>
      <c r="F538" s="21">
        <f>G538+J538</f>
        <v>13214992</v>
      </c>
      <c r="G538" s="21">
        <f>G539</f>
        <v>13214992</v>
      </c>
      <c r="H538" s="21">
        <f>H539</f>
        <v>4000602</v>
      </c>
      <c r="I538" s="21">
        <f>I539</f>
        <v>620032</v>
      </c>
      <c r="J538" s="21">
        <f>J539</f>
        <v>0</v>
      </c>
      <c r="K538" s="21">
        <f t="shared" si="134"/>
        <v>9389421</v>
      </c>
      <c r="L538" s="21">
        <f>L539</f>
        <v>100241</v>
      </c>
      <c r="M538" s="21">
        <f>M539</f>
        <v>0</v>
      </c>
      <c r="N538" s="21">
        <f>N539</f>
        <v>0</v>
      </c>
      <c r="O538" s="21">
        <f>O539</f>
        <v>9289180</v>
      </c>
      <c r="P538" s="21">
        <f>P539</f>
        <v>9289180</v>
      </c>
      <c r="Q538" s="21">
        <f>F538+K538</f>
        <v>22604413</v>
      </c>
    </row>
    <row r="539" spans="1:17" s="2" customFormat="1" ht="38.25">
      <c r="A539" s="7" t="s">
        <v>297</v>
      </c>
      <c r="B539" s="7"/>
      <c r="C539" s="7"/>
      <c r="D539" s="7"/>
      <c r="E539" s="3" t="s">
        <v>791</v>
      </c>
      <c r="F539" s="18">
        <f>G539+J539</f>
        <v>13214992</v>
      </c>
      <c r="G539" s="18">
        <f>G540+G542+G545+G547+G558</f>
        <v>13214992</v>
      </c>
      <c r="H539" s="18">
        <f>H540+H542+H545+H547+H558</f>
        <v>4000602</v>
      </c>
      <c r="I539" s="18">
        <f>I540+I542+I545+I547+I558</f>
        <v>620032</v>
      </c>
      <c r="J539" s="18">
        <f>J540+J542+J545+J547+J558</f>
        <v>0</v>
      </c>
      <c r="K539" s="18">
        <f t="shared" si="134"/>
        <v>9389421</v>
      </c>
      <c r="L539" s="18">
        <f>L540+L542+L545+L547+L558</f>
        <v>100241</v>
      </c>
      <c r="M539" s="18">
        <f>M540+M542+M545+M547+M558</f>
        <v>0</v>
      </c>
      <c r="N539" s="18">
        <f>N540+N542+N545+N547+N558</f>
        <v>0</v>
      </c>
      <c r="O539" s="18">
        <f>O540+O542+O545+O547+O558</f>
        <v>9289180</v>
      </c>
      <c r="P539" s="18">
        <f>P540+P542+P545+P547+P558</f>
        <v>9289180</v>
      </c>
      <c r="Q539" s="18">
        <f>F539+K539</f>
        <v>22604413</v>
      </c>
    </row>
    <row r="540" spans="1:17" s="2" customFormat="1" ht="12.75">
      <c r="A540" s="117" t="s">
        <v>731</v>
      </c>
      <c r="B540" s="116" t="s">
        <v>672</v>
      </c>
      <c r="C540" s="116" t="s">
        <v>973</v>
      </c>
      <c r="D540" s="116"/>
      <c r="E540" s="124" t="s">
        <v>674</v>
      </c>
      <c r="F540" s="18">
        <f aca="true" t="shared" si="135" ref="F540:F557">G540+J540</f>
        <v>7082326</v>
      </c>
      <c r="G540" s="121">
        <f>G541</f>
        <v>7082326</v>
      </c>
      <c r="H540" s="121">
        <f>H541</f>
        <v>4000602</v>
      </c>
      <c r="I540" s="121">
        <f>I541</f>
        <v>424112</v>
      </c>
      <c r="J540" s="121">
        <f>J541</f>
        <v>0</v>
      </c>
      <c r="K540" s="18">
        <f t="shared" si="134"/>
        <v>3792</v>
      </c>
      <c r="L540" s="121">
        <f>L541</f>
        <v>3792</v>
      </c>
      <c r="M540" s="121">
        <f>M541</f>
        <v>0</v>
      </c>
      <c r="N540" s="121">
        <f>N541</f>
        <v>0</v>
      </c>
      <c r="O540" s="121">
        <f>O541</f>
        <v>0</v>
      </c>
      <c r="P540" s="121">
        <f>P541</f>
        <v>0</v>
      </c>
      <c r="Q540" s="18">
        <f aca="true" t="shared" si="136" ref="Q540:Q557">F540+K540</f>
        <v>7086118</v>
      </c>
    </row>
    <row r="541" spans="1:17" s="1" customFormat="1" ht="63.75">
      <c r="A541" s="6" t="s">
        <v>24</v>
      </c>
      <c r="B541" s="6" t="s">
        <v>33</v>
      </c>
      <c r="C541" s="6" t="s">
        <v>614</v>
      </c>
      <c r="D541" s="6" t="s">
        <v>575</v>
      </c>
      <c r="E541" s="51" t="s">
        <v>889</v>
      </c>
      <c r="F541" s="18">
        <f t="shared" si="135"/>
        <v>7082326</v>
      </c>
      <c r="G541" s="18">
        <f>5932960+(1433042)-283676</f>
        <v>7082326</v>
      </c>
      <c r="H541" s="18">
        <v>4000602</v>
      </c>
      <c r="I541" s="18">
        <v>424112</v>
      </c>
      <c r="J541" s="18"/>
      <c r="K541" s="18">
        <f aca="true" t="shared" si="137" ref="K541:K557">L541+O541</f>
        <v>3792</v>
      </c>
      <c r="L541" s="18">
        <v>3792</v>
      </c>
      <c r="M541" s="18"/>
      <c r="N541" s="18"/>
      <c r="O541" s="18"/>
      <c r="P541" s="18"/>
      <c r="Q541" s="18">
        <f t="shared" si="136"/>
        <v>7086118</v>
      </c>
    </row>
    <row r="542" spans="1:17" s="1" customFormat="1" ht="12.75">
      <c r="A542" s="116" t="s">
        <v>732</v>
      </c>
      <c r="B542" s="117" t="s">
        <v>664</v>
      </c>
      <c r="C542" s="117" t="s">
        <v>1095</v>
      </c>
      <c r="D542" s="117"/>
      <c r="E542" s="118" t="s">
        <v>666</v>
      </c>
      <c r="F542" s="121">
        <f t="shared" si="135"/>
        <v>5837596</v>
      </c>
      <c r="G542" s="121">
        <f>G543+G544</f>
        <v>5837596</v>
      </c>
      <c r="H542" s="121">
        <f>H543+H544</f>
        <v>0</v>
      </c>
      <c r="I542" s="121">
        <f>I543+I544</f>
        <v>195920</v>
      </c>
      <c r="J542" s="121">
        <f>J543+J544</f>
        <v>0</v>
      </c>
      <c r="K542" s="18">
        <f t="shared" si="137"/>
        <v>96449</v>
      </c>
      <c r="L542" s="121">
        <f>L543+L544</f>
        <v>96449</v>
      </c>
      <c r="M542" s="121">
        <f>M543+M544</f>
        <v>0</v>
      </c>
      <c r="N542" s="121">
        <f>N543+N544</f>
        <v>0</v>
      </c>
      <c r="O542" s="121">
        <f>O543+O544</f>
        <v>0</v>
      </c>
      <c r="P542" s="121">
        <f>P543+P544</f>
        <v>0</v>
      </c>
      <c r="Q542" s="121">
        <f t="shared" si="136"/>
        <v>5934045</v>
      </c>
    </row>
    <row r="543" spans="1:17" s="2" customFormat="1" ht="51">
      <c r="A543" s="112" t="s">
        <v>773</v>
      </c>
      <c r="B543" s="112" t="s">
        <v>322</v>
      </c>
      <c r="C543" s="112" t="s">
        <v>1096</v>
      </c>
      <c r="D543" s="112" t="s">
        <v>607</v>
      </c>
      <c r="E543" s="113" t="s">
        <v>329</v>
      </c>
      <c r="F543" s="121">
        <f t="shared" si="135"/>
        <v>4741133</v>
      </c>
      <c r="G543" s="121">
        <v>4741133</v>
      </c>
      <c r="H543" s="121"/>
      <c r="I543" s="121"/>
      <c r="J543" s="121"/>
      <c r="K543" s="18">
        <f t="shared" si="137"/>
        <v>0</v>
      </c>
      <c r="L543" s="121"/>
      <c r="M543" s="121"/>
      <c r="N543" s="121"/>
      <c r="O543" s="121"/>
      <c r="P543" s="121"/>
      <c r="Q543" s="121">
        <f t="shared" si="136"/>
        <v>4741133</v>
      </c>
    </row>
    <row r="544" spans="1:17" s="2" customFormat="1" ht="12.75">
      <c r="A544" s="7" t="s">
        <v>406</v>
      </c>
      <c r="B544" s="7" t="s">
        <v>123</v>
      </c>
      <c r="C544" s="7" t="s">
        <v>1107</v>
      </c>
      <c r="D544" s="7" t="s">
        <v>608</v>
      </c>
      <c r="E544" s="3" t="s">
        <v>125</v>
      </c>
      <c r="F544" s="18">
        <f t="shared" si="135"/>
        <v>1096463</v>
      </c>
      <c r="G544" s="18">
        <v>1096463</v>
      </c>
      <c r="H544" s="18"/>
      <c r="I544" s="18">
        <v>195920</v>
      </c>
      <c r="J544" s="18"/>
      <c r="K544" s="18">
        <f t="shared" si="137"/>
        <v>96449</v>
      </c>
      <c r="L544" s="18">
        <v>96449</v>
      </c>
      <c r="M544" s="18"/>
      <c r="N544" s="18"/>
      <c r="O544" s="18"/>
      <c r="P544" s="18"/>
      <c r="Q544" s="18">
        <f t="shared" si="136"/>
        <v>1192912</v>
      </c>
    </row>
    <row r="545" spans="1:17" s="2" customFormat="1" ht="12.75">
      <c r="A545" s="112" t="s">
        <v>733</v>
      </c>
      <c r="B545" s="111" t="s">
        <v>629</v>
      </c>
      <c r="C545" s="111" t="s">
        <v>1021</v>
      </c>
      <c r="D545" s="111"/>
      <c r="E545" s="127" t="s">
        <v>631</v>
      </c>
      <c r="F545" s="18">
        <f t="shared" si="135"/>
        <v>0</v>
      </c>
      <c r="G545" s="123">
        <f>G546</f>
        <v>0</v>
      </c>
      <c r="H545" s="123">
        <f>H546</f>
        <v>0</v>
      </c>
      <c r="I545" s="123">
        <f>I546</f>
        <v>0</v>
      </c>
      <c r="J545" s="123">
        <f>J546</f>
        <v>0</v>
      </c>
      <c r="K545" s="123">
        <f t="shared" si="137"/>
        <v>9289180</v>
      </c>
      <c r="L545" s="123">
        <f>L546</f>
        <v>0</v>
      </c>
      <c r="M545" s="123">
        <f>M546</f>
        <v>0</v>
      </c>
      <c r="N545" s="123">
        <f>N546</f>
        <v>0</v>
      </c>
      <c r="O545" s="123">
        <f>O546</f>
        <v>9289180</v>
      </c>
      <c r="P545" s="123">
        <f>P546</f>
        <v>9289180</v>
      </c>
      <c r="Q545" s="123">
        <f t="shared" si="136"/>
        <v>9289180</v>
      </c>
    </row>
    <row r="546" spans="1:17" s="2" customFormat="1" ht="25.5">
      <c r="A546" s="50" t="s">
        <v>298</v>
      </c>
      <c r="B546" s="28" t="s">
        <v>87</v>
      </c>
      <c r="C546" s="50" t="s">
        <v>981</v>
      </c>
      <c r="D546" s="50" t="s">
        <v>577</v>
      </c>
      <c r="E546" s="51" t="s">
        <v>174</v>
      </c>
      <c r="F546" s="18">
        <f t="shared" si="135"/>
        <v>0</v>
      </c>
      <c r="G546" s="27"/>
      <c r="H546" s="27"/>
      <c r="I546" s="27"/>
      <c r="J546" s="27"/>
      <c r="K546" s="18">
        <f t="shared" si="137"/>
        <v>9289180</v>
      </c>
      <c r="L546" s="27"/>
      <c r="M546" s="27"/>
      <c r="N546" s="27"/>
      <c r="O546" s="27">
        <f>P546</f>
        <v>9289180</v>
      </c>
      <c r="P546" s="27">
        <f>1810040+8009630-530490</f>
        <v>9289180</v>
      </c>
      <c r="Q546" s="18">
        <f t="shared" si="136"/>
        <v>9289180</v>
      </c>
    </row>
    <row r="547" spans="1:17" s="2" customFormat="1" ht="25.5">
      <c r="A547" s="116" t="s">
        <v>734</v>
      </c>
      <c r="B547" s="117" t="s">
        <v>635</v>
      </c>
      <c r="C547" s="117" t="s">
        <v>1022</v>
      </c>
      <c r="D547" s="117"/>
      <c r="E547" s="125" t="s">
        <v>636</v>
      </c>
      <c r="F547" s="121">
        <f t="shared" si="135"/>
        <v>295070</v>
      </c>
      <c r="G547" s="121">
        <f>G548</f>
        <v>295070</v>
      </c>
      <c r="H547" s="121">
        <f>H548</f>
        <v>0</v>
      </c>
      <c r="I547" s="121">
        <f>I548</f>
        <v>0</v>
      </c>
      <c r="J547" s="121">
        <f>J548</f>
        <v>0</v>
      </c>
      <c r="K547" s="18">
        <f t="shared" si="137"/>
        <v>0</v>
      </c>
      <c r="L547" s="121">
        <f>L548</f>
        <v>0</v>
      </c>
      <c r="M547" s="121">
        <f>M548</f>
        <v>0</v>
      </c>
      <c r="N547" s="121">
        <f>N548</f>
        <v>0</v>
      </c>
      <c r="O547" s="121">
        <f>O548</f>
        <v>0</v>
      </c>
      <c r="P547" s="121">
        <f>P548</f>
        <v>0</v>
      </c>
      <c r="Q547" s="121">
        <f t="shared" si="136"/>
        <v>295070</v>
      </c>
    </row>
    <row r="548" spans="1:17" s="2" customFormat="1" ht="17.25" customHeight="1">
      <c r="A548" s="89" t="s">
        <v>428</v>
      </c>
      <c r="B548" s="89" t="s">
        <v>54</v>
      </c>
      <c r="C548" s="89" t="s">
        <v>1094</v>
      </c>
      <c r="D548" s="89" t="s">
        <v>578</v>
      </c>
      <c r="E548" s="91" t="s">
        <v>417</v>
      </c>
      <c r="F548" s="92">
        <f t="shared" si="135"/>
        <v>295070</v>
      </c>
      <c r="G548" s="92">
        <f>SUM(G549:G557)</f>
        <v>295070</v>
      </c>
      <c r="H548" s="92">
        <f>SUM(H549:H557)</f>
        <v>0</v>
      </c>
      <c r="I548" s="92">
        <f>SUM(I549:I557)</f>
        <v>0</v>
      </c>
      <c r="J548" s="92">
        <f>SUM(J549:J557)</f>
        <v>0</v>
      </c>
      <c r="K548" s="18">
        <f t="shared" si="137"/>
        <v>0</v>
      </c>
      <c r="L548" s="92">
        <f>SUM(L549:L557)</f>
        <v>0</v>
      </c>
      <c r="M548" s="92">
        <f>SUM(M549:M557)</f>
        <v>0</v>
      </c>
      <c r="N548" s="92">
        <f>SUM(N549:N557)</f>
        <v>0</v>
      </c>
      <c r="O548" s="92">
        <f>SUM(O549:O557)</f>
        <v>0</v>
      </c>
      <c r="P548" s="92">
        <f>SUM(P549:P557)</f>
        <v>0</v>
      </c>
      <c r="Q548" s="92">
        <f t="shared" si="136"/>
        <v>295070</v>
      </c>
    </row>
    <row r="549" spans="1:17" ht="56.25" customHeight="1" hidden="1">
      <c r="A549" s="59" t="s">
        <v>941</v>
      </c>
      <c r="B549" s="50" t="s">
        <v>54</v>
      </c>
      <c r="C549" s="50" t="s">
        <v>985</v>
      </c>
      <c r="D549" s="50" t="s">
        <v>578</v>
      </c>
      <c r="E549" s="48" t="s">
        <v>178</v>
      </c>
      <c r="F549" s="18">
        <f t="shared" si="135"/>
        <v>0</v>
      </c>
      <c r="G549" s="27"/>
      <c r="H549" s="27"/>
      <c r="I549" s="27"/>
      <c r="J549" s="27"/>
      <c r="K549" s="18">
        <f t="shared" si="137"/>
        <v>0</v>
      </c>
      <c r="L549" s="27"/>
      <c r="M549" s="27"/>
      <c r="N549" s="27"/>
      <c r="O549" s="27"/>
      <c r="P549" s="27"/>
      <c r="Q549" s="18">
        <f t="shared" si="136"/>
        <v>0</v>
      </c>
    </row>
    <row r="550" spans="1:17" s="181" customFormat="1" ht="41.25" customHeight="1" hidden="1">
      <c r="A550" s="170" t="s">
        <v>371</v>
      </c>
      <c r="B550" s="171" t="s">
        <v>54</v>
      </c>
      <c r="C550" s="170" t="s">
        <v>986</v>
      </c>
      <c r="D550" s="170" t="s">
        <v>578</v>
      </c>
      <c r="E550" s="178" t="s">
        <v>854</v>
      </c>
      <c r="F550" s="183">
        <f t="shared" si="135"/>
        <v>198640</v>
      </c>
      <c r="G550" s="180">
        <v>198640</v>
      </c>
      <c r="H550" s="180"/>
      <c r="I550" s="180"/>
      <c r="J550" s="180"/>
      <c r="K550" s="183">
        <f t="shared" si="137"/>
        <v>0</v>
      </c>
      <c r="L550" s="173"/>
      <c r="M550" s="173"/>
      <c r="N550" s="173"/>
      <c r="O550" s="173"/>
      <c r="P550" s="173"/>
      <c r="Q550" s="183">
        <f t="shared" si="136"/>
        <v>198640</v>
      </c>
    </row>
    <row r="551" spans="1:17" s="169" customFormat="1" ht="51" customHeight="1" hidden="1">
      <c r="A551" s="170" t="s">
        <v>400</v>
      </c>
      <c r="B551" s="170" t="s">
        <v>54</v>
      </c>
      <c r="C551" s="170" t="s">
        <v>987</v>
      </c>
      <c r="D551" s="170" t="s">
        <v>578</v>
      </c>
      <c r="E551" s="178" t="s">
        <v>334</v>
      </c>
      <c r="F551" s="183">
        <f t="shared" si="135"/>
        <v>22692</v>
      </c>
      <c r="G551" s="173">
        <v>22692</v>
      </c>
      <c r="H551" s="173"/>
      <c r="I551" s="173"/>
      <c r="J551" s="173"/>
      <c r="K551" s="183">
        <f t="shared" si="137"/>
        <v>0</v>
      </c>
      <c r="L551" s="173"/>
      <c r="M551" s="173"/>
      <c r="N551" s="173"/>
      <c r="O551" s="173"/>
      <c r="P551" s="173"/>
      <c r="Q551" s="183">
        <f t="shared" si="136"/>
        <v>22692</v>
      </c>
    </row>
    <row r="552" spans="1:17" s="169" customFormat="1" ht="50.25" customHeight="1" hidden="1">
      <c r="A552" s="170" t="s">
        <v>942</v>
      </c>
      <c r="B552" s="170" t="s">
        <v>54</v>
      </c>
      <c r="C552" s="170" t="s">
        <v>988</v>
      </c>
      <c r="D552" s="170" t="s">
        <v>578</v>
      </c>
      <c r="E552" s="178" t="s">
        <v>480</v>
      </c>
      <c r="F552" s="183">
        <f t="shared" si="135"/>
        <v>0</v>
      </c>
      <c r="G552" s="173"/>
      <c r="H552" s="173"/>
      <c r="I552" s="173"/>
      <c r="J552" s="173"/>
      <c r="K552" s="183">
        <f t="shared" si="137"/>
        <v>0</v>
      </c>
      <c r="L552" s="173"/>
      <c r="M552" s="173"/>
      <c r="N552" s="173"/>
      <c r="O552" s="173"/>
      <c r="P552" s="173"/>
      <c r="Q552" s="183">
        <f t="shared" si="136"/>
        <v>0</v>
      </c>
    </row>
    <row r="553" spans="1:17" s="169" customFormat="1" ht="53.25" customHeight="1" hidden="1">
      <c r="A553" s="170" t="s">
        <v>441</v>
      </c>
      <c r="B553" s="170" t="s">
        <v>54</v>
      </c>
      <c r="C553" s="170" t="s">
        <v>989</v>
      </c>
      <c r="D553" s="170" t="s">
        <v>578</v>
      </c>
      <c r="E553" s="178" t="s">
        <v>363</v>
      </c>
      <c r="F553" s="183">
        <f t="shared" si="135"/>
        <v>0</v>
      </c>
      <c r="G553" s="173"/>
      <c r="H553" s="173"/>
      <c r="I553" s="173"/>
      <c r="J553" s="173"/>
      <c r="K553" s="183">
        <f t="shared" si="137"/>
        <v>0</v>
      </c>
      <c r="L553" s="173"/>
      <c r="M553" s="173"/>
      <c r="N553" s="173"/>
      <c r="O553" s="173"/>
      <c r="P553" s="173"/>
      <c r="Q553" s="183">
        <f t="shared" si="136"/>
        <v>0</v>
      </c>
    </row>
    <row r="554" spans="1:17" s="169" customFormat="1" ht="51" hidden="1">
      <c r="A554" s="170" t="s">
        <v>467</v>
      </c>
      <c r="B554" s="170" t="s">
        <v>54</v>
      </c>
      <c r="C554" s="170" t="s">
        <v>990</v>
      </c>
      <c r="D554" s="170" t="s">
        <v>578</v>
      </c>
      <c r="E554" s="178" t="s">
        <v>321</v>
      </c>
      <c r="F554" s="183">
        <f t="shared" si="135"/>
        <v>49978</v>
      </c>
      <c r="G554" s="173">
        <v>49978</v>
      </c>
      <c r="H554" s="173"/>
      <c r="I554" s="173"/>
      <c r="J554" s="173"/>
      <c r="K554" s="183">
        <f t="shared" si="137"/>
        <v>0</v>
      </c>
      <c r="L554" s="173"/>
      <c r="M554" s="173"/>
      <c r="N554" s="173"/>
      <c r="O554" s="173"/>
      <c r="P554" s="173"/>
      <c r="Q554" s="183">
        <f t="shared" si="136"/>
        <v>49978</v>
      </c>
    </row>
    <row r="555" spans="1:17" s="169" customFormat="1" ht="102" customHeight="1" hidden="1">
      <c r="A555" s="170" t="s">
        <v>943</v>
      </c>
      <c r="B555" s="170" t="s">
        <v>54</v>
      </c>
      <c r="C555" s="170" t="s">
        <v>991</v>
      </c>
      <c r="D555" s="170" t="s">
        <v>578</v>
      </c>
      <c r="E555" s="178" t="s">
        <v>367</v>
      </c>
      <c r="F555" s="183">
        <f t="shared" si="135"/>
        <v>0</v>
      </c>
      <c r="G555" s="176"/>
      <c r="H555" s="176"/>
      <c r="I555" s="176"/>
      <c r="J555" s="176"/>
      <c r="K555" s="183">
        <f t="shared" si="137"/>
        <v>0</v>
      </c>
      <c r="L555" s="176"/>
      <c r="M555" s="176"/>
      <c r="N555" s="176"/>
      <c r="O555" s="176"/>
      <c r="P555" s="176"/>
      <c r="Q555" s="183">
        <f t="shared" si="136"/>
        <v>0</v>
      </c>
    </row>
    <row r="556" spans="1:17" s="169" customFormat="1" ht="25.5" hidden="1">
      <c r="A556" s="170" t="s">
        <v>447</v>
      </c>
      <c r="B556" s="170" t="s">
        <v>54</v>
      </c>
      <c r="C556" s="170" t="s">
        <v>992</v>
      </c>
      <c r="D556" s="170" t="s">
        <v>578</v>
      </c>
      <c r="E556" s="178" t="s">
        <v>887</v>
      </c>
      <c r="F556" s="183">
        <f t="shared" si="135"/>
        <v>23760</v>
      </c>
      <c r="G556" s="176">
        <v>23760</v>
      </c>
      <c r="H556" s="176"/>
      <c r="I556" s="176"/>
      <c r="J556" s="176"/>
      <c r="K556" s="183">
        <f t="shared" si="137"/>
        <v>0</v>
      </c>
      <c r="L556" s="176"/>
      <c r="M556" s="176"/>
      <c r="N556" s="176"/>
      <c r="O556" s="176"/>
      <c r="P556" s="176"/>
      <c r="Q556" s="183">
        <f t="shared" si="136"/>
        <v>23760</v>
      </c>
    </row>
    <row r="557" spans="1:17" s="43" customFormat="1" ht="15" customHeight="1" hidden="1">
      <c r="A557" s="59" t="s">
        <v>944</v>
      </c>
      <c r="B557" s="31" t="s">
        <v>54</v>
      </c>
      <c r="C557" s="59" t="s">
        <v>1132</v>
      </c>
      <c r="D557" s="59" t="s">
        <v>578</v>
      </c>
      <c r="E557" s="48" t="s">
        <v>835</v>
      </c>
      <c r="F557" s="18">
        <f t="shared" si="135"/>
        <v>0</v>
      </c>
      <c r="G557" s="26"/>
      <c r="H557" s="26"/>
      <c r="I557" s="26"/>
      <c r="J557" s="26"/>
      <c r="K557" s="18">
        <f t="shared" si="137"/>
        <v>0</v>
      </c>
      <c r="L557" s="26"/>
      <c r="M557" s="26"/>
      <c r="N557" s="26"/>
      <c r="O557" s="26"/>
      <c r="P557" s="26"/>
      <c r="Q557" s="18">
        <f t="shared" si="136"/>
        <v>0</v>
      </c>
    </row>
    <row r="558" spans="1:17" ht="12.75" hidden="1">
      <c r="A558" s="112" t="s">
        <v>945</v>
      </c>
      <c r="B558" s="112" t="s">
        <v>98</v>
      </c>
      <c r="C558" s="112" t="s">
        <v>1016</v>
      </c>
      <c r="D558" s="112"/>
      <c r="E558" s="122" t="s">
        <v>99</v>
      </c>
      <c r="F558" s="32">
        <f>G558+J558</f>
        <v>0</v>
      </c>
      <c r="G558" s="114">
        <f>G559</f>
        <v>0</v>
      </c>
      <c r="H558" s="114">
        <f aca="true" t="shared" si="138" ref="H558:J559">H559</f>
        <v>0</v>
      </c>
      <c r="I558" s="114">
        <f t="shared" si="138"/>
        <v>0</v>
      </c>
      <c r="J558" s="114">
        <f t="shared" si="138"/>
        <v>0</v>
      </c>
      <c r="K558" s="32">
        <f>L558+O558</f>
        <v>0</v>
      </c>
      <c r="L558" s="114">
        <f aca="true" t="shared" si="139" ref="L558:P559">L559</f>
        <v>0</v>
      </c>
      <c r="M558" s="114">
        <f t="shared" si="139"/>
        <v>0</v>
      </c>
      <c r="N558" s="114">
        <f t="shared" si="139"/>
        <v>0</v>
      </c>
      <c r="O558" s="114">
        <f t="shared" si="139"/>
        <v>0</v>
      </c>
      <c r="P558" s="114">
        <f t="shared" si="139"/>
        <v>0</v>
      </c>
      <c r="Q558" s="32">
        <f>F558+K558</f>
        <v>0</v>
      </c>
    </row>
    <row r="559" spans="1:17" s="2" customFormat="1" ht="52.5" customHeight="1" hidden="1">
      <c r="A559" s="89" t="s">
        <v>946</v>
      </c>
      <c r="B559" s="89" t="s">
        <v>53</v>
      </c>
      <c r="C559" s="89" t="s">
        <v>1133</v>
      </c>
      <c r="D559" s="89"/>
      <c r="E559" s="91" t="s">
        <v>432</v>
      </c>
      <c r="F559" s="32">
        <f>G559+J559</f>
        <v>0</v>
      </c>
      <c r="G559" s="88">
        <f>G560</f>
        <v>0</v>
      </c>
      <c r="H559" s="88">
        <f t="shared" si="138"/>
        <v>0</v>
      </c>
      <c r="I559" s="88">
        <f t="shared" si="138"/>
        <v>0</v>
      </c>
      <c r="J559" s="88">
        <f t="shared" si="138"/>
        <v>0</v>
      </c>
      <c r="K559" s="32">
        <f>L559+O559</f>
        <v>0</v>
      </c>
      <c r="L559" s="88">
        <f t="shared" si="139"/>
        <v>0</v>
      </c>
      <c r="M559" s="88">
        <f t="shared" si="139"/>
        <v>0</v>
      </c>
      <c r="N559" s="88">
        <f t="shared" si="139"/>
        <v>0</v>
      </c>
      <c r="O559" s="88">
        <f t="shared" si="139"/>
        <v>0</v>
      </c>
      <c r="P559" s="88">
        <f t="shared" si="139"/>
        <v>0</v>
      </c>
      <c r="Q559" s="32">
        <f>F559+K559</f>
        <v>0</v>
      </c>
    </row>
    <row r="560" spans="1:17" s="2" customFormat="1" ht="26.25" customHeight="1" hidden="1">
      <c r="A560" s="7" t="s">
        <v>960</v>
      </c>
      <c r="B560" s="7" t="s">
        <v>53</v>
      </c>
      <c r="C560" s="7" t="s">
        <v>994</v>
      </c>
      <c r="D560" s="7"/>
      <c r="E560" s="3" t="s">
        <v>175</v>
      </c>
      <c r="F560" s="18">
        <f>G560+J560</f>
        <v>0</v>
      </c>
      <c r="G560" s="18"/>
      <c r="H560" s="18"/>
      <c r="I560" s="18"/>
      <c r="J560" s="18"/>
      <c r="K560" s="18">
        <f>L560+O560</f>
        <v>0</v>
      </c>
      <c r="L560" s="18"/>
      <c r="M560" s="18"/>
      <c r="N560" s="18"/>
      <c r="O560" s="18"/>
      <c r="P560" s="18"/>
      <c r="Q560" s="18">
        <f>F560+K560</f>
        <v>0</v>
      </c>
    </row>
    <row r="561" spans="1:17" s="12" customFormat="1" ht="38.25">
      <c r="A561" s="11" t="s">
        <v>299</v>
      </c>
      <c r="B561" s="11" t="s">
        <v>149</v>
      </c>
      <c r="C561" s="11" t="s">
        <v>149</v>
      </c>
      <c r="D561" s="11"/>
      <c r="E561" s="13" t="s">
        <v>137</v>
      </c>
      <c r="F561" s="20">
        <f>G561+J561</f>
        <v>14397452</v>
      </c>
      <c r="G561" s="20">
        <f>G562</f>
        <v>14397452</v>
      </c>
      <c r="H561" s="20">
        <f>H562</f>
        <v>4522781</v>
      </c>
      <c r="I561" s="20">
        <f>I562</f>
        <v>463650</v>
      </c>
      <c r="J561" s="20">
        <f>J562</f>
        <v>0</v>
      </c>
      <c r="K561" s="20">
        <f>L561+O561</f>
        <v>15704779</v>
      </c>
      <c r="L561" s="20">
        <f>L562</f>
        <v>355258</v>
      </c>
      <c r="M561" s="20">
        <f>M562</f>
        <v>0</v>
      </c>
      <c r="N561" s="20">
        <f>N562</f>
        <v>0</v>
      </c>
      <c r="O561" s="20">
        <f>O562</f>
        <v>15349521</v>
      </c>
      <c r="P561" s="20">
        <f>P562</f>
        <v>15292757</v>
      </c>
      <c r="Q561" s="20">
        <f>F561+K561</f>
        <v>30102231</v>
      </c>
    </row>
    <row r="562" spans="1:17" s="2" customFormat="1" ht="38.25">
      <c r="A562" s="7" t="s">
        <v>300</v>
      </c>
      <c r="B562" s="7"/>
      <c r="C562" s="7"/>
      <c r="D562" s="7"/>
      <c r="E562" s="3" t="s">
        <v>137</v>
      </c>
      <c r="F562" s="17">
        <f>G562+J562</f>
        <v>14397452</v>
      </c>
      <c r="G562" s="17">
        <f>G563+G565+G568+G570+G581</f>
        <v>14397452</v>
      </c>
      <c r="H562" s="17">
        <f>H563+H565+H568+H570+H581</f>
        <v>4522781</v>
      </c>
      <c r="I562" s="17">
        <f>I563+I565+I568+I570+I581</f>
        <v>463650</v>
      </c>
      <c r="J562" s="17">
        <f>J563+J565+J568+J570+J581</f>
        <v>0</v>
      </c>
      <c r="K562" s="17">
        <f>L562+O562</f>
        <v>15704779</v>
      </c>
      <c r="L562" s="17">
        <f>L563+L565+L568+L570+L581</f>
        <v>355258</v>
      </c>
      <c r="M562" s="17">
        <f>M563+M565+M568+M570+M581</f>
        <v>0</v>
      </c>
      <c r="N562" s="17">
        <f>N563+N565+N568+N570+N581</f>
        <v>0</v>
      </c>
      <c r="O562" s="17">
        <f>O563+O565+O568+O570+O581</f>
        <v>15349521</v>
      </c>
      <c r="P562" s="17">
        <f>P563+P565+P568+P570+P581</f>
        <v>15292757</v>
      </c>
      <c r="Q562" s="17">
        <f>F562+K562</f>
        <v>30102231</v>
      </c>
    </row>
    <row r="563" spans="1:17" s="2" customFormat="1" ht="12.75">
      <c r="A563" s="117" t="s">
        <v>735</v>
      </c>
      <c r="B563" s="116" t="s">
        <v>672</v>
      </c>
      <c r="C563" s="116" t="s">
        <v>973</v>
      </c>
      <c r="D563" s="116"/>
      <c r="E563" s="124" t="s">
        <v>674</v>
      </c>
      <c r="F563" s="17">
        <f aca="true" t="shared" si="140" ref="F563:F580">G563+J563</f>
        <v>6838687</v>
      </c>
      <c r="G563" s="132">
        <f>G564</f>
        <v>6838687</v>
      </c>
      <c r="H563" s="132">
        <f>H564</f>
        <v>4522781</v>
      </c>
      <c r="I563" s="132">
        <f>I564</f>
        <v>463650</v>
      </c>
      <c r="J563" s="132">
        <f>J564</f>
        <v>0</v>
      </c>
      <c r="K563" s="17">
        <f aca="true" t="shared" si="141" ref="K563:K580">L563+O563</f>
        <v>1397924</v>
      </c>
      <c r="L563" s="132">
        <f>L564</f>
        <v>333181</v>
      </c>
      <c r="M563" s="132">
        <f>M564</f>
        <v>0</v>
      </c>
      <c r="N563" s="132">
        <f>N564</f>
        <v>0</v>
      </c>
      <c r="O563" s="132">
        <f>O564</f>
        <v>1064743</v>
      </c>
      <c r="P563" s="132">
        <f>P564</f>
        <v>1007979</v>
      </c>
      <c r="Q563" s="17">
        <f aca="true" t="shared" si="142" ref="Q563:Q580">F563+K563</f>
        <v>8236611</v>
      </c>
    </row>
    <row r="564" spans="1:17" s="4" customFormat="1" ht="63.75">
      <c r="A564" s="6" t="s">
        <v>25</v>
      </c>
      <c r="B564" s="6" t="s">
        <v>33</v>
      </c>
      <c r="C564" s="6" t="s">
        <v>614</v>
      </c>
      <c r="D564" s="6" t="s">
        <v>575</v>
      </c>
      <c r="E564" s="51" t="s">
        <v>889</v>
      </c>
      <c r="F564" s="17">
        <f t="shared" si="140"/>
        <v>6838687</v>
      </c>
      <c r="G564" s="15">
        <f>6625494+(478794)-265601</f>
        <v>6838687</v>
      </c>
      <c r="H564" s="15">
        <v>4522781</v>
      </c>
      <c r="I564" s="15">
        <v>463650</v>
      </c>
      <c r="J564" s="15"/>
      <c r="K564" s="17">
        <f t="shared" si="141"/>
        <v>1397924</v>
      </c>
      <c r="L564" s="15">
        <v>333181</v>
      </c>
      <c r="M564" s="15"/>
      <c r="N564" s="15"/>
      <c r="O564" s="15">
        <f>P564+56764</f>
        <v>1064743</v>
      </c>
      <c r="P564" s="15">
        <v>1007979</v>
      </c>
      <c r="Q564" s="17">
        <f t="shared" si="142"/>
        <v>8236611</v>
      </c>
    </row>
    <row r="565" spans="1:17" s="4" customFormat="1" ht="12.75">
      <c r="A565" s="116" t="s">
        <v>736</v>
      </c>
      <c r="B565" s="117" t="s">
        <v>664</v>
      </c>
      <c r="C565" s="117" t="s">
        <v>1095</v>
      </c>
      <c r="D565" s="117"/>
      <c r="E565" s="124" t="s">
        <v>666</v>
      </c>
      <c r="F565" s="17">
        <f t="shared" si="140"/>
        <v>6995329</v>
      </c>
      <c r="G565" s="126">
        <f>G566+G567</f>
        <v>6995329</v>
      </c>
      <c r="H565" s="126">
        <f>H566+H567</f>
        <v>0</v>
      </c>
      <c r="I565" s="126">
        <f>I566+I567</f>
        <v>0</v>
      </c>
      <c r="J565" s="126">
        <f>J566+J567</f>
        <v>0</v>
      </c>
      <c r="K565" s="17">
        <f t="shared" si="141"/>
        <v>280000</v>
      </c>
      <c r="L565" s="126">
        <f>L566+L567</f>
        <v>0</v>
      </c>
      <c r="M565" s="126">
        <f>M566+M567</f>
        <v>0</v>
      </c>
      <c r="N565" s="126">
        <f>N566+N567</f>
        <v>0</v>
      </c>
      <c r="O565" s="126">
        <f>O566+O567</f>
        <v>280000</v>
      </c>
      <c r="P565" s="126">
        <f>P566+P567</f>
        <v>280000</v>
      </c>
      <c r="Q565" s="17">
        <f t="shared" si="142"/>
        <v>7275329</v>
      </c>
    </row>
    <row r="566" spans="1:17" s="2" customFormat="1" ht="51">
      <c r="A566" s="112" t="s">
        <v>774</v>
      </c>
      <c r="B566" s="112" t="s">
        <v>322</v>
      </c>
      <c r="C566" s="112" t="s">
        <v>1096</v>
      </c>
      <c r="D566" s="112" t="s">
        <v>607</v>
      </c>
      <c r="E566" s="113" t="s">
        <v>329</v>
      </c>
      <c r="F566" s="17">
        <f t="shared" si="140"/>
        <v>2370519</v>
      </c>
      <c r="G566" s="121">
        <v>2370519</v>
      </c>
      <c r="H566" s="121"/>
      <c r="I566" s="121"/>
      <c r="J566" s="121"/>
      <c r="K566" s="17">
        <f t="shared" si="141"/>
        <v>0</v>
      </c>
      <c r="L566" s="121"/>
      <c r="M566" s="121"/>
      <c r="N566" s="121"/>
      <c r="O566" s="121"/>
      <c r="P566" s="121"/>
      <c r="Q566" s="17">
        <f t="shared" si="142"/>
        <v>2370519</v>
      </c>
    </row>
    <row r="567" spans="1:17" s="2" customFormat="1" ht="12.75">
      <c r="A567" s="7" t="s">
        <v>407</v>
      </c>
      <c r="B567" s="7" t="s">
        <v>123</v>
      </c>
      <c r="C567" s="7" t="s">
        <v>1107</v>
      </c>
      <c r="D567" s="7" t="s">
        <v>608</v>
      </c>
      <c r="E567" s="3" t="s">
        <v>125</v>
      </c>
      <c r="F567" s="17">
        <f t="shared" si="140"/>
        <v>4624810</v>
      </c>
      <c r="G567" s="18">
        <v>4624810</v>
      </c>
      <c r="H567" s="18"/>
      <c r="I567" s="18"/>
      <c r="J567" s="18"/>
      <c r="K567" s="17">
        <f t="shared" si="141"/>
        <v>280000</v>
      </c>
      <c r="L567" s="18"/>
      <c r="M567" s="18"/>
      <c r="N567" s="18"/>
      <c r="O567" s="18">
        <f>P567</f>
        <v>280000</v>
      </c>
      <c r="P567" s="18">
        <v>280000</v>
      </c>
      <c r="Q567" s="17">
        <f t="shared" si="142"/>
        <v>4904810</v>
      </c>
    </row>
    <row r="568" spans="1:17" s="2" customFormat="1" ht="12.75">
      <c r="A568" s="112" t="s">
        <v>737</v>
      </c>
      <c r="B568" s="112" t="s">
        <v>629</v>
      </c>
      <c r="C568" s="112" t="s">
        <v>1021</v>
      </c>
      <c r="D568" s="112"/>
      <c r="E568" s="115" t="s">
        <v>631</v>
      </c>
      <c r="F568" s="17">
        <f t="shared" si="140"/>
        <v>0</v>
      </c>
      <c r="G568" s="123">
        <f>G569</f>
        <v>0</v>
      </c>
      <c r="H568" s="123">
        <f>H569</f>
        <v>0</v>
      </c>
      <c r="I568" s="123">
        <f>I569</f>
        <v>0</v>
      </c>
      <c r="J568" s="123">
        <f>J569</f>
        <v>0</v>
      </c>
      <c r="K568" s="17">
        <f t="shared" si="141"/>
        <v>14004778</v>
      </c>
      <c r="L568" s="123">
        <f>L569</f>
        <v>0</v>
      </c>
      <c r="M568" s="123">
        <f>M569</f>
        <v>0</v>
      </c>
      <c r="N568" s="123">
        <f>N569</f>
        <v>0</v>
      </c>
      <c r="O568" s="123">
        <f>O569</f>
        <v>14004778</v>
      </c>
      <c r="P568" s="123">
        <f>P569</f>
        <v>14004778</v>
      </c>
      <c r="Q568" s="17">
        <f t="shared" si="142"/>
        <v>14004778</v>
      </c>
    </row>
    <row r="569" spans="1:17" s="2" customFormat="1" ht="25.5">
      <c r="A569" s="50" t="s">
        <v>566</v>
      </c>
      <c r="B569" s="28" t="s">
        <v>87</v>
      </c>
      <c r="C569" s="50" t="s">
        <v>981</v>
      </c>
      <c r="D569" s="50" t="s">
        <v>577</v>
      </c>
      <c r="E569" s="51" t="s">
        <v>174</v>
      </c>
      <c r="F569" s="17">
        <f t="shared" si="140"/>
        <v>0</v>
      </c>
      <c r="G569" s="18"/>
      <c r="H569" s="18"/>
      <c r="I569" s="18"/>
      <c r="J569" s="18"/>
      <c r="K569" s="17">
        <f t="shared" si="141"/>
        <v>14004778</v>
      </c>
      <c r="L569" s="18"/>
      <c r="M569" s="18"/>
      <c r="N569" s="18"/>
      <c r="O569" s="18">
        <f>P569</f>
        <v>14004778</v>
      </c>
      <c r="P569" s="18">
        <v>14004778</v>
      </c>
      <c r="Q569" s="17">
        <f t="shared" si="142"/>
        <v>14004778</v>
      </c>
    </row>
    <row r="570" spans="1:17" s="2" customFormat="1" ht="25.5">
      <c r="A570" s="116" t="s">
        <v>739</v>
      </c>
      <c r="B570" s="116" t="s">
        <v>635</v>
      </c>
      <c r="C570" s="116" t="s">
        <v>1022</v>
      </c>
      <c r="D570" s="116"/>
      <c r="E570" s="125" t="s">
        <v>636</v>
      </c>
      <c r="F570" s="121">
        <f t="shared" si="140"/>
        <v>563436</v>
      </c>
      <c r="G570" s="121">
        <f>G571</f>
        <v>563436</v>
      </c>
      <c r="H570" s="121">
        <f>H571</f>
        <v>0</v>
      </c>
      <c r="I570" s="121">
        <f>I571</f>
        <v>0</v>
      </c>
      <c r="J570" s="121">
        <f>J571</f>
        <v>0</v>
      </c>
      <c r="K570" s="121">
        <f t="shared" si="141"/>
        <v>0</v>
      </c>
      <c r="L570" s="121">
        <f>L571</f>
        <v>0</v>
      </c>
      <c r="M570" s="121">
        <f>M571</f>
        <v>0</v>
      </c>
      <c r="N570" s="121">
        <f>N571</f>
        <v>0</v>
      </c>
      <c r="O570" s="121">
        <f>O571</f>
        <v>0</v>
      </c>
      <c r="P570" s="121">
        <f>P571</f>
        <v>0</v>
      </c>
      <c r="Q570" s="121">
        <f t="shared" si="142"/>
        <v>563436</v>
      </c>
    </row>
    <row r="571" spans="1:17" s="2" customFormat="1" ht="12.75">
      <c r="A571" s="89" t="s">
        <v>429</v>
      </c>
      <c r="B571" s="89" t="s">
        <v>54</v>
      </c>
      <c r="C571" s="89" t="s">
        <v>1094</v>
      </c>
      <c r="D571" s="89" t="s">
        <v>578</v>
      </c>
      <c r="E571" s="99" t="s">
        <v>417</v>
      </c>
      <c r="F571" s="92">
        <f t="shared" si="140"/>
        <v>563436</v>
      </c>
      <c r="G571" s="92">
        <f>SUM(G572:G580)</f>
        <v>563436</v>
      </c>
      <c r="H571" s="92">
        <f>SUM(H572:H580)</f>
        <v>0</v>
      </c>
      <c r="I571" s="92">
        <f>SUM(I572:I580)</f>
        <v>0</v>
      </c>
      <c r="J571" s="92">
        <f>SUM(J572:J580)</f>
        <v>0</v>
      </c>
      <c r="K571" s="92">
        <f t="shared" si="141"/>
        <v>0</v>
      </c>
      <c r="L571" s="92">
        <f>SUM(L572:L580)</f>
        <v>0</v>
      </c>
      <c r="M571" s="92">
        <f>SUM(M572:M580)</f>
        <v>0</v>
      </c>
      <c r="N571" s="92">
        <f>SUM(N572:N580)</f>
        <v>0</v>
      </c>
      <c r="O571" s="92">
        <f>SUM(O572:O580)</f>
        <v>0</v>
      </c>
      <c r="P571" s="92">
        <f>SUM(P572:P580)</f>
        <v>0</v>
      </c>
      <c r="Q571" s="92">
        <f t="shared" si="142"/>
        <v>563436</v>
      </c>
    </row>
    <row r="572" spans="1:17" ht="49.5" customHeight="1" hidden="1">
      <c r="A572" s="59" t="s">
        <v>947</v>
      </c>
      <c r="B572" s="50" t="s">
        <v>54</v>
      </c>
      <c r="C572" s="50" t="s">
        <v>985</v>
      </c>
      <c r="D572" s="50" t="s">
        <v>578</v>
      </c>
      <c r="E572" s="48" t="s">
        <v>178</v>
      </c>
      <c r="F572" s="27">
        <f t="shared" si="140"/>
        <v>0</v>
      </c>
      <c r="G572" s="27"/>
      <c r="H572" s="27"/>
      <c r="I572" s="27"/>
      <c r="J572" s="27"/>
      <c r="K572" s="27">
        <f t="shared" si="141"/>
        <v>0</v>
      </c>
      <c r="L572" s="27"/>
      <c r="M572" s="27"/>
      <c r="N572" s="27"/>
      <c r="O572" s="27"/>
      <c r="P572" s="27"/>
      <c r="Q572" s="27">
        <f t="shared" si="142"/>
        <v>0</v>
      </c>
    </row>
    <row r="573" spans="1:17" s="181" customFormat="1" ht="41.25" customHeight="1" hidden="1">
      <c r="A573" s="170" t="s">
        <v>372</v>
      </c>
      <c r="B573" s="171" t="s">
        <v>54</v>
      </c>
      <c r="C573" s="170" t="s">
        <v>986</v>
      </c>
      <c r="D573" s="170" t="s">
        <v>578</v>
      </c>
      <c r="E573" s="178" t="s">
        <v>854</v>
      </c>
      <c r="F573" s="180">
        <f t="shared" si="140"/>
        <v>442133</v>
      </c>
      <c r="G573" s="180">
        <v>442133</v>
      </c>
      <c r="H573" s="180"/>
      <c r="I573" s="180"/>
      <c r="J573" s="180"/>
      <c r="K573" s="180">
        <f t="shared" si="141"/>
        <v>0</v>
      </c>
      <c r="L573" s="180"/>
      <c r="M573" s="173"/>
      <c r="N573" s="173"/>
      <c r="O573" s="173"/>
      <c r="P573" s="173"/>
      <c r="Q573" s="180">
        <f t="shared" si="142"/>
        <v>442133</v>
      </c>
    </row>
    <row r="574" spans="1:17" s="169" customFormat="1" ht="51" customHeight="1" hidden="1">
      <c r="A574" s="170" t="s">
        <v>401</v>
      </c>
      <c r="B574" s="170" t="s">
        <v>54</v>
      </c>
      <c r="C574" s="170" t="s">
        <v>987</v>
      </c>
      <c r="D574" s="170" t="s">
        <v>578</v>
      </c>
      <c r="E574" s="178" t="s">
        <v>334</v>
      </c>
      <c r="F574" s="173">
        <f t="shared" si="140"/>
        <v>43067</v>
      </c>
      <c r="G574" s="173">
        <v>43067</v>
      </c>
      <c r="H574" s="173"/>
      <c r="I574" s="173"/>
      <c r="J574" s="173"/>
      <c r="K574" s="173">
        <f t="shared" si="141"/>
        <v>0</v>
      </c>
      <c r="L574" s="173"/>
      <c r="M574" s="173"/>
      <c r="N574" s="173"/>
      <c r="O574" s="173"/>
      <c r="P574" s="173"/>
      <c r="Q574" s="173">
        <f t="shared" si="142"/>
        <v>43067</v>
      </c>
    </row>
    <row r="575" spans="1:17" s="169" customFormat="1" ht="50.25" customHeight="1" hidden="1">
      <c r="A575" s="170" t="s">
        <v>948</v>
      </c>
      <c r="B575" s="170" t="s">
        <v>54</v>
      </c>
      <c r="C575" s="170" t="s">
        <v>988</v>
      </c>
      <c r="D575" s="170" t="s">
        <v>578</v>
      </c>
      <c r="E575" s="178" t="s">
        <v>480</v>
      </c>
      <c r="F575" s="173">
        <f t="shared" si="140"/>
        <v>0</v>
      </c>
      <c r="G575" s="173"/>
      <c r="H575" s="173"/>
      <c r="I575" s="173"/>
      <c r="J575" s="173"/>
      <c r="K575" s="173">
        <f t="shared" si="141"/>
        <v>0</v>
      </c>
      <c r="L575" s="173"/>
      <c r="M575" s="173"/>
      <c r="N575" s="173"/>
      <c r="O575" s="173"/>
      <c r="P575" s="173"/>
      <c r="Q575" s="173">
        <f t="shared" si="142"/>
        <v>0</v>
      </c>
    </row>
    <row r="576" spans="1:17" s="169" customFormat="1" ht="53.25" customHeight="1" hidden="1">
      <c r="A576" s="170" t="s">
        <v>438</v>
      </c>
      <c r="B576" s="170" t="s">
        <v>54</v>
      </c>
      <c r="C576" s="170" t="s">
        <v>989</v>
      </c>
      <c r="D576" s="170" t="s">
        <v>578</v>
      </c>
      <c r="E576" s="178" t="s">
        <v>363</v>
      </c>
      <c r="F576" s="173">
        <f t="shared" si="140"/>
        <v>0</v>
      </c>
      <c r="G576" s="173"/>
      <c r="H576" s="173"/>
      <c r="I576" s="173"/>
      <c r="J576" s="173"/>
      <c r="K576" s="173">
        <f t="shared" si="141"/>
        <v>0</v>
      </c>
      <c r="L576" s="173"/>
      <c r="M576" s="173"/>
      <c r="N576" s="173"/>
      <c r="O576" s="173"/>
      <c r="P576" s="173"/>
      <c r="Q576" s="173">
        <f t="shared" si="142"/>
        <v>0</v>
      </c>
    </row>
    <row r="577" spans="1:17" s="169" customFormat="1" ht="51" hidden="1">
      <c r="A577" s="170" t="s">
        <v>468</v>
      </c>
      <c r="B577" s="170" t="s">
        <v>54</v>
      </c>
      <c r="C577" s="170" t="s">
        <v>990</v>
      </c>
      <c r="D577" s="170" t="s">
        <v>578</v>
      </c>
      <c r="E577" s="178" t="s">
        <v>321</v>
      </c>
      <c r="F577" s="173">
        <f t="shared" si="140"/>
        <v>50000</v>
      </c>
      <c r="G577" s="173">
        <v>50000</v>
      </c>
      <c r="H577" s="173"/>
      <c r="I577" s="173"/>
      <c r="J577" s="173"/>
      <c r="K577" s="173">
        <f t="shared" si="141"/>
        <v>0</v>
      </c>
      <c r="L577" s="173"/>
      <c r="M577" s="173"/>
      <c r="N577" s="173"/>
      <c r="O577" s="173"/>
      <c r="P577" s="173"/>
      <c r="Q577" s="173">
        <f t="shared" si="142"/>
        <v>50000</v>
      </c>
    </row>
    <row r="578" spans="1:17" s="169" customFormat="1" ht="102" customHeight="1" hidden="1">
      <c r="A578" s="170" t="s">
        <v>949</v>
      </c>
      <c r="B578" s="170" t="s">
        <v>54</v>
      </c>
      <c r="C578" s="170" t="s">
        <v>991</v>
      </c>
      <c r="D578" s="170" t="s">
        <v>578</v>
      </c>
      <c r="E578" s="178" t="s">
        <v>367</v>
      </c>
      <c r="F578" s="176">
        <f t="shared" si="140"/>
        <v>0</v>
      </c>
      <c r="G578" s="176"/>
      <c r="H578" s="176"/>
      <c r="I578" s="176"/>
      <c r="J578" s="176"/>
      <c r="K578" s="176">
        <f t="shared" si="141"/>
        <v>0</v>
      </c>
      <c r="L578" s="176"/>
      <c r="M578" s="176"/>
      <c r="N578" s="176"/>
      <c r="O578" s="176"/>
      <c r="P578" s="176"/>
      <c r="Q578" s="176">
        <f t="shared" si="142"/>
        <v>0</v>
      </c>
    </row>
    <row r="579" spans="1:17" s="169" customFormat="1" ht="25.5" hidden="1">
      <c r="A579" s="170" t="s">
        <v>448</v>
      </c>
      <c r="B579" s="170" t="s">
        <v>54</v>
      </c>
      <c r="C579" s="170" t="s">
        <v>992</v>
      </c>
      <c r="D579" s="170" t="s">
        <v>578</v>
      </c>
      <c r="E579" s="178" t="s">
        <v>887</v>
      </c>
      <c r="F579" s="176">
        <f t="shared" si="140"/>
        <v>28236</v>
      </c>
      <c r="G579" s="176">
        <v>28236</v>
      </c>
      <c r="H579" s="176"/>
      <c r="I579" s="176"/>
      <c r="J579" s="176"/>
      <c r="K579" s="176">
        <f t="shared" si="141"/>
        <v>0</v>
      </c>
      <c r="L579" s="176"/>
      <c r="M579" s="176"/>
      <c r="N579" s="176"/>
      <c r="O579" s="176"/>
      <c r="P579" s="176"/>
      <c r="Q579" s="176">
        <f t="shared" si="142"/>
        <v>28236</v>
      </c>
    </row>
    <row r="580" spans="1:17" s="169" customFormat="1" ht="15" customHeight="1" hidden="1">
      <c r="A580" s="170" t="s">
        <v>950</v>
      </c>
      <c r="B580" s="171" t="s">
        <v>54</v>
      </c>
      <c r="C580" s="170" t="s">
        <v>1132</v>
      </c>
      <c r="D580" s="170" t="s">
        <v>578</v>
      </c>
      <c r="E580" s="178" t="s">
        <v>835</v>
      </c>
      <c r="F580" s="173">
        <f t="shared" si="140"/>
        <v>0</v>
      </c>
      <c r="G580" s="173"/>
      <c r="H580" s="173"/>
      <c r="I580" s="173"/>
      <c r="J580" s="173"/>
      <c r="K580" s="173">
        <f t="shared" si="141"/>
        <v>0</v>
      </c>
      <c r="L580" s="173"/>
      <c r="M580" s="173"/>
      <c r="N580" s="173"/>
      <c r="O580" s="173"/>
      <c r="P580" s="173"/>
      <c r="Q580" s="173">
        <f t="shared" si="142"/>
        <v>0</v>
      </c>
    </row>
    <row r="581" spans="1:17" s="2" customFormat="1" ht="12.75">
      <c r="A581" s="116" t="s">
        <v>738</v>
      </c>
      <c r="B581" s="117" t="s">
        <v>98</v>
      </c>
      <c r="C581" s="117" t="s">
        <v>1016</v>
      </c>
      <c r="D581" s="117"/>
      <c r="E581" s="118" t="s">
        <v>99</v>
      </c>
      <c r="F581" s="121">
        <f>G581+J581</f>
        <v>0</v>
      </c>
      <c r="G581" s="121">
        <f>G582</f>
        <v>0</v>
      </c>
      <c r="H581" s="121">
        <f aca="true" t="shared" si="143" ref="H581:J582">H582</f>
        <v>0</v>
      </c>
      <c r="I581" s="121">
        <f t="shared" si="143"/>
        <v>0</v>
      </c>
      <c r="J581" s="121">
        <f t="shared" si="143"/>
        <v>0</v>
      </c>
      <c r="K581" s="121">
        <f>L581+O581</f>
        <v>22077</v>
      </c>
      <c r="L581" s="121">
        <f aca="true" t="shared" si="144" ref="L581:P582">L582</f>
        <v>22077</v>
      </c>
      <c r="M581" s="121">
        <f t="shared" si="144"/>
        <v>0</v>
      </c>
      <c r="N581" s="121">
        <f t="shared" si="144"/>
        <v>0</v>
      </c>
      <c r="O581" s="121">
        <f t="shared" si="144"/>
        <v>0</v>
      </c>
      <c r="P581" s="121">
        <f t="shared" si="144"/>
        <v>0</v>
      </c>
      <c r="Q581" s="121">
        <f>F581+K581</f>
        <v>22077</v>
      </c>
    </row>
    <row r="582" spans="1:17" s="2" customFormat="1" ht="48.75" customHeight="1">
      <c r="A582" s="89" t="s">
        <v>553</v>
      </c>
      <c r="B582" s="89" t="s">
        <v>53</v>
      </c>
      <c r="C582" s="89" t="s">
        <v>993</v>
      </c>
      <c r="D582" s="89" t="s">
        <v>578</v>
      </c>
      <c r="E582" s="91" t="s">
        <v>432</v>
      </c>
      <c r="F582" s="92">
        <f>G582+J582</f>
        <v>0</v>
      </c>
      <c r="G582" s="92">
        <f>G583</f>
        <v>0</v>
      </c>
      <c r="H582" s="92">
        <f t="shared" si="143"/>
        <v>0</v>
      </c>
      <c r="I582" s="92">
        <f t="shared" si="143"/>
        <v>0</v>
      </c>
      <c r="J582" s="92">
        <f t="shared" si="143"/>
        <v>0</v>
      </c>
      <c r="K582" s="92">
        <f>L582+O582</f>
        <v>22077</v>
      </c>
      <c r="L582" s="92">
        <f t="shared" si="144"/>
        <v>22077</v>
      </c>
      <c r="M582" s="92">
        <f t="shared" si="144"/>
        <v>0</v>
      </c>
      <c r="N582" s="92">
        <f t="shared" si="144"/>
        <v>0</v>
      </c>
      <c r="O582" s="92">
        <f t="shared" si="144"/>
        <v>0</v>
      </c>
      <c r="P582" s="92">
        <f t="shared" si="144"/>
        <v>0</v>
      </c>
      <c r="Q582" s="92">
        <f>F582+K582</f>
        <v>22077</v>
      </c>
    </row>
    <row r="583" spans="1:17" s="174" customFormat="1" ht="25.5" hidden="1">
      <c r="A583" s="182" t="s">
        <v>554</v>
      </c>
      <c r="B583" s="182" t="s">
        <v>53</v>
      </c>
      <c r="C583" s="182" t="s">
        <v>994</v>
      </c>
      <c r="D583" s="182" t="s">
        <v>578</v>
      </c>
      <c r="E583" s="178" t="s">
        <v>175</v>
      </c>
      <c r="F583" s="186">
        <f>G583+J583</f>
        <v>0</v>
      </c>
      <c r="G583" s="183"/>
      <c r="H583" s="183"/>
      <c r="I583" s="183"/>
      <c r="J583" s="183"/>
      <c r="K583" s="186">
        <f>L583+O583</f>
        <v>22077</v>
      </c>
      <c r="L583" s="183">
        <f>16850+5227</f>
        <v>22077</v>
      </c>
      <c r="M583" s="183"/>
      <c r="N583" s="183"/>
      <c r="O583" s="183"/>
      <c r="P583" s="183"/>
      <c r="Q583" s="186">
        <f>F583+K583</f>
        <v>22077</v>
      </c>
    </row>
    <row r="584" spans="1:17" s="12" customFormat="1" ht="40.5" customHeight="1">
      <c r="A584" s="11" t="s">
        <v>301</v>
      </c>
      <c r="B584" s="11" t="s">
        <v>150</v>
      </c>
      <c r="C584" s="11" t="s">
        <v>150</v>
      </c>
      <c r="D584" s="11"/>
      <c r="E584" s="13" t="s">
        <v>135</v>
      </c>
      <c r="F584" s="21">
        <f>G584+J584</f>
        <v>11837860</v>
      </c>
      <c r="G584" s="21">
        <f>G585</f>
        <v>11837860</v>
      </c>
      <c r="H584" s="21">
        <f>H585</f>
        <v>4234277</v>
      </c>
      <c r="I584" s="21">
        <f>I585</f>
        <v>655097</v>
      </c>
      <c r="J584" s="21">
        <f>J585</f>
        <v>0</v>
      </c>
      <c r="K584" s="21">
        <f>L584+O584</f>
        <v>5969102</v>
      </c>
      <c r="L584" s="21">
        <f>L585</f>
        <v>216222</v>
      </c>
      <c r="M584" s="21">
        <f>M585</f>
        <v>0</v>
      </c>
      <c r="N584" s="21">
        <f>N585</f>
        <v>0</v>
      </c>
      <c r="O584" s="21">
        <f>O585</f>
        <v>5752880</v>
      </c>
      <c r="P584" s="21">
        <f>P585</f>
        <v>5752880</v>
      </c>
      <c r="Q584" s="21">
        <f>F584+K584</f>
        <v>17806962</v>
      </c>
    </row>
    <row r="585" spans="1:17" s="2" customFormat="1" ht="38.25" customHeight="1">
      <c r="A585" s="7" t="s">
        <v>302</v>
      </c>
      <c r="B585" s="7"/>
      <c r="C585" s="7"/>
      <c r="D585" s="7"/>
      <c r="E585" s="3" t="s">
        <v>135</v>
      </c>
      <c r="F585" s="18">
        <f>G585+J585</f>
        <v>11837860</v>
      </c>
      <c r="G585" s="18">
        <f>G586+G588+G591+G593+G604</f>
        <v>11837860</v>
      </c>
      <c r="H585" s="18">
        <f>H586+H588+H591+H593+H604</f>
        <v>4234277</v>
      </c>
      <c r="I585" s="18">
        <f>I586+I588+I591+I593+I604</f>
        <v>655097</v>
      </c>
      <c r="J585" s="18">
        <f>J586+J588+J591+J593+J604</f>
        <v>0</v>
      </c>
      <c r="K585" s="18">
        <f>L585+O585</f>
        <v>5969102</v>
      </c>
      <c r="L585" s="18">
        <f>L586+L588+L591+L593+L604</f>
        <v>216222</v>
      </c>
      <c r="M585" s="18">
        <f>M586+M588+M591+M593+M604</f>
        <v>0</v>
      </c>
      <c r="N585" s="18">
        <f>N586+N588+N591+N593+N604</f>
        <v>0</v>
      </c>
      <c r="O585" s="18">
        <f>O586+O588+O591+O593+O604</f>
        <v>5752880</v>
      </c>
      <c r="P585" s="18">
        <f>P586+P588+P591+P593+P604</f>
        <v>5752880</v>
      </c>
      <c r="Q585" s="18">
        <f>F585+K585</f>
        <v>17806962</v>
      </c>
    </row>
    <row r="586" spans="1:17" s="2" customFormat="1" ht="12.75">
      <c r="A586" s="117" t="s">
        <v>740</v>
      </c>
      <c r="B586" s="116" t="s">
        <v>672</v>
      </c>
      <c r="C586" s="116" t="s">
        <v>973</v>
      </c>
      <c r="D586" s="116"/>
      <c r="E586" s="124" t="s">
        <v>674</v>
      </c>
      <c r="F586" s="121">
        <f aca="true" t="shared" si="145" ref="F586:F603">G586+J586</f>
        <v>7696115</v>
      </c>
      <c r="G586" s="121">
        <f>G587</f>
        <v>7696115</v>
      </c>
      <c r="H586" s="121">
        <f>H587</f>
        <v>4234277</v>
      </c>
      <c r="I586" s="121">
        <f>I587</f>
        <v>655097</v>
      </c>
      <c r="J586" s="121">
        <f>J587</f>
        <v>0</v>
      </c>
      <c r="K586" s="121">
        <f aca="true" t="shared" si="146" ref="K586:K603">L586+O586</f>
        <v>809387</v>
      </c>
      <c r="L586" s="121">
        <f>L587</f>
        <v>159387</v>
      </c>
      <c r="M586" s="121">
        <f>M587</f>
        <v>0</v>
      </c>
      <c r="N586" s="121">
        <f>N587</f>
        <v>0</v>
      </c>
      <c r="O586" s="121">
        <f>O587</f>
        <v>650000</v>
      </c>
      <c r="P586" s="121">
        <f>P587</f>
        <v>650000</v>
      </c>
      <c r="Q586" s="121">
        <f aca="true" t="shared" si="147" ref="Q586:Q603">F586+K586</f>
        <v>8505502</v>
      </c>
    </row>
    <row r="587" spans="1:17" s="4" customFormat="1" ht="78" customHeight="1">
      <c r="A587" s="6" t="s">
        <v>26</v>
      </c>
      <c r="B587" s="6" t="s">
        <v>33</v>
      </c>
      <c r="C587" s="6" t="s">
        <v>614</v>
      </c>
      <c r="D587" s="6" t="s">
        <v>575</v>
      </c>
      <c r="E587" s="51" t="s">
        <v>889</v>
      </c>
      <c r="F587" s="18">
        <f t="shared" si="145"/>
        <v>7696115</v>
      </c>
      <c r="G587" s="18">
        <f>6762125+(1186861)-252871</f>
        <v>7696115</v>
      </c>
      <c r="H587" s="18">
        <v>4234277</v>
      </c>
      <c r="I587" s="18">
        <v>655097</v>
      </c>
      <c r="J587" s="18"/>
      <c r="K587" s="18">
        <f t="shared" si="146"/>
        <v>809387</v>
      </c>
      <c r="L587" s="18">
        <v>159387</v>
      </c>
      <c r="M587" s="18"/>
      <c r="N587" s="18"/>
      <c r="O587" s="18">
        <f>P587</f>
        <v>650000</v>
      </c>
      <c r="P587" s="18">
        <v>650000</v>
      </c>
      <c r="Q587" s="18">
        <f t="shared" si="147"/>
        <v>8505502</v>
      </c>
    </row>
    <row r="588" spans="1:17" s="4" customFormat="1" ht="12.75">
      <c r="A588" s="116" t="s">
        <v>741</v>
      </c>
      <c r="B588" s="117" t="s">
        <v>664</v>
      </c>
      <c r="C588" s="117" t="s">
        <v>1095</v>
      </c>
      <c r="D588" s="117"/>
      <c r="E588" s="118" t="s">
        <v>666</v>
      </c>
      <c r="F588" s="121">
        <f t="shared" si="145"/>
        <v>3882935</v>
      </c>
      <c r="G588" s="121">
        <f>G589+G590</f>
        <v>3882935</v>
      </c>
      <c r="H588" s="121">
        <f>H589+H590</f>
        <v>0</v>
      </c>
      <c r="I588" s="121">
        <f>I589+I590</f>
        <v>0</v>
      </c>
      <c r="J588" s="121">
        <f>J589+J590</f>
        <v>0</v>
      </c>
      <c r="K588" s="121">
        <f t="shared" si="146"/>
        <v>59000</v>
      </c>
      <c r="L588" s="121">
        <f>L589+L590</f>
        <v>0</v>
      </c>
      <c r="M588" s="121">
        <f>M589+M590</f>
        <v>0</v>
      </c>
      <c r="N588" s="121">
        <f>N589+N590</f>
        <v>0</v>
      </c>
      <c r="O588" s="121">
        <f>O589+O590</f>
        <v>59000</v>
      </c>
      <c r="P588" s="121">
        <f>P589+P590</f>
        <v>59000</v>
      </c>
      <c r="Q588" s="121">
        <f t="shared" si="147"/>
        <v>3941935</v>
      </c>
    </row>
    <row r="589" spans="1:17" s="2" customFormat="1" ht="51">
      <c r="A589" s="112" t="s">
        <v>775</v>
      </c>
      <c r="B589" s="112" t="s">
        <v>322</v>
      </c>
      <c r="C589" s="112" t="s">
        <v>1096</v>
      </c>
      <c r="D589" s="112" t="s">
        <v>607</v>
      </c>
      <c r="E589" s="113" t="s">
        <v>329</v>
      </c>
      <c r="F589" s="121">
        <f t="shared" si="145"/>
        <v>1666639</v>
      </c>
      <c r="G589" s="121">
        <v>1666639</v>
      </c>
      <c r="H589" s="121"/>
      <c r="I589" s="121"/>
      <c r="J589" s="121"/>
      <c r="K589" s="121">
        <f t="shared" si="146"/>
        <v>0</v>
      </c>
      <c r="L589" s="121"/>
      <c r="M589" s="121"/>
      <c r="N589" s="121"/>
      <c r="O589" s="121"/>
      <c r="P589" s="121"/>
      <c r="Q589" s="121">
        <f t="shared" si="147"/>
        <v>1666639</v>
      </c>
    </row>
    <row r="590" spans="1:17" s="2" customFormat="1" ht="12.75">
      <c r="A590" s="7" t="s">
        <v>408</v>
      </c>
      <c r="B590" s="7" t="s">
        <v>123</v>
      </c>
      <c r="C590" s="7" t="s">
        <v>1107</v>
      </c>
      <c r="D590" s="7" t="s">
        <v>608</v>
      </c>
      <c r="E590" s="3" t="s">
        <v>125</v>
      </c>
      <c r="F590" s="18">
        <f t="shared" si="145"/>
        <v>2216296</v>
      </c>
      <c r="G590" s="18">
        <f>1839336+376960</f>
        <v>2216296</v>
      </c>
      <c r="H590" s="18"/>
      <c r="I590" s="18"/>
      <c r="J590" s="18"/>
      <c r="K590" s="18">
        <f t="shared" si="146"/>
        <v>59000</v>
      </c>
      <c r="L590" s="18"/>
      <c r="M590" s="18"/>
      <c r="N590" s="18"/>
      <c r="O590" s="18">
        <f>P590</f>
        <v>59000</v>
      </c>
      <c r="P590" s="18">
        <v>59000</v>
      </c>
      <c r="Q590" s="18">
        <f t="shared" si="147"/>
        <v>2275296</v>
      </c>
    </row>
    <row r="591" spans="1:17" s="2" customFormat="1" ht="12.75">
      <c r="A591" s="116" t="s">
        <v>744</v>
      </c>
      <c r="B591" s="116" t="s">
        <v>629</v>
      </c>
      <c r="C591" s="116" t="s">
        <v>1021</v>
      </c>
      <c r="D591" s="116"/>
      <c r="E591" s="124" t="s">
        <v>631</v>
      </c>
      <c r="F591" s="121">
        <f t="shared" si="145"/>
        <v>0</v>
      </c>
      <c r="G591" s="121">
        <f>G592</f>
        <v>0</v>
      </c>
      <c r="H591" s="121">
        <f>H592</f>
        <v>0</v>
      </c>
      <c r="I591" s="121">
        <f>I592</f>
        <v>0</v>
      </c>
      <c r="J591" s="121">
        <f>J592</f>
        <v>0</v>
      </c>
      <c r="K591" s="121">
        <f t="shared" si="146"/>
        <v>5043880</v>
      </c>
      <c r="L591" s="121">
        <f>L592</f>
        <v>0</v>
      </c>
      <c r="M591" s="121">
        <f>M592</f>
        <v>0</v>
      </c>
      <c r="N591" s="121">
        <f>N592</f>
        <v>0</v>
      </c>
      <c r="O591" s="121">
        <f>O592</f>
        <v>5043880</v>
      </c>
      <c r="P591" s="121">
        <f>P592</f>
        <v>5043880</v>
      </c>
      <c r="Q591" s="121">
        <f t="shared" si="147"/>
        <v>5043880</v>
      </c>
    </row>
    <row r="592" spans="1:17" s="2" customFormat="1" ht="25.5">
      <c r="A592" s="7" t="s">
        <v>305</v>
      </c>
      <c r="B592" s="7" t="s">
        <v>87</v>
      </c>
      <c r="C592" s="7" t="s">
        <v>981</v>
      </c>
      <c r="D592" s="7" t="s">
        <v>577</v>
      </c>
      <c r="E592" s="48" t="s">
        <v>174</v>
      </c>
      <c r="F592" s="18">
        <f t="shared" si="145"/>
        <v>0</v>
      </c>
      <c r="G592" s="18"/>
      <c r="H592" s="18"/>
      <c r="I592" s="18"/>
      <c r="J592" s="18"/>
      <c r="K592" s="18">
        <f t="shared" si="146"/>
        <v>5043880</v>
      </c>
      <c r="L592" s="18"/>
      <c r="M592" s="18"/>
      <c r="N592" s="18"/>
      <c r="O592" s="18">
        <f>P592</f>
        <v>5043880</v>
      </c>
      <c r="P592" s="18">
        <f>4809114+147000+87766</f>
        <v>5043880</v>
      </c>
      <c r="Q592" s="18">
        <f t="shared" si="147"/>
        <v>5043880</v>
      </c>
    </row>
    <row r="593" spans="1:17" s="2" customFormat="1" ht="25.5">
      <c r="A593" s="116" t="s">
        <v>743</v>
      </c>
      <c r="B593" s="116" t="s">
        <v>635</v>
      </c>
      <c r="C593" s="116" t="s">
        <v>1022</v>
      </c>
      <c r="D593" s="116"/>
      <c r="E593" s="125" t="s">
        <v>636</v>
      </c>
      <c r="F593" s="121">
        <f t="shared" si="145"/>
        <v>258810</v>
      </c>
      <c r="G593" s="121">
        <f>G594</f>
        <v>258810</v>
      </c>
      <c r="H593" s="121">
        <f>H594</f>
        <v>0</v>
      </c>
      <c r="I593" s="121">
        <f>I594</f>
        <v>0</v>
      </c>
      <c r="J593" s="121">
        <f>J594</f>
        <v>0</v>
      </c>
      <c r="K593" s="121">
        <f t="shared" si="146"/>
        <v>0</v>
      </c>
      <c r="L593" s="121">
        <f>L594</f>
        <v>0</v>
      </c>
      <c r="M593" s="121">
        <f>M594</f>
        <v>0</v>
      </c>
      <c r="N593" s="121">
        <f>N594</f>
        <v>0</v>
      </c>
      <c r="O593" s="121">
        <f>O594</f>
        <v>0</v>
      </c>
      <c r="P593" s="121">
        <f>P594</f>
        <v>0</v>
      </c>
      <c r="Q593" s="121">
        <f t="shared" si="147"/>
        <v>258810</v>
      </c>
    </row>
    <row r="594" spans="1:17" s="2" customFormat="1" ht="12.75">
      <c r="A594" s="89" t="s">
        <v>430</v>
      </c>
      <c r="B594" s="89" t="s">
        <v>54</v>
      </c>
      <c r="C594" s="89" t="s">
        <v>1094</v>
      </c>
      <c r="D594" s="89" t="s">
        <v>578</v>
      </c>
      <c r="E594" s="99" t="s">
        <v>417</v>
      </c>
      <c r="F594" s="92">
        <f t="shared" si="145"/>
        <v>258810</v>
      </c>
      <c r="G594" s="92">
        <f>SUM(G595:G603)</f>
        <v>258810</v>
      </c>
      <c r="H594" s="92">
        <f>SUM(H595:H603)</f>
        <v>0</v>
      </c>
      <c r="I594" s="92">
        <f>SUM(I595:I603)</f>
        <v>0</v>
      </c>
      <c r="J594" s="92">
        <f>SUM(J595:J603)</f>
        <v>0</v>
      </c>
      <c r="K594" s="92">
        <f t="shared" si="146"/>
        <v>0</v>
      </c>
      <c r="L594" s="92">
        <f>SUM(L595:L603)</f>
        <v>0</v>
      </c>
      <c r="M594" s="92">
        <f>SUM(M595:M603)</f>
        <v>0</v>
      </c>
      <c r="N594" s="92">
        <f>SUM(N595:N603)</f>
        <v>0</v>
      </c>
      <c r="O594" s="92">
        <f>SUM(O595:O603)</f>
        <v>0</v>
      </c>
      <c r="P594" s="92">
        <f>SUM(P595:P603)</f>
        <v>0</v>
      </c>
      <c r="Q594" s="92">
        <f t="shared" si="147"/>
        <v>258810</v>
      </c>
    </row>
    <row r="595" spans="1:17" ht="56.25" customHeight="1" hidden="1">
      <c r="A595" s="59" t="s">
        <v>951</v>
      </c>
      <c r="B595" s="50" t="s">
        <v>54</v>
      </c>
      <c r="C595" s="50" t="s">
        <v>985</v>
      </c>
      <c r="D595" s="50" t="s">
        <v>578</v>
      </c>
      <c r="E595" s="48" t="s">
        <v>178</v>
      </c>
      <c r="F595" s="27">
        <f t="shared" si="145"/>
        <v>0</v>
      </c>
      <c r="G595" s="27"/>
      <c r="H595" s="27"/>
      <c r="I595" s="27"/>
      <c r="J595" s="27"/>
      <c r="K595" s="27">
        <f t="shared" si="146"/>
        <v>0</v>
      </c>
      <c r="L595" s="27"/>
      <c r="M595" s="27"/>
      <c r="N595" s="27"/>
      <c r="O595" s="27"/>
      <c r="P595" s="27"/>
      <c r="Q595" s="27">
        <f t="shared" si="147"/>
        <v>0</v>
      </c>
    </row>
    <row r="596" spans="1:17" s="181" customFormat="1" ht="41.25" customHeight="1" hidden="1">
      <c r="A596" s="170" t="s">
        <v>373</v>
      </c>
      <c r="B596" s="171" t="s">
        <v>54</v>
      </c>
      <c r="C596" s="170" t="s">
        <v>986</v>
      </c>
      <c r="D596" s="170" t="s">
        <v>578</v>
      </c>
      <c r="E596" s="178" t="s">
        <v>854</v>
      </c>
      <c r="F596" s="180">
        <f t="shared" si="145"/>
        <v>128000</v>
      </c>
      <c r="G596" s="180">
        <v>128000</v>
      </c>
      <c r="H596" s="180"/>
      <c r="I596" s="180"/>
      <c r="J596" s="180"/>
      <c r="K596" s="180">
        <f t="shared" si="146"/>
        <v>0</v>
      </c>
      <c r="L596" s="180"/>
      <c r="M596" s="180"/>
      <c r="N596" s="180"/>
      <c r="O596" s="180"/>
      <c r="P596" s="180"/>
      <c r="Q596" s="180">
        <f t="shared" si="147"/>
        <v>128000</v>
      </c>
    </row>
    <row r="597" spans="1:17" s="169" customFormat="1" ht="51" customHeight="1" hidden="1">
      <c r="A597" s="170" t="s">
        <v>402</v>
      </c>
      <c r="B597" s="170" t="s">
        <v>54</v>
      </c>
      <c r="C597" s="170" t="s">
        <v>987</v>
      </c>
      <c r="D597" s="170" t="s">
        <v>578</v>
      </c>
      <c r="E597" s="178" t="s">
        <v>334</v>
      </c>
      <c r="F597" s="173">
        <f t="shared" si="145"/>
        <v>34052</v>
      </c>
      <c r="G597" s="173">
        <v>34052</v>
      </c>
      <c r="H597" s="173"/>
      <c r="I597" s="173"/>
      <c r="J597" s="173"/>
      <c r="K597" s="173">
        <f t="shared" si="146"/>
        <v>0</v>
      </c>
      <c r="L597" s="173"/>
      <c r="M597" s="173"/>
      <c r="N597" s="173"/>
      <c r="O597" s="173"/>
      <c r="P597" s="173"/>
      <c r="Q597" s="173">
        <f t="shared" si="147"/>
        <v>34052</v>
      </c>
    </row>
    <row r="598" spans="1:17" s="169" customFormat="1" ht="50.25" customHeight="1" hidden="1">
      <c r="A598" s="170" t="s">
        <v>952</v>
      </c>
      <c r="B598" s="170" t="s">
        <v>54</v>
      </c>
      <c r="C598" s="170" t="s">
        <v>988</v>
      </c>
      <c r="D598" s="170" t="s">
        <v>578</v>
      </c>
      <c r="E598" s="178" t="s">
        <v>480</v>
      </c>
      <c r="F598" s="173">
        <f t="shared" si="145"/>
        <v>0</v>
      </c>
      <c r="G598" s="173"/>
      <c r="H598" s="173"/>
      <c r="I598" s="173"/>
      <c r="J598" s="173"/>
      <c r="K598" s="173">
        <f t="shared" si="146"/>
        <v>0</v>
      </c>
      <c r="L598" s="173"/>
      <c r="M598" s="173"/>
      <c r="N598" s="173"/>
      <c r="O598" s="173"/>
      <c r="P598" s="173"/>
      <c r="Q598" s="173">
        <f t="shared" si="147"/>
        <v>0</v>
      </c>
    </row>
    <row r="599" spans="1:17" s="169" customFormat="1" ht="53.25" customHeight="1" hidden="1">
      <c r="A599" s="170" t="s">
        <v>471</v>
      </c>
      <c r="B599" s="170" t="s">
        <v>54</v>
      </c>
      <c r="C599" s="170" t="s">
        <v>989</v>
      </c>
      <c r="D599" s="170" t="s">
        <v>578</v>
      </c>
      <c r="E599" s="178" t="s">
        <v>363</v>
      </c>
      <c r="F599" s="173">
        <f t="shared" si="145"/>
        <v>0</v>
      </c>
      <c r="G599" s="173"/>
      <c r="H599" s="173"/>
      <c r="I599" s="173"/>
      <c r="J599" s="173"/>
      <c r="K599" s="173">
        <f t="shared" si="146"/>
        <v>0</v>
      </c>
      <c r="L599" s="173"/>
      <c r="M599" s="173"/>
      <c r="N599" s="173"/>
      <c r="O599" s="173"/>
      <c r="P599" s="173"/>
      <c r="Q599" s="173">
        <f t="shared" si="147"/>
        <v>0</v>
      </c>
    </row>
    <row r="600" spans="1:17" s="169" customFormat="1" ht="51" hidden="1">
      <c r="A600" s="170" t="s">
        <v>469</v>
      </c>
      <c r="B600" s="170" t="s">
        <v>54</v>
      </c>
      <c r="C600" s="170" t="s">
        <v>990</v>
      </c>
      <c r="D600" s="170" t="s">
        <v>578</v>
      </c>
      <c r="E600" s="178" t="s">
        <v>321</v>
      </c>
      <c r="F600" s="173">
        <f t="shared" si="145"/>
        <v>54168</v>
      </c>
      <c r="G600" s="173">
        <v>54168</v>
      </c>
      <c r="H600" s="173"/>
      <c r="I600" s="173"/>
      <c r="J600" s="173"/>
      <c r="K600" s="173">
        <f t="shared" si="146"/>
        <v>0</v>
      </c>
      <c r="L600" s="173"/>
      <c r="M600" s="173"/>
      <c r="N600" s="173"/>
      <c r="O600" s="173"/>
      <c r="P600" s="173"/>
      <c r="Q600" s="173">
        <f t="shared" si="147"/>
        <v>54168</v>
      </c>
    </row>
    <row r="601" spans="1:17" s="169" customFormat="1" ht="102" customHeight="1" hidden="1">
      <c r="A601" s="170" t="s">
        <v>953</v>
      </c>
      <c r="B601" s="170" t="s">
        <v>54</v>
      </c>
      <c r="C601" s="170" t="s">
        <v>991</v>
      </c>
      <c r="D601" s="170" t="s">
        <v>578</v>
      </c>
      <c r="E601" s="178" t="s">
        <v>367</v>
      </c>
      <c r="F601" s="176">
        <f t="shared" si="145"/>
        <v>0</v>
      </c>
      <c r="G601" s="176"/>
      <c r="H601" s="176"/>
      <c r="I601" s="176"/>
      <c r="J601" s="176"/>
      <c r="K601" s="176">
        <f t="shared" si="146"/>
        <v>0</v>
      </c>
      <c r="L601" s="176"/>
      <c r="M601" s="176"/>
      <c r="N601" s="176"/>
      <c r="O601" s="176"/>
      <c r="P601" s="176"/>
      <c r="Q601" s="176">
        <f t="shared" si="147"/>
        <v>0</v>
      </c>
    </row>
    <row r="602" spans="1:17" s="169" customFormat="1" ht="25.5" hidden="1">
      <c r="A602" s="170" t="s">
        <v>449</v>
      </c>
      <c r="B602" s="170" t="s">
        <v>54</v>
      </c>
      <c r="C602" s="170" t="s">
        <v>992</v>
      </c>
      <c r="D602" s="170" t="s">
        <v>578</v>
      </c>
      <c r="E602" s="178" t="s">
        <v>887</v>
      </c>
      <c r="F602" s="176">
        <f t="shared" si="145"/>
        <v>42590</v>
      </c>
      <c r="G602" s="176">
        <v>42590</v>
      </c>
      <c r="H602" s="176"/>
      <c r="I602" s="176"/>
      <c r="J602" s="176"/>
      <c r="K602" s="176">
        <f t="shared" si="146"/>
        <v>0</v>
      </c>
      <c r="L602" s="176"/>
      <c r="M602" s="176"/>
      <c r="N602" s="176"/>
      <c r="O602" s="176"/>
      <c r="P602" s="176"/>
      <c r="Q602" s="176">
        <f t="shared" si="147"/>
        <v>42590</v>
      </c>
    </row>
    <row r="603" spans="1:17" s="169" customFormat="1" ht="15" customHeight="1" hidden="1">
      <c r="A603" s="170" t="s">
        <v>954</v>
      </c>
      <c r="B603" s="171" t="s">
        <v>54</v>
      </c>
      <c r="C603" s="170" t="s">
        <v>1132</v>
      </c>
      <c r="D603" s="170" t="s">
        <v>578</v>
      </c>
      <c r="E603" s="178" t="s">
        <v>835</v>
      </c>
      <c r="F603" s="173">
        <f t="shared" si="145"/>
        <v>0</v>
      </c>
      <c r="G603" s="173"/>
      <c r="H603" s="173"/>
      <c r="I603" s="173"/>
      <c r="J603" s="173"/>
      <c r="K603" s="173">
        <f t="shared" si="146"/>
        <v>0</v>
      </c>
      <c r="L603" s="173"/>
      <c r="M603" s="173"/>
      <c r="N603" s="173"/>
      <c r="O603" s="173"/>
      <c r="P603" s="173"/>
      <c r="Q603" s="173">
        <f t="shared" si="147"/>
        <v>0</v>
      </c>
    </row>
    <row r="604" spans="1:17" s="2" customFormat="1" ht="12.75">
      <c r="A604" s="116" t="s">
        <v>742</v>
      </c>
      <c r="B604" s="117" t="s">
        <v>98</v>
      </c>
      <c r="C604" s="117" t="s">
        <v>1016</v>
      </c>
      <c r="D604" s="117"/>
      <c r="E604" s="125" t="s">
        <v>99</v>
      </c>
      <c r="F604" s="121">
        <f>G604+J604</f>
        <v>0</v>
      </c>
      <c r="G604" s="121">
        <f>G605</f>
        <v>0</v>
      </c>
      <c r="H604" s="121">
        <f aca="true" t="shared" si="148" ref="H604:J605">H605</f>
        <v>0</v>
      </c>
      <c r="I604" s="121">
        <f t="shared" si="148"/>
        <v>0</v>
      </c>
      <c r="J604" s="121">
        <f t="shared" si="148"/>
        <v>0</v>
      </c>
      <c r="K604" s="121">
        <f>L604+O604</f>
        <v>56835</v>
      </c>
      <c r="L604" s="121">
        <f aca="true" t="shared" si="149" ref="L604:P605">L605</f>
        <v>56835</v>
      </c>
      <c r="M604" s="121">
        <f t="shared" si="149"/>
        <v>0</v>
      </c>
      <c r="N604" s="121">
        <f t="shared" si="149"/>
        <v>0</v>
      </c>
      <c r="O604" s="121">
        <f t="shared" si="149"/>
        <v>0</v>
      </c>
      <c r="P604" s="121">
        <f t="shared" si="149"/>
        <v>0</v>
      </c>
      <c r="Q604" s="121">
        <f>F604+K604</f>
        <v>56835</v>
      </c>
    </row>
    <row r="605" spans="1:17" s="2" customFormat="1" ht="52.5" customHeight="1">
      <c r="A605" s="89" t="s">
        <v>555</v>
      </c>
      <c r="B605" s="89" t="s">
        <v>53</v>
      </c>
      <c r="C605" s="89" t="s">
        <v>993</v>
      </c>
      <c r="D605" s="89" t="s">
        <v>578</v>
      </c>
      <c r="E605" s="99" t="s">
        <v>432</v>
      </c>
      <c r="F605" s="92">
        <f>G605+J605</f>
        <v>0</v>
      </c>
      <c r="G605" s="92">
        <f>G606</f>
        <v>0</v>
      </c>
      <c r="H605" s="92">
        <f t="shared" si="148"/>
        <v>0</v>
      </c>
      <c r="I605" s="92">
        <f t="shared" si="148"/>
        <v>0</v>
      </c>
      <c r="J605" s="92">
        <f t="shared" si="148"/>
        <v>0</v>
      </c>
      <c r="K605" s="92">
        <f>L605+O605</f>
        <v>56835</v>
      </c>
      <c r="L605" s="92">
        <f t="shared" si="149"/>
        <v>56835</v>
      </c>
      <c r="M605" s="92">
        <f t="shared" si="149"/>
        <v>0</v>
      </c>
      <c r="N605" s="92">
        <f t="shared" si="149"/>
        <v>0</v>
      </c>
      <c r="O605" s="92">
        <f t="shared" si="149"/>
        <v>0</v>
      </c>
      <c r="P605" s="92">
        <f t="shared" si="149"/>
        <v>0</v>
      </c>
      <c r="Q605" s="92">
        <f>F605+K605</f>
        <v>56835</v>
      </c>
    </row>
    <row r="606" spans="1:17" s="174" customFormat="1" ht="25.5" hidden="1">
      <c r="A606" s="182" t="s">
        <v>556</v>
      </c>
      <c r="B606" s="182" t="s">
        <v>53</v>
      </c>
      <c r="C606" s="182" t="s">
        <v>994</v>
      </c>
      <c r="D606" s="182" t="s">
        <v>578</v>
      </c>
      <c r="E606" s="178" t="s">
        <v>175</v>
      </c>
      <c r="F606" s="183">
        <f>G606+J606</f>
        <v>0</v>
      </c>
      <c r="G606" s="183"/>
      <c r="H606" s="183"/>
      <c r="I606" s="183"/>
      <c r="J606" s="183"/>
      <c r="K606" s="183">
        <f>L606+O606</f>
        <v>56835</v>
      </c>
      <c r="L606" s="183">
        <f>50000+6835</f>
        <v>56835</v>
      </c>
      <c r="M606" s="183"/>
      <c r="N606" s="183"/>
      <c r="O606" s="183"/>
      <c r="P606" s="183"/>
      <c r="Q606" s="183">
        <f>F606+K606</f>
        <v>56835</v>
      </c>
    </row>
    <row r="607" spans="1:17" s="12" customFormat="1" ht="39" customHeight="1">
      <c r="A607" s="11" t="s">
        <v>303</v>
      </c>
      <c r="B607" s="11" t="s">
        <v>151</v>
      </c>
      <c r="C607" s="11" t="s">
        <v>151</v>
      </c>
      <c r="D607" s="11"/>
      <c r="E607" s="13" t="s">
        <v>136</v>
      </c>
      <c r="F607" s="21">
        <f>G607+J607</f>
        <v>18759032</v>
      </c>
      <c r="G607" s="21">
        <f>G608</f>
        <v>18759032</v>
      </c>
      <c r="H607" s="21">
        <f>H608</f>
        <v>4572369</v>
      </c>
      <c r="I607" s="21">
        <f>I608</f>
        <v>457532</v>
      </c>
      <c r="J607" s="21">
        <f>J608</f>
        <v>0</v>
      </c>
      <c r="K607" s="21">
        <f>L607+O607</f>
        <v>7217529</v>
      </c>
      <c r="L607" s="21">
        <f>L608</f>
        <v>45516</v>
      </c>
      <c r="M607" s="21">
        <f>M608</f>
        <v>0</v>
      </c>
      <c r="N607" s="21">
        <f>N608</f>
        <v>0</v>
      </c>
      <c r="O607" s="21">
        <f>O608</f>
        <v>7172013</v>
      </c>
      <c r="P607" s="21">
        <f>P608</f>
        <v>7172013</v>
      </c>
      <c r="Q607" s="21">
        <f>F607+K607</f>
        <v>25976561</v>
      </c>
    </row>
    <row r="608" spans="1:17" s="2" customFormat="1" ht="38.25">
      <c r="A608" s="7" t="s">
        <v>304</v>
      </c>
      <c r="B608" s="7"/>
      <c r="C608" s="7"/>
      <c r="D608" s="7"/>
      <c r="E608" s="3" t="s">
        <v>136</v>
      </c>
      <c r="F608" s="18">
        <f>G608+J608</f>
        <v>18759032</v>
      </c>
      <c r="G608" s="18">
        <f>G609+G611+G614+G616+G627</f>
        <v>18759032</v>
      </c>
      <c r="H608" s="18">
        <f>H609+H611+H614+H616+H627</f>
        <v>4572369</v>
      </c>
      <c r="I608" s="18">
        <f>I609+I611+I614+I616+I627</f>
        <v>457532</v>
      </c>
      <c r="J608" s="18">
        <f>J609+J611+J614+J616+J627</f>
        <v>0</v>
      </c>
      <c r="K608" s="18">
        <f>L608+O608</f>
        <v>7217529</v>
      </c>
      <c r="L608" s="18">
        <f>L609+L611+L614+L616+L627</f>
        <v>45516</v>
      </c>
      <c r="M608" s="18">
        <f>M609+M611+M614+M616+M627</f>
        <v>0</v>
      </c>
      <c r="N608" s="18">
        <f>N609+N611+N614+N616+N627</f>
        <v>0</v>
      </c>
      <c r="O608" s="18">
        <f>O609+O611+O614+O616+O627</f>
        <v>7172013</v>
      </c>
      <c r="P608" s="18">
        <f>P609+P611+P614+P616+P627</f>
        <v>7172013</v>
      </c>
      <c r="Q608" s="18">
        <f>F608+K608</f>
        <v>25976561</v>
      </c>
    </row>
    <row r="609" spans="1:17" s="2" customFormat="1" ht="12.75">
      <c r="A609" s="117" t="s">
        <v>745</v>
      </c>
      <c r="B609" s="116" t="s">
        <v>672</v>
      </c>
      <c r="C609" s="116" t="s">
        <v>973</v>
      </c>
      <c r="D609" s="116"/>
      <c r="E609" s="124" t="s">
        <v>674</v>
      </c>
      <c r="F609" s="121">
        <f aca="true" t="shared" si="150" ref="F609:F626">G609+J609</f>
        <v>9554297</v>
      </c>
      <c r="G609" s="121">
        <f>G610</f>
        <v>9554297</v>
      </c>
      <c r="H609" s="121">
        <f>H610</f>
        <v>4572369</v>
      </c>
      <c r="I609" s="121">
        <f>I610</f>
        <v>457532</v>
      </c>
      <c r="J609" s="121">
        <f>J610</f>
        <v>0</v>
      </c>
      <c r="K609" s="121">
        <f aca="true" t="shared" si="151" ref="K609:K626">L609+O609</f>
        <v>991564</v>
      </c>
      <c r="L609" s="121">
        <f>L610</f>
        <v>45516</v>
      </c>
      <c r="M609" s="121">
        <f>M610</f>
        <v>0</v>
      </c>
      <c r="N609" s="121">
        <f>N610</f>
        <v>0</v>
      </c>
      <c r="O609" s="121">
        <f>O610</f>
        <v>946048</v>
      </c>
      <c r="P609" s="121">
        <f>P610</f>
        <v>946048</v>
      </c>
      <c r="Q609" s="121">
        <f aca="true" t="shared" si="152" ref="Q609:Q626">F609+K609</f>
        <v>10545861</v>
      </c>
    </row>
    <row r="610" spans="1:17" s="4" customFormat="1" ht="63.75">
      <c r="A610" s="6" t="s">
        <v>27</v>
      </c>
      <c r="B610" s="6" t="s">
        <v>33</v>
      </c>
      <c r="C610" s="6" t="s">
        <v>614</v>
      </c>
      <c r="D610" s="6" t="s">
        <v>575</v>
      </c>
      <c r="E610" s="51" t="s">
        <v>889</v>
      </c>
      <c r="F610" s="16">
        <f t="shared" si="150"/>
        <v>9554297</v>
      </c>
      <c r="G610" s="16">
        <f>6735414+(3084484)-265601</f>
        <v>9554297</v>
      </c>
      <c r="H610" s="16">
        <v>4572369</v>
      </c>
      <c r="I610" s="16">
        <v>457532</v>
      </c>
      <c r="J610" s="16"/>
      <c r="K610" s="16">
        <f t="shared" si="151"/>
        <v>991564</v>
      </c>
      <c r="L610" s="16">
        <v>45516</v>
      </c>
      <c r="M610" s="16"/>
      <c r="N610" s="16"/>
      <c r="O610" s="16">
        <f>P610</f>
        <v>946048</v>
      </c>
      <c r="P610" s="16">
        <v>946048</v>
      </c>
      <c r="Q610" s="16">
        <f t="shared" si="152"/>
        <v>10545861</v>
      </c>
    </row>
    <row r="611" spans="1:17" s="4" customFormat="1" ht="12.75">
      <c r="A611" s="116" t="s">
        <v>746</v>
      </c>
      <c r="B611" s="117" t="s">
        <v>664</v>
      </c>
      <c r="C611" s="117" t="s">
        <v>1095</v>
      </c>
      <c r="D611" s="117"/>
      <c r="E611" s="118" t="s">
        <v>666</v>
      </c>
      <c r="F611" s="119">
        <f t="shared" si="150"/>
        <v>8895246</v>
      </c>
      <c r="G611" s="119">
        <f>G612+G613</f>
        <v>8895246</v>
      </c>
      <c r="H611" s="119">
        <f>H612+H613</f>
        <v>0</v>
      </c>
      <c r="I611" s="119">
        <f>I612+I613</f>
        <v>0</v>
      </c>
      <c r="J611" s="119">
        <f>J612+J613</f>
        <v>0</v>
      </c>
      <c r="K611" s="119">
        <f t="shared" si="151"/>
        <v>0</v>
      </c>
      <c r="L611" s="119">
        <f>L612+L613</f>
        <v>0</v>
      </c>
      <c r="M611" s="119">
        <f>M612+M613</f>
        <v>0</v>
      </c>
      <c r="N611" s="119">
        <f>N612+N613</f>
        <v>0</v>
      </c>
      <c r="O611" s="119">
        <f>O612+O613</f>
        <v>0</v>
      </c>
      <c r="P611" s="119">
        <f>P612+P613</f>
        <v>0</v>
      </c>
      <c r="Q611" s="119">
        <f t="shared" si="152"/>
        <v>8895246</v>
      </c>
    </row>
    <row r="612" spans="1:17" s="2" customFormat="1" ht="51">
      <c r="A612" s="112" t="s">
        <v>776</v>
      </c>
      <c r="B612" s="112" t="s">
        <v>322</v>
      </c>
      <c r="C612" s="112" t="s">
        <v>1096</v>
      </c>
      <c r="D612" s="112" t="s">
        <v>607</v>
      </c>
      <c r="E612" s="113" t="s">
        <v>329</v>
      </c>
      <c r="F612" s="121">
        <f t="shared" si="150"/>
        <v>3949783</v>
      </c>
      <c r="G612" s="121">
        <v>3949783</v>
      </c>
      <c r="H612" s="121"/>
      <c r="I612" s="121"/>
      <c r="J612" s="121"/>
      <c r="K612" s="121">
        <f t="shared" si="151"/>
        <v>0</v>
      </c>
      <c r="L612" s="121"/>
      <c r="M612" s="121"/>
      <c r="N612" s="121"/>
      <c r="O612" s="121"/>
      <c r="P612" s="121"/>
      <c r="Q612" s="121">
        <f t="shared" si="152"/>
        <v>3949783</v>
      </c>
    </row>
    <row r="613" spans="1:17" s="2" customFormat="1" ht="12.75">
      <c r="A613" s="7" t="s">
        <v>409</v>
      </c>
      <c r="B613" s="7" t="s">
        <v>123</v>
      </c>
      <c r="C613" s="7" t="s">
        <v>1107</v>
      </c>
      <c r="D613" s="7" t="s">
        <v>608</v>
      </c>
      <c r="E613" s="3" t="s">
        <v>125</v>
      </c>
      <c r="F613" s="18">
        <f t="shared" si="150"/>
        <v>4945463</v>
      </c>
      <c r="G613" s="18">
        <f>4935463+10000</f>
        <v>4945463</v>
      </c>
      <c r="H613" s="18"/>
      <c r="I613" s="18"/>
      <c r="J613" s="18"/>
      <c r="K613" s="18">
        <f t="shared" si="151"/>
        <v>0</v>
      </c>
      <c r="L613" s="18"/>
      <c r="M613" s="18"/>
      <c r="N613" s="18"/>
      <c r="O613" s="18"/>
      <c r="P613" s="18"/>
      <c r="Q613" s="18">
        <f t="shared" si="152"/>
        <v>4945463</v>
      </c>
    </row>
    <row r="614" spans="1:17" s="2" customFormat="1" ht="12.75">
      <c r="A614" s="112" t="s">
        <v>747</v>
      </c>
      <c r="B614" s="111" t="s">
        <v>629</v>
      </c>
      <c r="C614" s="111" t="s">
        <v>1021</v>
      </c>
      <c r="D614" s="111"/>
      <c r="E614" s="127" t="s">
        <v>631</v>
      </c>
      <c r="F614" s="123">
        <f t="shared" si="150"/>
        <v>0</v>
      </c>
      <c r="G614" s="123">
        <f>G615</f>
        <v>0</v>
      </c>
      <c r="H614" s="123">
        <f>H615</f>
        <v>0</v>
      </c>
      <c r="I614" s="123">
        <f>I615</f>
        <v>0</v>
      </c>
      <c r="J614" s="123">
        <f>J615</f>
        <v>0</v>
      </c>
      <c r="K614" s="123">
        <f t="shared" si="151"/>
        <v>6225965</v>
      </c>
      <c r="L614" s="123">
        <f>L615</f>
        <v>0</v>
      </c>
      <c r="M614" s="123">
        <f>M615</f>
        <v>0</v>
      </c>
      <c r="N614" s="123">
        <f>N615</f>
        <v>0</v>
      </c>
      <c r="O614" s="123">
        <f>O615</f>
        <v>6225965</v>
      </c>
      <c r="P614" s="123">
        <f>P615</f>
        <v>6225965</v>
      </c>
      <c r="Q614" s="123">
        <f t="shared" si="152"/>
        <v>6225965</v>
      </c>
    </row>
    <row r="615" spans="1:17" s="2" customFormat="1" ht="25.5">
      <c r="A615" s="50" t="s">
        <v>572</v>
      </c>
      <c r="B615" s="28" t="s">
        <v>87</v>
      </c>
      <c r="C615" s="50" t="s">
        <v>981</v>
      </c>
      <c r="D615" s="50" t="s">
        <v>577</v>
      </c>
      <c r="E615" s="51" t="s">
        <v>174</v>
      </c>
      <c r="F615" s="18">
        <f t="shared" si="150"/>
        <v>0</v>
      </c>
      <c r="G615" s="18"/>
      <c r="H615" s="18"/>
      <c r="I615" s="18"/>
      <c r="J615" s="18"/>
      <c r="K615" s="18">
        <f t="shared" si="151"/>
        <v>6225965</v>
      </c>
      <c r="L615" s="18"/>
      <c r="M615" s="18"/>
      <c r="N615" s="18"/>
      <c r="O615" s="18">
        <f>P615</f>
        <v>6225965</v>
      </c>
      <c r="P615" s="18">
        <f>6275965+((300000))-350000</f>
        <v>6225965</v>
      </c>
      <c r="Q615" s="18">
        <f t="shared" si="152"/>
        <v>6225965</v>
      </c>
    </row>
    <row r="616" spans="1:17" s="2" customFormat="1" ht="25.5" customHeight="1">
      <c r="A616" s="116" t="s">
        <v>748</v>
      </c>
      <c r="B616" s="117" t="s">
        <v>635</v>
      </c>
      <c r="C616" s="117" t="s">
        <v>1022</v>
      </c>
      <c r="D616" s="117"/>
      <c r="E616" s="125" t="s">
        <v>636</v>
      </c>
      <c r="F616" s="121">
        <f t="shared" si="150"/>
        <v>309489</v>
      </c>
      <c r="G616" s="121">
        <f>G617</f>
        <v>309489</v>
      </c>
      <c r="H616" s="121">
        <f>H617</f>
        <v>0</v>
      </c>
      <c r="I616" s="121">
        <f>I617</f>
        <v>0</v>
      </c>
      <c r="J616" s="121">
        <f>J617</f>
        <v>0</v>
      </c>
      <c r="K616" s="121">
        <f t="shared" si="151"/>
        <v>0</v>
      </c>
      <c r="L616" s="121">
        <f>L617</f>
        <v>0</v>
      </c>
      <c r="M616" s="121">
        <f>M617</f>
        <v>0</v>
      </c>
      <c r="N616" s="121">
        <f>N617</f>
        <v>0</v>
      </c>
      <c r="O616" s="121">
        <f>O617</f>
        <v>0</v>
      </c>
      <c r="P616" s="121">
        <f>P617</f>
        <v>0</v>
      </c>
      <c r="Q616" s="121">
        <f t="shared" si="152"/>
        <v>309489</v>
      </c>
    </row>
    <row r="617" spans="1:17" s="2" customFormat="1" ht="17.25" customHeight="1">
      <c r="A617" s="89" t="s">
        <v>431</v>
      </c>
      <c r="B617" s="89" t="s">
        <v>54</v>
      </c>
      <c r="C617" s="89" t="s">
        <v>1094</v>
      </c>
      <c r="D617" s="89" t="s">
        <v>578</v>
      </c>
      <c r="E617" s="99" t="s">
        <v>417</v>
      </c>
      <c r="F617" s="92">
        <f t="shared" si="150"/>
        <v>309489</v>
      </c>
      <c r="G617" s="92">
        <f>SUM(G618:G626)</f>
        <v>309489</v>
      </c>
      <c r="H617" s="92">
        <f>SUM(H618:H626)</f>
        <v>0</v>
      </c>
      <c r="I617" s="92">
        <f>SUM(I618:I626)</f>
        <v>0</v>
      </c>
      <c r="J617" s="92">
        <f>SUM(J618:J626)</f>
        <v>0</v>
      </c>
      <c r="K617" s="92">
        <f t="shared" si="151"/>
        <v>0</v>
      </c>
      <c r="L617" s="92">
        <f>SUM(L618:L626)</f>
        <v>0</v>
      </c>
      <c r="M617" s="92">
        <f>SUM(M618:M626)</f>
        <v>0</v>
      </c>
      <c r="N617" s="92">
        <f>SUM(N618:N626)</f>
        <v>0</v>
      </c>
      <c r="O617" s="92">
        <f>SUM(O618:O626)</f>
        <v>0</v>
      </c>
      <c r="P617" s="92">
        <f>SUM(P618:P626)</f>
        <v>0</v>
      </c>
      <c r="Q617" s="92">
        <f t="shared" si="152"/>
        <v>309489</v>
      </c>
    </row>
    <row r="618" spans="1:17" ht="56.25" customHeight="1" hidden="1">
      <c r="A618" s="59" t="s">
        <v>955</v>
      </c>
      <c r="B618" s="50" t="s">
        <v>54</v>
      </c>
      <c r="C618" s="50" t="s">
        <v>985</v>
      </c>
      <c r="D618" s="50" t="s">
        <v>578</v>
      </c>
      <c r="E618" s="48" t="s">
        <v>178</v>
      </c>
      <c r="F618" s="18">
        <f t="shared" si="150"/>
        <v>0</v>
      </c>
      <c r="G618" s="27"/>
      <c r="H618" s="27"/>
      <c r="I618" s="27"/>
      <c r="J618" s="27"/>
      <c r="K618" s="18">
        <f t="shared" si="151"/>
        <v>0</v>
      </c>
      <c r="L618" s="27"/>
      <c r="M618" s="27"/>
      <c r="N618" s="27"/>
      <c r="O618" s="27"/>
      <c r="P618" s="27"/>
      <c r="Q618" s="18">
        <f t="shared" si="152"/>
        <v>0</v>
      </c>
    </row>
    <row r="619" spans="1:17" s="181" customFormat="1" ht="41.25" customHeight="1" hidden="1">
      <c r="A619" s="170" t="s">
        <v>374</v>
      </c>
      <c r="B619" s="171" t="s">
        <v>54</v>
      </c>
      <c r="C619" s="170" t="s">
        <v>986</v>
      </c>
      <c r="D619" s="170" t="s">
        <v>578</v>
      </c>
      <c r="E619" s="178" t="s">
        <v>854</v>
      </c>
      <c r="F619" s="183">
        <f t="shared" si="150"/>
        <v>173009</v>
      </c>
      <c r="G619" s="180">
        <v>173009</v>
      </c>
      <c r="H619" s="180"/>
      <c r="I619" s="180"/>
      <c r="J619" s="180"/>
      <c r="K619" s="183">
        <f t="shared" si="151"/>
        <v>0</v>
      </c>
      <c r="L619" s="173"/>
      <c r="M619" s="173"/>
      <c r="N619" s="173"/>
      <c r="O619" s="173"/>
      <c r="P619" s="173"/>
      <c r="Q619" s="183">
        <f t="shared" si="152"/>
        <v>173009</v>
      </c>
    </row>
    <row r="620" spans="1:17" s="169" customFormat="1" ht="51" customHeight="1" hidden="1">
      <c r="A620" s="170" t="s">
        <v>403</v>
      </c>
      <c r="B620" s="170" t="s">
        <v>54</v>
      </c>
      <c r="C620" s="170" t="s">
        <v>987</v>
      </c>
      <c r="D620" s="170" t="s">
        <v>578</v>
      </c>
      <c r="E620" s="178" t="s">
        <v>334</v>
      </c>
      <c r="F620" s="183">
        <f t="shared" si="150"/>
        <v>86480</v>
      </c>
      <c r="G620" s="173">
        <v>86480</v>
      </c>
      <c r="H620" s="173"/>
      <c r="I620" s="173"/>
      <c r="J620" s="173"/>
      <c r="K620" s="183">
        <f t="shared" si="151"/>
        <v>0</v>
      </c>
      <c r="L620" s="173"/>
      <c r="M620" s="173"/>
      <c r="N620" s="173"/>
      <c r="O620" s="173"/>
      <c r="P620" s="173"/>
      <c r="Q620" s="183">
        <f t="shared" si="152"/>
        <v>86480</v>
      </c>
    </row>
    <row r="621" spans="1:17" s="169" customFormat="1" ht="50.25" customHeight="1" hidden="1">
      <c r="A621" s="170" t="s">
        <v>956</v>
      </c>
      <c r="B621" s="170" t="s">
        <v>54</v>
      </c>
      <c r="C621" s="170" t="s">
        <v>988</v>
      </c>
      <c r="D621" s="170" t="s">
        <v>578</v>
      </c>
      <c r="E621" s="178" t="s">
        <v>480</v>
      </c>
      <c r="F621" s="183">
        <f t="shared" si="150"/>
        <v>0</v>
      </c>
      <c r="G621" s="173"/>
      <c r="H621" s="173"/>
      <c r="I621" s="173"/>
      <c r="J621" s="173"/>
      <c r="K621" s="183">
        <f t="shared" si="151"/>
        <v>0</v>
      </c>
      <c r="L621" s="173"/>
      <c r="M621" s="173"/>
      <c r="N621" s="173"/>
      <c r="O621" s="173"/>
      <c r="P621" s="173"/>
      <c r="Q621" s="183">
        <f t="shared" si="152"/>
        <v>0</v>
      </c>
    </row>
    <row r="622" spans="1:17" s="169" customFormat="1" ht="53.25" customHeight="1" hidden="1">
      <c r="A622" s="170" t="s">
        <v>472</v>
      </c>
      <c r="B622" s="170" t="s">
        <v>54</v>
      </c>
      <c r="C622" s="170" t="s">
        <v>989</v>
      </c>
      <c r="D622" s="170" t="s">
        <v>578</v>
      </c>
      <c r="E622" s="178" t="s">
        <v>363</v>
      </c>
      <c r="F622" s="183">
        <f t="shared" si="150"/>
        <v>0</v>
      </c>
      <c r="G622" s="173"/>
      <c r="H622" s="173"/>
      <c r="I622" s="173"/>
      <c r="J622" s="173"/>
      <c r="K622" s="183">
        <f t="shared" si="151"/>
        <v>0</v>
      </c>
      <c r="L622" s="173"/>
      <c r="M622" s="173"/>
      <c r="N622" s="173"/>
      <c r="O622" s="173"/>
      <c r="P622" s="173"/>
      <c r="Q622" s="183">
        <f t="shared" si="152"/>
        <v>0</v>
      </c>
    </row>
    <row r="623" spans="1:17" s="169" customFormat="1" ht="51" hidden="1">
      <c r="A623" s="170" t="s">
        <v>470</v>
      </c>
      <c r="B623" s="170" t="s">
        <v>54</v>
      </c>
      <c r="C623" s="170" t="s">
        <v>990</v>
      </c>
      <c r="D623" s="170" t="s">
        <v>578</v>
      </c>
      <c r="E623" s="178" t="s">
        <v>321</v>
      </c>
      <c r="F623" s="183">
        <f t="shared" si="150"/>
        <v>50000</v>
      </c>
      <c r="G623" s="173">
        <v>50000</v>
      </c>
      <c r="H623" s="173"/>
      <c r="I623" s="173"/>
      <c r="J623" s="173"/>
      <c r="K623" s="183">
        <f t="shared" si="151"/>
        <v>0</v>
      </c>
      <c r="L623" s="173"/>
      <c r="M623" s="173"/>
      <c r="N623" s="173"/>
      <c r="O623" s="173"/>
      <c r="P623" s="173"/>
      <c r="Q623" s="183">
        <f t="shared" si="152"/>
        <v>50000</v>
      </c>
    </row>
    <row r="624" spans="1:17" ht="102" customHeight="1" hidden="1">
      <c r="A624" s="59" t="s">
        <v>957</v>
      </c>
      <c r="B624" s="50" t="s">
        <v>54</v>
      </c>
      <c r="C624" s="50" t="s">
        <v>991</v>
      </c>
      <c r="D624" s="50" t="s">
        <v>578</v>
      </c>
      <c r="E624" s="48" t="s">
        <v>367</v>
      </c>
      <c r="F624" s="18">
        <f t="shared" si="150"/>
        <v>0</v>
      </c>
      <c r="G624" s="52"/>
      <c r="H624" s="52"/>
      <c r="I624" s="52"/>
      <c r="J624" s="52"/>
      <c r="K624" s="18">
        <f t="shared" si="151"/>
        <v>0</v>
      </c>
      <c r="L624" s="52"/>
      <c r="M624" s="52"/>
      <c r="N624" s="52"/>
      <c r="O624" s="52"/>
      <c r="P624" s="52"/>
      <c r="Q624" s="18">
        <f t="shared" si="152"/>
        <v>0</v>
      </c>
    </row>
    <row r="625" spans="1:17" ht="25.5" hidden="1">
      <c r="A625" s="59" t="s">
        <v>462</v>
      </c>
      <c r="B625" s="50" t="s">
        <v>54</v>
      </c>
      <c r="C625" s="50" t="s">
        <v>992</v>
      </c>
      <c r="D625" s="50" t="s">
        <v>578</v>
      </c>
      <c r="E625" s="48" t="s">
        <v>887</v>
      </c>
      <c r="F625" s="18">
        <f t="shared" si="150"/>
        <v>0</v>
      </c>
      <c r="G625" s="52"/>
      <c r="H625" s="52"/>
      <c r="I625" s="52"/>
      <c r="J625" s="52"/>
      <c r="K625" s="18">
        <f t="shared" si="151"/>
        <v>0</v>
      </c>
      <c r="L625" s="52"/>
      <c r="M625" s="52"/>
      <c r="N625" s="52"/>
      <c r="O625" s="52"/>
      <c r="P625" s="52"/>
      <c r="Q625" s="18">
        <f t="shared" si="152"/>
        <v>0</v>
      </c>
    </row>
    <row r="626" spans="1:17" s="43" customFormat="1" ht="15" customHeight="1" hidden="1">
      <c r="A626" s="59" t="s">
        <v>958</v>
      </c>
      <c r="B626" s="31" t="s">
        <v>54</v>
      </c>
      <c r="C626" s="59" t="s">
        <v>1132</v>
      </c>
      <c r="D626" s="59" t="s">
        <v>578</v>
      </c>
      <c r="E626" s="48" t="s">
        <v>835</v>
      </c>
      <c r="F626" s="18">
        <f t="shared" si="150"/>
        <v>0</v>
      </c>
      <c r="G626" s="26"/>
      <c r="H626" s="26"/>
      <c r="I626" s="26"/>
      <c r="J626" s="26"/>
      <c r="K626" s="18">
        <f t="shared" si="151"/>
        <v>0</v>
      </c>
      <c r="L626" s="26"/>
      <c r="M626" s="26"/>
      <c r="N626" s="26"/>
      <c r="O626" s="26"/>
      <c r="P626" s="26"/>
      <c r="Q626" s="18">
        <f t="shared" si="152"/>
        <v>0</v>
      </c>
    </row>
    <row r="627" spans="1:17" s="41" customFormat="1" ht="12.75" hidden="1">
      <c r="A627" s="112" t="s">
        <v>874</v>
      </c>
      <c r="B627" s="111" t="s">
        <v>98</v>
      </c>
      <c r="C627" s="111" t="s">
        <v>1016</v>
      </c>
      <c r="D627" s="111"/>
      <c r="E627" s="122" t="s">
        <v>99</v>
      </c>
      <c r="F627" s="18">
        <f>G627+J627</f>
        <v>0</v>
      </c>
      <c r="G627" s="114">
        <f>G628</f>
        <v>0</v>
      </c>
      <c r="H627" s="114">
        <f aca="true" t="shared" si="153" ref="H627:J628">H628</f>
        <v>0</v>
      </c>
      <c r="I627" s="114">
        <f t="shared" si="153"/>
        <v>0</v>
      </c>
      <c r="J627" s="114">
        <f t="shared" si="153"/>
        <v>0</v>
      </c>
      <c r="K627" s="18">
        <f>L627+O627</f>
        <v>0</v>
      </c>
      <c r="L627" s="114">
        <f aca="true" t="shared" si="154" ref="L627:P628">L628</f>
        <v>0</v>
      </c>
      <c r="M627" s="114">
        <f t="shared" si="154"/>
        <v>0</v>
      </c>
      <c r="N627" s="114">
        <f t="shared" si="154"/>
        <v>0</v>
      </c>
      <c r="O627" s="114">
        <f t="shared" si="154"/>
        <v>0</v>
      </c>
      <c r="P627" s="114">
        <f t="shared" si="154"/>
        <v>0</v>
      </c>
      <c r="Q627" s="18">
        <f>F627+K627</f>
        <v>0</v>
      </c>
    </row>
    <row r="628" spans="1:17" s="2" customFormat="1" ht="52.5" customHeight="1" hidden="1">
      <c r="A628" s="89" t="s">
        <v>555</v>
      </c>
      <c r="B628" s="89" t="s">
        <v>53</v>
      </c>
      <c r="C628" s="89" t="s">
        <v>993</v>
      </c>
      <c r="D628" s="89"/>
      <c r="E628" s="99" t="s">
        <v>432</v>
      </c>
      <c r="F628" s="18">
        <f>G628+J628</f>
        <v>0</v>
      </c>
      <c r="G628" s="92">
        <f>G629</f>
        <v>0</v>
      </c>
      <c r="H628" s="92">
        <f t="shared" si="153"/>
        <v>0</v>
      </c>
      <c r="I628" s="92">
        <f t="shared" si="153"/>
        <v>0</v>
      </c>
      <c r="J628" s="92">
        <f t="shared" si="153"/>
        <v>0</v>
      </c>
      <c r="K628" s="18">
        <f>L628+O628</f>
        <v>0</v>
      </c>
      <c r="L628" s="92">
        <f t="shared" si="154"/>
        <v>0</v>
      </c>
      <c r="M628" s="92">
        <f t="shared" si="154"/>
        <v>0</v>
      </c>
      <c r="N628" s="92">
        <f t="shared" si="154"/>
        <v>0</v>
      </c>
      <c r="O628" s="92">
        <f t="shared" si="154"/>
        <v>0</v>
      </c>
      <c r="P628" s="92">
        <f t="shared" si="154"/>
        <v>0</v>
      </c>
      <c r="Q628" s="18">
        <f>F628+K628</f>
        <v>0</v>
      </c>
    </row>
    <row r="629" spans="1:17" s="2" customFormat="1" ht="25.5" customHeight="1" hidden="1">
      <c r="A629" s="7" t="s">
        <v>959</v>
      </c>
      <c r="B629" s="7" t="s">
        <v>53</v>
      </c>
      <c r="C629" s="7" t="s">
        <v>994</v>
      </c>
      <c r="D629" s="7"/>
      <c r="E629" s="5" t="s">
        <v>175</v>
      </c>
      <c r="F629" s="18">
        <f>G629+J629</f>
        <v>0</v>
      </c>
      <c r="G629" s="18"/>
      <c r="H629" s="18"/>
      <c r="I629" s="18"/>
      <c r="J629" s="18"/>
      <c r="K629" s="18">
        <f>L629+O629</f>
        <v>0</v>
      </c>
      <c r="L629" s="18"/>
      <c r="M629" s="18"/>
      <c r="N629" s="18"/>
      <c r="O629" s="18"/>
      <c r="P629" s="18"/>
      <c r="Q629" s="18">
        <f>F629+K629</f>
        <v>0</v>
      </c>
    </row>
    <row r="630" spans="1:17" ht="18.75" customHeight="1">
      <c r="A630" s="11"/>
      <c r="B630" s="11"/>
      <c r="C630" s="11"/>
      <c r="D630" s="11"/>
      <c r="E630" s="67" t="s">
        <v>56</v>
      </c>
      <c r="F630" s="21">
        <f aca="true" t="shared" si="155" ref="F630:Q630">F11+F46+F100+F126+F162+F246+F255+F259+F285+F297+F301+F329+F354+F361+F370+F374+F378+F384+F404+F426+F434+F452+F460+F468+F491+F514+F538+F561+F584+F607+F281</f>
        <v>5918557053</v>
      </c>
      <c r="G630" s="21">
        <f t="shared" si="155"/>
        <v>5918557053</v>
      </c>
      <c r="H630" s="21">
        <f t="shared" si="155"/>
        <v>1479048085</v>
      </c>
      <c r="I630" s="21">
        <f t="shared" si="155"/>
        <v>227444974</v>
      </c>
      <c r="J630" s="21">
        <f t="shared" si="155"/>
        <v>0</v>
      </c>
      <c r="K630" s="21">
        <f t="shared" si="155"/>
        <v>1805585180</v>
      </c>
      <c r="L630" s="21">
        <f t="shared" si="155"/>
        <v>116535072</v>
      </c>
      <c r="M630" s="21">
        <f t="shared" si="155"/>
        <v>16610918</v>
      </c>
      <c r="N630" s="21">
        <f t="shared" si="155"/>
        <v>5330785</v>
      </c>
      <c r="O630" s="21">
        <f t="shared" si="155"/>
        <v>1689050108</v>
      </c>
      <c r="P630" s="21">
        <f t="shared" si="155"/>
        <v>1648395218</v>
      </c>
      <c r="Q630" s="21">
        <f t="shared" si="155"/>
        <v>7724142233</v>
      </c>
    </row>
    <row r="631" spans="2:17" ht="53.25" customHeight="1">
      <c r="B631" s="208" t="s">
        <v>306</v>
      </c>
      <c r="C631" s="208"/>
      <c r="D631" s="208"/>
      <c r="E631" s="208"/>
      <c r="F631" s="80"/>
      <c r="G631" s="80"/>
      <c r="H631" s="81"/>
      <c r="I631" s="82"/>
      <c r="J631" s="82"/>
      <c r="K631" s="82"/>
      <c r="L631" s="66"/>
      <c r="M631" s="110" t="s">
        <v>766</v>
      </c>
      <c r="N631" s="66"/>
      <c r="O631" s="66"/>
      <c r="P631" s="66"/>
      <c r="Q631" s="66"/>
    </row>
    <row r="632" spans="1:17" ht="12.75">
      <c r="A632" s="160"/>
      <c r="B632" s="161"/>
      <c r="C632" s="161"/>
      <c r="F632" s="162"/>
      <c r="G632" s="162"/>
      <c r="H632" s="162"/>
      <c r="I632" s="162"/>
      <c r="J632" s="162"/>
      <c r="K632" s="162"/>
      <c r="L632" s="162"/>
      <c r="M632" s="162"/>
      <c r="N632" s="162"/>
      <c r="O632" s="162"/>
      <c r="P632" s="162"/>
      <c r="Q632" s="162"/>
    </row>
    <row r="634" spans="1:17" ht="12.75">
      <c r="A634" s="163"/>
      <c r="F634" s="164"/>
      <c r="G634" s="164"/>
      <c r="H634" s="164"/>
      <c r="I634" s="164"/>
      <c r="J634" s="164"/>
      <c r="K634" s="164"/>
      <c r="L634" s="164"/>
      <c r="M634" s="164"/>
      <c r="N634" s="164"/>
      <c r="O634" s="164"/>
      <c r="P634" s="164"/>
      <c r="Q634" s="164"/>
    </row>
    <row r="636" spans="1:17" ht="12.75">
      <c r="A636" s="163"/>
      <c r="F636" s="162"/>
      <c r="G636" s="162"/>
      <c r="H636" s="162"/>
      <c r="I636" s="162"/>
      <c r="J636" s="162"/>
      <c r="K636" s="162"/>
      <c r="L636" s="162"/>
      <c r="M636" s="162"/>
      <c r="N636" s="162"/>
      <c r="O636" s="162"/>
      <c r="P636" s="162"/>
      <c r="Q636" s="162"/>
    </row>
    <row r="638" spans="1:17" ht="12.75">
      <c r="A638"/>
      <c r="F638" s="162"/>
      <c r="G638" s="162"/>
      <c r="H638" s="162"/>
      <c r="I638" s="162"/>
      <c r="J638" s="162"/>
      <c r="K638" s="162"/>
      <c r="L638" s="162"/>
      <c r="M638" s="162"/>
      <c r="N638" s="162"/>
      <c r="O638" s="162"/>
      <c r="P638" s="162"/>
      <c r="Q638" s="162"/>
    </row>
    <row r="639" ht="12.75">
      <c r="P639" s="164"/>
    </row>
    <row r="640" ht="12.75">
      <c r="P640" s="162"/>
    </row>
    <row r="641" spans="6:17" ht="12.75">
      <c r="F641" s="162"/>
      <c r="G641" s="162"/>
      <c r="H641" s="162"/>
      <c r="I641" s="162"/>
      <c r="J641" s="162"/>
      <c r="K641" s="162"/>
      <c r="L641" s="162"/>
      <c r="M641" s="162"/>
      <c r="N641" s="162"/>
      <c r="O641" s="162"/>
      <c r="P641" s="162"/>
      <c r="Q641" s="162"/>
    </row>
    <row r="643" spans="11:16" ht="12.75">
      <c r="K643" s="162"/>
      <c r="L643" s="162"/>
      <c r="M643" s="162"/>
      <c r="N643" s="162"/>
      <c r="O643" s="162"/>
      <c r="P643" s="162"/>
    </row>
    <row r="644" spans="11:16" ht="12.75">
      <c r="K644" s="162"/>
      <c r="L644" s="162"/>
      <c r="M644" s="162"/>
      <c r="N644" s="162"/>
      <c r="O644" s="162"/>
      <c r="P644" s="162"/>
    </row>
    <row r="645" ht="12.75">
      <c r="O645" s="162"/>
    </row>
    <row r="648" ht="12.75">
      <c r="N648" s="162"/>
    </row>
    <row r="649" spans="14:16" ht="12.75">
      <c r="N649" s="162"/>
      <c r="P649" s="162"/>
    </row>
    <row r="653" ht="12.75">
      <c r="P653" s="162"/>
    </row>
    <row r="655" ht="12.75">
      <c r="P655" s="162"/>
    </row>
    <row r="659" ht="12.75">
      <c r="P659" s="162"/>
    </row>
  </sheetData>
  <sheetProtection/>
  <mergeCells count="23">
    <mergeCell ref="K1:L1"/>
    <mergeCell ref="K2:L2"/>
    <mergeCell ref="B4:Q4"/>
    <mergeCell ref="M8:N8"/>
    <mergeCell ref="Q7:Q9"/>
    <mergeCell ref="K3:L3"/>
    <mergeCell ref="D7:D9"/>
    <mergeCell ref="L8:L9"/>
    <mergeCell ref="C7:C9"/>
    <mergeCell ref="B631:E631"/>
    <mergeCell ref="H8:I8"/>
    <mergeCell ref="G8:G9"/>
    <mergeCell ref="J8:J9"/>
    <mergeCell ref="P6:Q6"/>
    <mergeCell ref="B5:Q5"/>
    <mergeCell ref="K7:P7"/>
    <mergeCell ref="A7:A9"/>
    <mergeCell ref="B7:B9"/>
    <mergeCell ref="E7:E9"/>
    <mergeCell ref="F8:F9"/>
    <mergeCell ref="F7:J7"/>
    <mergeCell ref="O8:O9"/>
    <mergeCell ref="K8:K9"/>
  </mergeCells>
  <printOptions/>
  <pageMargins left="0.7086614173228347" right="0.7086614173228347" top="0.7480314960629921" bottom="0.7480314960629921" header="0.31496062992125984" footer="0.31496062992125984"/>
  <pageSetup fitToHeight="25" fitToWidth="1" horizontalDpi="600" verticalDpi="600" orientation="landscape" paperSize="9" scale="55" r:id="rId1"/>
  <headerFooter differentFirst="1" alignWithMargins="0">
    <oddHeader>&amp;C&amp;P</oddHeader>
  </headerFooter>
  <rowBreaks count="1" manualBreakCount="1">
    <brk id="2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2017-03-30T07:44:32Z</cp:lastPrinted>
  <dcterms:created xsi:type="dcterms:W3CDTF">2002-01-02T08:54:19Z</dcterms:created>
  <dcterms:modified xsi:type="dcterms:W3CDTF">2017-04-10T11:14:21Z</dcterms:modified>
  <cp:category/>
  <cp:version/>
  <cp:contentType/>
  <cp:contentStatus/>
</cp:coreProperties>
</file>