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40" windowHeight="6030" activeTab="0"/>
  </bookViews>
  <sheets>
    <sheet name="Город" sheetId="1" r:id="rId1"/>
    <sheet name="Л" sheetId="2" r:id="rId2"/>
    <sheet name="Х" sheetId="3" r:id="rId3"/>
    <sheet name="О" sheetId="4" r:id="rId4"/>
    <sheet name="Ж" sheetId="5" r:id="rId5"/>
    <sheet name="Ш" sheetId="6" r:id="rId6"/>
    <sheet name="З" sheetId="7" r:id="rId7"/>
    <sheet name="К" sheetId="8" r:id="rId8"/>
  </sheets>
  <definedNames>
    <definedName name="_xlnm.Print_Titles" localSheetId="0">'Город'!$10:$12</definedName>
    <definedName name="_xlnm.Print_Titles" localSheetId="4">'Ж'!$10:$12</definedName>
    <definedName name="_xlnm.Print_Titles" localSheetId="6">'З'!$31:$33</definedName>
    <definedName name="_xlnm.Print_Titles" localSheetId="7">'К'!$9:$11</definedName>
    <definedName name="_xlnm.Print_Titles" localSheetId="1">'Л'!$10:$12</definedName>
    <definedName name="_xlnm.Print_Titles" localSheetId="3">'О'!$10:$12</definedName>
    <definedName name="_xlnm.Print_Titles" localSheetId="2">'Х'!$10:$12</definedName>
    <definedName name="_xlnm.Print_Titles" localSheetId="5">'Ш'!$10:$12</definedName>
    <definedName name="_xlnm.Print_Area" localSheetId="0">'Город'!$A$1:$L$139</definedName>
    <definedName name="_xlnm.Print_Area" localSheetId="4">'Ж'!$A$1:$L$56</definedName>
    <definedName name="_xlnm.Print_Area" localSheetId="6">'З'!$A$1:$L$74</definedName>
    <definedName name="_xlnm.Print_Area" localSheetId="1">'Л'!$A$1:$L$65</definedName>
    <definedName name="_xlnm.Print_Area" localSheetId="3">'О'!$A$1:$L$68</definedName>
    <definedName name="_xlnm.Print_Area" localSheetId="2">'Х'!$A$1:$L$59</definedName>
    <definedName name="_xlnm.Print_Area" localSheetId="5">'Ш'!$A$1:$L$93</definedName>
  </definedNames>
  <calcPr fullCalcOnLoad="1"/>
</workbook>
</file>

<file path=xl/sharedStrings.xml><?xml version="1.0" encoding="utf-8"?>
<sst xmlns="http://schemas.openxmlformats.org/spreadsheetml/2006/main" count="726" uniqueCount="473">
  <si>
    <t>Центральна бібліотека для дорослих</t>
  </si>
  <si>
    <t>Центральна бібліотека для дітей</t>
  </si>
  <si>
    <t>Теплоенергія</t>
  </si>
  <si>
    <t>Цілісний майновий комплекс по вул.Куліковській, 27</t>
  </si>
  <si>
    <t>Група по господарському обліку</t>
  </si>
  <si>
    <t>КУ "Заводський районний фізкультурно-спортивний комплекс"</t>
  </si>
  <si>
    <t>Комплексна дитячо-юнацька спортивна школа "Локомотив"</t>
  </si>
  <si>
    <t>Комплексна дитячо-юнацька спортивна школа "Хвиля"</t>
  </si>
  <si>
    <t>СДЮЩОР Ю.Лагутіна</t>
  </si>
  <si>
    <t>Управління з питань фізичної культури, спорту та туризму міської ради (фінансова підтримка спортивних споруд)</t>
  </si>
  <si>
    <t>Запорізька міська дитяча лікарня № 2</t>
  </si>
  <si>
    <t>Загальноосвітня школа І ступеню № 57</t>
  </si>
  <si>
    <t>Дитяча лікарня № 1</t>
  </si>
  <si>
    <t>Стоматполіклініка № 7</t>
  </si>
  <si>
    <t>Запорізький навчально-вихований комплекс № 7 Запорізької міської ради Запорізької області</t>
  </si>
  <si>
    <t xml:space="preserve">Запорізька гімназія № 8 Запорізької міської ради Запорізької області  </t>
  </si>
  <si>
    <t>Запорізька загальноосвітня школа І-ІІІ ступенів № 14 Запорізької міської ради Запорізької області</t>
  </si>
  <si>
    <t>Запорізька загальноосвітня школа І-ІІІ ступенів № 17 Запорізької міської ради Запорізької області</t>
  </si>
  <si>
    <t>Запорізький навчально-виховний комплекс № 23 Запорізької міської ради Запорізької області</t>
  </si>
  <si>
    <t>Запорізька загальноосвітня школа І-ІІІ ступенів № 38 Запорізької міської ради Запорізької області</t>
  </si>
  <si>
    <t>Запорізький навчально-виховний комплекс технічного профілю Запорізької міської ради Запорізької області</t>
  </si>
  <si>
    <t>Запорізька загальноосвітня школа І-ІІІ ступенів № 80 Запорізької міської ради Запорізької області</t>
  </si>
  <si>
    <t>Запорізька загальноосвітня школа І-ІІІ ступенів № 83 Запорізької міської ради Запорізької області</t>
  </si>
  <si>
    <t>Запорізька загальноосвітня школа І-ІІІ ступенів № 84 Запорізької міської ради Запорізької області</t>
  </si>
  <si>
    <t>Запорізький навчально-виховний комплекс № 88 Запорізької міської ради Запорізької області</t>
  </si>
  <si>
    <t>Запорізька загальноосвітня школа І-ІІІ ступенів № 90 Запорізької міської ради Запорізької області</t>
  </si>
  <si>
    <t>Запорізька загальноосвітня школа І-ІІІ ступенів № 97 Запорізької міської ради Запорізької області</t>
  </si>
  <si>
    <t>Запорізький  навчально-виховний комплекс естетичного профілю № 103 Запорізької міської ради Запорізької області</t>
  </si>
  <si>
    <t>Запорізька гімназія № 107 Запорізької міської ради Запорізької області</t>
  </si>
  <si>
    <t>Запорізький навчально-виховний оздоровчий комплекс № 110 Запорізької міської ради Запорізької області</t>
  </si>
  <si>
    <t>Запорізька гімназія № 6 Запорізької міської ради Запорізької області</t>
  </si>
  <si>
    <t>Дошкільний навчальний заклад (ясла-садок) № 5 "Промінь"</t>
  </si>
  <si>
    <t>Дошкільний навчальний заклад № 101 "Снігуронька"</t>
  </si>
  <si>
    <t>Дошкільний навчальний заклад № 229 "Дніпряночка"</t>
  </si>
  <si>
    <t>Дошкільний навчальний заклад (ясла-садок) № 286 "Сунична галявина"</t>
  </si>
  <si>
    <t>Додаток 6.1</t>
  </si>
  <si>
    <t>Додаток 6.2.</t>
  </si>
  <si>
    <t>Додаток  6.3</t>
  </si>
  <si>
    <t>Додаток 6.4.</t>
  </si>
  <si>
    <t>Додаток 6.5</t>
  </si>
  <si>
    <t>Додаток 6.6</t>
  </si>
  <si>
    <t>Додаток 6.7</t>
  </si>
  <si>
    <t>Додаток 6.8.</t>
  </si>
  <si>
    <t>Дошкільний навчальний заклад (ясла-садок) № 18 "Бджілка"</t>
  </si>
  <si>
    <t>Дошкільний навчальний заклад (ясла-садок) № 42 "Сонечко"</t>
  </si>
  <si>
    <t>Управління з питань екології міської ради</t>
  </si>
  <si>
    <t>Дошкільний виховний заклад загального розвитку  № 273 "Пізнайко"</t>
  </si>
  <si>
    <t>Районний методичний кабінет</t>
  </si>
  <si>
    <t>Комунальна установа "Центральна клінічна лікарня № 4 Заводського району"</t>
  </si>
  <si>
    <t>Комунальна установа "Міська стоматологічна поліклініка № 6"</t>
  </si>
  <si>
    <t>Дитяча поліклініка № 3</t>
  </si>
  <si>
    <t>Міська лікарня № 8</t>
  </si>
  <si>
    <t>Пологовий будинок № 3</t>
  </si>
  <si>
    <t>Міська поліклініка № 2</t>
  </si>
  <si>
    <t>Стоматологічна поліклініка № 5</t>
  </si>
  <si>
    <t>Дошкільний навчальний заклад комбінованого типу № 9 "Фіалка"</t>
  </si>
  <si>
    <t>Дошкільний навчальний заклад комбінованого типу № 19 "Вогник"</t>
  </si>
  <si>
    <t>Дошкільний навчальний заклад (ясла-садок) № 25 "Горобинка"</t>
  </si>
  <si>
    <t>Спеціальний дошкільний навчальний заклад (дитячий садок) № 36 "Дзвіночок"</t>
  </si>
  <si>
    <t>Дошкільний навчальний  заклад (ясла-садок) № 66 "Зміна"</t>
  </si>
  <si>
    <t>Дошкільний навчальний заклад (ясла-садок)№ 75 "Сонечко"</t>
  </si>
  <si>
    <t>Дошкільний навчальний заклад комбінованого типу № 81 "Бірюсинка"</t>
  </si>
  <si>
    <t>Дошкільний навчальний заклад № 231 "Малютка"</t>
  </si>
  <si>
    <t>Дошкільний навчальний заклад № 107  "Зоряний"</t>
  </si>
  <si>
    <t>Дошкільний навчальний заклад (ясла-садок) № 164 "Золотий ключик"</t>
  </si>
  <si>
    <t>Міська багатопрофільна клінічна лікарня № 9</t>
  </si>
  <si>
    <t>Жовтнева районна адміністрація Запорізької міської ради</t>
  </si>
  <si>
    <t>Управління праці та соціального захисту населення Жовтневої районної адміністрації Запорізької міської ради</t>
  </si>
  <si>
    <t>Відділ освіти Жовтневої районної адміністрації Запорізької міської ради</t>
  </si>
  <si>
    <t>Охорона здоров"я - Жовтнева районна адміністрація Запорізької міської ради</t>
  </si>
  <si>
    <t>Централізована бухгалтерія відділу освіти Жовтневої районної адміністрації Запорізької міської ради</t>
  </si>
  <si>
    <t>Пологовий будинок № 4</t>
  </si>
  <si>
    <t>Дитяча полікліника № 6</t>
  </si>
  <si>
    <t>Міська стоматологічна поліклініка № 3</t>
  </si>
  <si>
    <t>100203</t>
  </si>
  <si>
    <t>Відділ комунального господарства Жовтневої районної адміністрації Запорізької міської ради</t>
  </si>
  <si>
    <t>Благоутрій міста</t>
  </si>
  <si>
    <t>КФКВ</t>
  </si>
  <si>
    <t>Загальний фонд</t>
  </si>
  <si>
    <t>Спеціальний фонд</t>
  </si>
  <si>
    <t>гКал</t>
  </si>
  <si>
    <t>кВт/год</t>
  </si>
  <si>
    <t>070000</t>
  </si>
  <si>
    <t>Тверде паливо</t>
  </si>
  <si>
    <t>Назва головного розпорядника коштів</t>
  </si>
  <si>
    <t>куб.м.</t>
  </si>
  <si>
    <t>т.</t>
  </si>
  <si>
    <t>Центр естетичного виховання Хортицького району</t>
  </si>
  <si>
    <t>Міський дитячий ботанічний сад</t>
  </si>
  <si>
    <t>Міський Палац дитячої та юнацької творчості</t>
  </si>
  <si>
    <t>Будинок дитячої та юнацької творчості Заводського району</t>
  </si>
  <si>
    <t>Міська станція юних техніків</t>
  </si>
  <si>
    <t>Запорізький центр козацького військово-патріотичного виховання "Школа джур"</t>
  </si>
  <si>
    <t>Науково-методичний центр</t>
  </si>
  <si>
    <t>Відділ технічного нагляду за станом будівель та споруд</t>
  </si>
  <si>
    <t>Центр дитячої та юнацької творчості  Комунарського району</t>
  </si>
  <si>
    <t>Центр дитячої та юнацької творчості  Жовтневого району</t>
  </si>
  <si>
    <t>Органи місцевого самоврядування</t>
  </si>
  <si>
    <t>Виконавчий комітет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</si>
  <si>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</si>
  <si>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</si>
  <si>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охорони здоров"я міської ради</t>
  </si>
  <si>
    <t>Управління з питань фізичної культури, спорту та туризму міської ради</t>
  </si>
  <si>
    <t>Управління у справах приватизації міської ради</t>
  </si>
  <si>
    <t>Управління з питань надзвичайних ситуацій  та цивільного захисту населення  міської ради</t>
  </si>
  <si>
    <t>Фінансове управління міської ради</t>
  </si>
  <si>
    <t>010116</t>
  </si>
  <si>
    <t>Охорона здоров’я</t>
  </si>
  <si>
    <t>Міська служба соціальної допомоги</t>
  </si>
  <si>
    <t>СДЮШОР № 1</t>
  </si>
  <si>
    <t>СДЮШОР № 8</t>
  </si>
  <si>
    <t>ДЮСШ з футболу, волейболу № 11</t>
  </si>
  <si>
    <t>ДЮСШ з баскетболу № 12</t>
  </si>
  <si>
    <t>Управління культури міської ради</t>
  </si>
  <si>
    <t>Бібліотека-філія №3 ім. Лисняка</t>
  </si>
  <si>
    <t>Бібліотека-філія №5ім. Хмельницького</t>
  </si>
  <si>
    <t>Бібліотека-філія №6 ім. Чубаря</t>
  </si>
  <si>
    <t>Бібліотека-філія №7 ім. Франка</t>
  </si>
  <si>
    <t>Бібліотека-філія № 8 ім. Л.Українки</t>
  </si>
  <si>
    <t>Бібліотека-філія №9ім. Рильського</t>
  </si>
  <si>
    <t>Бібліотека-філія №12 ім. Пушкіна</t>
  </si>
  <si>
    <t>Бібліотека-філія №13 ім. Вовчок</t>
  </si>
  <si>
    <t>Бібліотека-філія №15 ім. Сосюри</t>
  </si>
  <si>
    <t>Бібліотека-філія №17 ім. Чехова</t>
  </si>
  <si>
    <t>Бібліотека-філія №20 ім.Шляхова</t>
  </si>
  <si>
    <t>Бібліотека-філія №2ім. Дубініна</t>
  </si>
  <si>
    <t>Бібліотека-філія №5 ім. Кіяшко</t>
  </si>
  <si>
    <t>Бібліотека-філія №6 ім. Гагаріна</t>
  </si>
  <si>
    <t>Бібліотека-філія №7 “Джерело”</t>
  </si>
  <si>
    <t>Бібліотека-філія №8 ім. Космо-дем’янської</t>
  </si>
  <si>
    <t>Бібліотека-філія №11 ім. Гайдара</t>
  </si>
  <si>
    <t>Бібліотека-філія №15 ім. Котика</t>
  </si>
  <si>
    <t>Бібліотека-філія №17 “Еврика”</t>
  </si>
  <si>
    <t>Дитяча музична школа № 1</t>
  </si>
  <si>
    <t>Дитяча музична школа № 2</t>
  </si>
  <si>
    <t>Дитяча музична школа № 3</t>
  </si>
  <si>
    <t>Дитяча музична школа № 4</t>
  </si>
  <si>
    <t>Дитяча музична школа № 5</t>
  </si>
  <si>
    <t>Дитяча музична школа № 6</t>
  </si>
  <si>
    <t>Дитяча музична школа № 7</t>
  </si>
  <si>
    <t>Дитяча музична школа № 8</t>
  </si>
  <si>
    <t>Дитяча художня школа</t>
  </si>
  <si>
    <t>Комунальна установа “Міська клінічна лікарня  екстреної та швидкої медичної допомоги міста Запоріжжя”</t>
  </si>
  <si>
    <t>Комунальна установа “6-а міська клінічна лікарня”</t>
  </si>
  <si>
    <t>Комунальний заклад охорони здоров’я “Студентська поліклініка”</t>
  </si>
  <si>
    <t>Заклад охорони здоров’я “Дитяча міська стоматологічна поліклініка”</t>
  </si>
  <si>
    <t>Бібліотека-філія №2 ім. Маяковського</t>
  </si>
  <si>
    <t>Бібліотека-філія №10 ім. Шевченка</t>
  </si>
  <si>
    <t>Бібліотека-філія №11 ім. Короленка</t>
  </si>
  <si>
    <t>Бібліотека-філія №14 ім. Нєкрасова</t>
  </si>
  <si>
    <t>Бібліотека-філія №16 ім. Крапівницького</t>
  </si>
  <si>
    <t>Бібліотека-філія №18 ім.Комарова</t>
  </si>
  <si>
    <t>Центральна бібліотека ім. Андросова</t>
  </si>
  <si>
    <t>Бібліотека-філія №1 ім. Великого</t>
  </si>
  <si>
    <t>Бібліотека-філія №4ім. Гнаровської</t>
  </si>
  <si>
    <t>Бібліотека-філія №9 ім. Островського</t>
  </si>
  <si>
    <t>Бібліотека-філія №10 ім. Маршака</t>
  </si>
  <si>
    <t>Бібліотека-філія №13 ім. Морозова</t>
  </si>
  <si>
    <t>Бібліотека-філія №14 ім. Чуковського</t>
  </si>
  <si>
    <t>Бібліотека-філія №16 ім. Портнової</t>
  </si>
  <si>
    <t>Дитяча школа мистецтв № 1</t>
  </si>
  <si>
    <t>Дитяча школа мистецтв № 2</t>
  </si>
  <si>
    <t>Дитяча школа мистецтв № 4</t>
  </si>
  <si>
    <t>Централізована бухгалтерія</t>
  </si>
  <si>
    <t>Бібліотека-філія №12 ім.Ульянова</t>
  </si>
  <si>
    <t>СДЮШОР з веслування академічного “Україна”</t>
  </si>
  <si>
    <t xml:space="preserve">ДЮСШ з боксу та греко-римської боротьби № 6  </t>
  </si>
  <si>
    <t>СДЮШОР з художньої гімнастики № 5</t>
  </si>
  <si>
    <t>Централізована бухгалтерія управління охорони здоров’я Запорізької міської ради</t>
  </si>
  <si>
    <t>091204</t>
  </si>
  <si>
    <t>080000</t>
  </si>
  <si>
    <t>Центр дитячої та  юнацької творчості Шевченківського району</t>
  </si>
  <si>
    <t>Теплоене-ргія</t>
  </si>
  <si>
    <t>Електроене-ргія</t>
  </si>
  <si>
    <t>Електро-енергія</t>
  </si>
  <si>
    <t xml:space="preserve">Природ-ний газ </t>
  </si>
  <si>
    <t>до рішення міської ради</t>
  </si>
  <si>
    <t>Ліміти</t>
  </si>
  <si>
    <t>у натуральному виразі</t>
  </si>
  <si>
    <t>Ленінська райадміністрація</t>
  </si>
  <si>
    <t>Управління праці та соціального  захисту населення Ленінської райадміністрації</t>
  </si>
  <si>
    <t>Відділ освіти Ленінської райадміністрації</t>
  </si>
  <si>
    <t>Охорона здоров"я- Ленінська райадміністрація</t>
  </si>
  <si>
    <t xml:space="preserve">Секретар ради </t>
  </si>
  <si>
    <t>Секретар ради</t>
  </si>
  <si>
    <t>Хортицька райадміністрація</t>
  </si>
  <si>
    <t>Пологовий будинок № 9</t>
  </si>
  <si>
    <t>Центральна районна поліклініка №1</t>
  </si>
  <si>
    <t>Управління праці та соціального захисту населення Хортицької райадміністрації</t>
  </si>
  <si>
    <t>Відділ освіти Хортицької райадміністрації</t>
  </si>
  <si>
    <t>Адміністративна будівля районного відділу освіти</t>
  </si>
  <si>
    <t>Охорона  здоров’я – Хортицька райадміністрація</t>
  </si>
  <si>
    <t>Комунальна установа "Центральна лікарня Жовтневого району"</t>
  </si>
  <si>
    <t>Комунальна установа "Міська стоматологічна поліклініка №2"</t>
  </si>
  <si>
    <t>Комунальна установа "Пологовий будинок № 1"</t>
  </si>
  <si>
    <t>Орджонікідзевська райадміністрація</t>
  </si>
  <si>
    <t>Управління праці та соціального захисту населення Орджонікідзевської райадміністрації</t>
  </si>
  <si>
    <t>Відділ освіти Орджонікідзевської райадміністрації</t>
  </si>
  <si>
    <t>Дошкільний заклад №67</t>
  </si>
  <si>
    <t>Дошкільний заклад №77</t>
  </si>
  <si>
    <t>Дошкільний заклад №154</t>
  </si>
  <si>
    <t>Дошкільний заклад №65</t>
  </si>
  <si>
    <t>Дошкільний заклад №184</t>
  </si>
  <si>
    <t>Дошкільний заклад №259</t>
  </si>
  <si>
    <t>Районний методичний комітет</t>
  </si>
  <si>
    <t>Міжшкільний навчально-виробничий комбінат</t>
  </si>
  <si>
    <t>Охорона здоров"я- Орджонікідзевська райадміністрація</t>
  </si>
  <si>
    <t>Шевченківська райадміністрація</t>
  </si>
  <si>
    <t>Управління праці та соціального захисту населення Шевченківської райадміністрації</t>
  </si>
  <si>
    <t>Відділ освіти Шевченківської райадміністрації</t>
  </si>
  <si>
    <t>Неповна середня загальноосвітня школа №10</t>
  </si>
  <si>
    <t>Групи по централізованому господарському обслуговуванню</t>
  </si>
  <si>
    <t>Охорона здоров"я- Шевченківська райадміністрація</t>
  </si>
  <si>
    <t>Районний відділ освіти</t>
  </si>
  <si>
    <t>Заводська райадміністрація</t>
  </si>
  <si>
    <t>Відділ освіти Заводської райадміністрації</t>
  </si>
  <si>
    <t xml:space="preserve">                                               Відділ освіти Заводської райадміністрації</t>
  </si>
  <si>
    <t>Охорона здоров'я -                         Заводська райадміністрація</t>
  </si>
  <si>
    <t>Комунарська райадміністрація</t>
  </si>
  <si>
    <t>Дитячий дошкільний заклад №285</t>
  </si>
  <si>
    <t>Запорізький навчально-виховний комплекс "Основа" Запорізької міської ради Запорізької області</t>
  </si>
  <si>
    <t>Медико-санітарна частина "Комунар"</t>
  </si>
  <si>
    <t>Медико-санітарна частина "Радіоприлад"</t>
  </si>
  <si>
    <t>Відділ освіти Комунарської райадміністрації</t>
  </si>
  <si>
    <t>Охорона здоров"я - Комунарська райадмністрація</t>
  </si>
  <si>
    <t>Дошкільний навчальний заклад №206</t>
  </si>
  <si>
    <t>Управління праці та соціального захисту населення Заводської райадміністрації</t>
  </si>
  <si>
    <t>Комунальне підприємство "Центральний стадіон"</t>
  </si>
  <si>
    <t>Водопоста-чання та водовідве-дення</t>
  </si>
  <si>
    <t>Група по централізованому господарському обслуговуванню</t>
  </si>
  <si>
    <t>Відділ комунального господарства Шевченківської райадміністрації</t>
  </si>
  <si>
    <t>Поліклініка ім "8 Березня"</t>
  </si>
  <si>
    <t xml:space="preserve">Централізована бухгалтерія Комунальної установи "Центральна лікарня Жовтневого району"  </t>
  </si>
  <si>
    <t>10 міська клінічна лікарня</t>
  </si>
  <si>
    <t xml:space="preserve">Комунальна установа міська стоматологічна поліклініка № 4 </t>
  </si>
  <si>
    <t>Запорізький клінічний пологовий будинок № 5</t>
  </si>
  <si>
    <t>130112</t>
  </si>
  <si>
    <t>Бібліотека-філія №19 Підпорожнянка</t>
  </si>
  <si>
    <t xml:space="preserve">    </t>
  </si>
  <si>
    <t>130000</t>
  </si>
  <si>
    <t>210105</t>
  </si>
  <si>
    <t>210110</t>
  </si>
  <si>
    <t>КУ “Запорізький міський шаховий клуб “Думка”</t>
  </si>
  <si>
    <t>КУ “Міський фізкультурно-оздоровчий центр “Ратібор”</t>
  </si>
  <si>
    <t>КУ “Заводський районний фізкультурно-спортивний комплекс”</t>
  </si>
  <si>
    <t xml:space="preserve">Комунальна спеціальна воєнізована аварійно-рятувальна служба </t>
  </si>
  <si>
    <t>Запорізька міська рятувально-водолазна служба</t>
  </si>
  <si>
    <t>Тепло-енергія</t>
  </si>
  <si>
    <t>Управління праці та соціального захисту населення міської ради</t>
  </si>
  <si>
    <t xml:space="preserve">                                       </t>
  </si>
  <si>
    <t>Фінансове управління Заводської районної адміністрації</t>
  </si>
  <si>
    <t xml:space="preserve"> Ліміти</t>
  </si>
  <si>
    <t>Дитяча школа мистецтв № 3</t>
  </si>
  <si>
    <t>Фінансове управління Шевченківської райадміністрації</t>
  </si>
  <si>
    <t>Управління освіти і науки міської ради</t>
  </si>
  <si>
    <t>Управління освіти і науки міської ради (спортивні школи)</t>
  </si>
  <si>
    <t>Фінансове управління Хортицької райадміністрації</t>
  </si>
  <si>
    <t>Комунальний заклад "Медикосанітарна частина "Запоріжсталь" та "Дніпроспецсталь"</t>
  </si>
  <si>
    <t>Запорізький навчально-виховний комплекс "Основа" з відділенням для реабілітації дітей хворих на цукровий діабет Запорізької міської ради Запорізької області</t>
  </si>
  <si>
    <t xml:space="preserve">Природний газ 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</si>
  <si>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</si>
  <si>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Запорізький навчально-виховний комплекс "Гармонія-плюс" Запорізької міської ради Запорізької області</t>
  </si>
  <si>
    <t>Запорізький ліцей "Логос" Запорізької міської ради Запорізької області</t>
  </si>
  <si>
    <t>Запорізький навчально-виховний комплекс "Мрія" Запорізької міської ради Запорізької області</t>
  </si>
  <si>
    <t>Запорізький навчально-виховний комплекс "Контакт" Запорізької міської ради Запорізької області</t>
  </si>
  <si>
    <t>Запорізький багатопрофільний ліцей "Перспектива" Запорізької міської ради Запоізької області</t>
  </si>
  <si>
    <t>Комунальна установа "Центральна поліклініка Жовтневого району"</t>
  </si>
  <si>
    <t>Запорізька єврейська гімназія "ОРТ-Алеф" Запорізької міської ради Запорізької області</t>
  </si>
  <si>
    <t>Запорізька загальноосвітня школа І-ІІІ ступенів № 22 Запорізької міської ради Запорізької області</t>
  </si>
  <si>
    <t>Запорізька загальноосвітня школа І-ІІІ ступенів № 29 Запорізької міської ради Запорізької області</t>
  </si>
  <si>
    <t>Запорізький навчально-виховний комплекс І-ІІІ ступенів № 30 Запорізької міської ради Запорізької області</t>
  </si>
  <si>
    <t>Запорізька гімназія № 31 Запорізької міської ради Запорізької області</t>
  </si>
  <si>
    <t>Запорізька гімназія № 50 Запорізької міської ради Запорізької області</t>
  </si>
  <si>
    <t>Запорізька спеціалізована школа І-ІІІ ступенів № 59 з поглибленим вивченням англійської мови Запорізької міської ради Запорізької області</t>
  </si>
  <si>
    <t>Запорізька загальноосвітня школа І-ІІІ ступенів № 61 Запорізької міської ради Запорізької області</t>
  </si>
  <si>
    <t>Запорізький багатопрофільний ліцей № 62 Запорізької міської ради Запорізької області</t>
  </si>
  <si>
    <t>Запорізький навчально-виховний комплекс І-ІІІ ступенів № 66 Запорізької міської ради Запорізької області</t>
  </si>
  <si>
    <t>Запорізька загальноосвітня школа І-ІІІ ступенів № 69 Запорізької міської ради Запорізької області</t>
  </si>
  <si>
    <t>Запорізька загальноосвітня школа І-ІІІ ступенів № 73 Запорізької міської ради Запорізької області</t>
  </si>
  <si>
    <t>Запорізька загальноосвітня школа І-ІІІ ступенів № 81 Запорізької міської ради Запорізької області</t>
  </si>
  <si>
    <t>Запорізький навчально-виховний комплекс ІІ-ІІІ ступенів № 82 з виробничим навчанням Запорізької міської ради Запорізької області</t>
  </si>
  <si>
    <t>Запорізька загальноосвітня школа І-ІІІ ступенів № 86 Запорізької міської ради Запорізької області</t>
  </si>
  <si>
    <t>Запорізька загальноосвітня школа І-ІІІ ступенів № 87 Запорізької міської ради Запорізької області</t>
  </si>
  <si>
    <t>Запорізька загальноосвітня школа І-ІІІ ступенів № 89 Запорізької міської ради Запорізької області</t>
  </si>
  <si>
    <t>Запорізький колегіум "Елінт" Запорізької міської ради Запорізької області</t>
  </si>
  <si>
    <t>Запорізька спеціалізована школа І-ІІІ ступенів № 100 Запорізької міської ради Запорізької області</t>
  </si>
  <si>
    <t>Запорізька загальноосвітня школа І-ІІІ ступенів № 104 Запорізької міської ради Запорізької області</t>
  </si>
  <si>
    <t>Запорізька загальноосвітня школа І-ІІІ ступенів № 109 Запорізької міської ради Запорізької області</t>
  </si>
  <si>
    <t xml:space="preserve">Запорізький навчально-виховний комплекс "Еврика" Запорізької міської ради Запорізької області </t>
  </si>
  <si>
    <t>Запорізький навчально-виховний комплекс естетичного навчання № 9 Запорізької міської ради Запорізької області</t>
  </si>
  <si>
    <t>Запорізький загальноосвітній навчально-виховний комплекс "Молодь" Запорізької міської ради Запорізької області</t>
  </si>
  <si>
    <t>Запорізька загальноосвітня школа ІІ-ІІІ ступенів № 16 Запорізької міської ради Запорізької області</t>
  </si>
  <si>
    <t>Запорізька загальноосвітня школа І-ІІІ ступенів № 24 Запорізької міської ради Запорізької області</t>
  </si>
  <si>
    <t>Запорізька загальноосвітня школа І-ІІІ ступенів № 32 Запорізької міської ради Запорізької області</t>
  </si>
  <si>
    <t>Запорізька спеціалізована школа І-ІІІ ступенів № 40 з поглибленим вивченням англійської мови Запорізької міської ради Запорізької області</t>
  </si>
  <si>
    <t>Запорізька гімназія № 45 Запорізької міської ради Запорізької області</t>
  </si>
  <si>
    <t>Запорізька загальноосвітня школа І-ІІІ ступенів № 49 Запорізької міської ради Запорізької області</t>
  </si>
  <si>
    <t>Запорізька загальноосвітня школа І-ІІІ ступенів № 51 Запорізької міської ради Запорізької області</t>
  </si>
  <si>
    <t>Запорізька загальноосвітня школа І-ІІІ ступенів № 91 Запорізької міської ради Запорізької області</t>
  </si>
  <si>
    <t>Запорізька загальноосвітня школа І-ІІІ ступенів № 92 Запорізької міської ради Запорізької області</t>
  </si>
  <si>
    <t>Запорізький багатопрофільний ліцей № 99 Запорізької міської ради Запорізької області</t>
  </si>
  <si>
    <t>Запорізька загальноосвітня школа І-ІІІ ступенів № 106 Запорізької міської ради Запорізької області</t>
  </si>
  <si>
    <t>Запорізька загальноосвітня школа І-ІІІ ступенів № 108 Запорізької міської ради Запорізької області</t>
  </si>
  <si>
    <t>Запорізький загальноосвітній навчально-виховний комплекс "Злагода" Запорізької міської ради Запорізької області</t>
  </si>
  <si>
    <t>Запорізька загальноосвітня школа І-ІІІ ступенів № 1 імені Т.Г.Шевченка Запорізької міської ради Запорізької області</t>
  </si>
  <si>
    <t>Запорізька гімназія № 2 імені Лесі Українки Запорізької міської ради Запорізької області</t>
  </si>
  <si>
    <t>Запорізька загальноосвітня школа І-ІІІ ступенів № 3 Запорізької міської ради Запорізької області</t>
  </si>
  <si>
    <t>Запорізька загальноосвітня школа І-ІІІ ступенів № 5 Запорізької міської ради Запорізької області</t>
  </si>
  <si>
    <t>Запорізька гімназія № 11 Запорізької міської ради Запорізької області</t>
  </si>
  <si>
    <t>Запорізька загальноосвітня школа І-ІІІ ступенів № 15 Запорізької міської ради Запорізької області</t>
  </si>
  <si>
    <t>Запорізька загальноосвітня школа І-ІІІ ступенів № 76 Запорізької міської ради Запорізької області</t>
  </si>
  <si>
    <t>Запорізький колегіум № 98 Запорізької міської ради Запорізької області</t>
  </si>
  <si>
    <t>Запорізький ліцей № 105 Запорізької міської ради Запорізької області</t>
  </si>
  <si>
    <t>Запорізька вечірня школа ІІ-ІІІ ступенів № 12 Запорізької міської ради Запорізької області</t>
  </si>
  <si>
    <t>Запорізький технічний ліцей Запорізької міської ради Запорізької області</t>
  </si>
  <si>
    <t>Запорізький навчально-виховний комплекс № 20 екологічного профілю Запорізької міської ради Запорізької області</t>
  </si>
  <si>
    <t>Запорізька гімназія № 25 гуманітарного профілю Запорізької міської ради Запорізької області</t>
  </si>
  <si>
    <t>Запорізька суспільно-гуманітарна гімназія № 27 Запорізької міської ради Запорізьої області</t>
  </si>
  <si>
    <t>Центр розвитку дитини "Лазурний"  № 278</t>
  </si>
  <si>
    <t>Запорізька гімназія № 28 Запорізької міської ради Запорізької області</t>
  </si>
  <si>
    <t>Запорізька загальноосвітня школа І-ІІІ ступенів № 37 Запорізької міської ради Запорізької області</t>
  </si>
  <si>
    <t>Запорізька загальноосвітня школа І-ІІІ ступенів № 39 Запорізької міської ради Запорізької області</t>
  </si>
  <si>
    <t>Запорізька загальноосвітня школа І-ІІІ ступенів № 41 Запорізької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</si>
  <si>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</si>
  <si>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Запорізька гімназія № 71 з поглибленим вивченням іноземної мови Запорізької міської ради Запорізької області</t>
  </si>
  <si>
    <t>Запорізька спеціалізована школа І-ІІІ ступенів № 72 з поглибленим вивченням хімії та біології Запорізької міської ради Запорізької області</t>
  </si>
  <si>
    <t>Запорізька загальноосвітня школа І-ІІІ ступенів № 78 Запорізької міської ради Запорізької області</t>
  </si>
  <si>
    <t>Запорізька загальноосвітня школа І-ІІІ ступенів № 94 Запорізької міської ради Запорізької області</t>
  </si>
  <si>
    <t>Запорізький класичний ліцей Запорізької міської ради Запорізької області</t>
  </si>
  <si>
    <t>Запорізька загальноосвітня вечірня школа ІІ-ІІІ ступенів № 31 Запорізької міської ради Запорізької області</t>
  </si>
  <si>
    <t>Запорізька загальноосвітня школа І-ІІІ ступенів № 4 Запорізької міської ради Запорізької області</t>
  </si>
  <si>
    <t>Запорізька загальноосвітня школа І-ІІІ ступенів № 12 Запорізької міської ради Запорізької області</t>
  </si>
  <si>
    <t>Запорізька спеціалізована школа фізичної культури І-ІІІ ступенів № 18 Запорізької міської ради Запорізької області</t>
  </si>
  <si>
    <t>Запорізький навчально-виховний комплекс № 19 Запорізької міської ради Запорізької області</t>
  </si>
  <si>
    <t>Запорізький ліцей №  34 Запорізької міської ради Запорізької області</t>
  </si>
  <si>
    <t>Запорізька загальноосвітня школа І-ІІІ ступенів № 35 Запорізької міської ради Запорізької області</t>
  </si>
  <si>
    <t>Запорізька загальноосвітня школа І-ІІІ ступенів № 42 Запорізької міської ради Запорізької області</t>
  </si>
  <si>
    <t>Запорізька загальноосвітня школа І-ІІІ ступенів № 52 Запорізької міської ради Запорізької області</t>
  </si>
  <si>
    <t>Запорізька загальноосвітня школа І-ІІІ ступенів № 53 Запорізької міської ради Запорізької області</t>
  </si>
  <si>
    <t>Запорізька загальноосвітня школа І-ІІІ ступенів № 55 Запорізької міської ради Запорізької області</t>
  </si>
  <si>
    <t>Запорізька загальноосвітня школа І-ІІІ ступенів № 60 Запорізької міської ради Запорізької області</t>
  </si>
  <si>
    <t>Запорізький навчально-виховний комплекс № 63 Запорізької міської ради Запорізької області</t>
  </si>
  <si>
    <t>Запорізька загальноосвітня школа І-ІІІ ступенів № 64 Запорізької міської ради Запорізької області</t>
  </si>
  <si>
    <t>Запорізька загальноосвітня школа І-ІІІ ступенів № 65 Запорізької міської ради Запорізької області</t>
  </si>
  <si>
    <t>Відділ комунального господарства Заводської районної адміністрації</t>
  </si>
  <si>
    <t>Запорізька загальноосвітня школа І-ІІІ ступенів № 68 Запорізької міської ради Запорізької області</t>
  </si>
  <si>
    <t>Запорізький навчально-виховний комплекс № 77 Запорізької міської ради Запорізької області</t>
  </si>
  <si>
    <t>Запорізька гімназія № 93 Запорізької міської ради Запорізької області</t>
  </si>
  <si>
    <t>Запорізька загальноосвітня школа І-ІІІ ступенів № 95 Запорізької міської ради Запорізької області</t>
  </si>
  <si>
    <t>Запорізький навчально-виховний комплекс № 101 Запорізької міської ради Запорізької області</t>
  </si>
  <si>
    <t>Запорізький навчально-виховний комплекс № 111 Запорізької міської ради Запорізької області</t>
  </si>
  <si>
    <t>Запорізький технічний ліцей "Вибір" Запорізької міської ради Запорізької області</t>
  </si>
  <si>
    <t>Запорізький навчально-виховний комплекс "Освіта" Запорізької міської ради Запорізької області</t>
  </si>
  <si>
    <t>Запорізький навчально-виховний комплекс І ступеня "Світанок" Запорізької міської ради Запорізької області</t>
  </si>
  <si>
    <t>Запорізька загальноосвітня школа І-ІІ ступенів № 13 Запорізької міської ради Запорізької області</t>
  </si>
  <si>
    <t>Запорізька загальноосвітня школа І-ІІ ступенів № 21 Запорізької міської ради Запорізької області</t>
  </si>
  <si>
    <t>Запорізька загальноосвітня школа І-ІІІ ступенів № 33 Запорізької міської ради Запорізької області</t>
  </si>
  <si>
    <t>Запорізька загальноосвітня школа І-ІІІ ступенів № 36 Запорізької міської ради Запорізької області</t>
  </si>
  <si>
    <t>Запорізька гімназія № 46 Запорізької міської ради Запорізької області</t>
  </si>
  <si>
    <t>Запорізька гімназія № 47 Запорізької міської ради Запорізької області</t>
  </si>
  <si>
    <t>Запорізька загальноосвітня школа І-ІІ ступенів № 48 Запорізької міської ради Запорізької області</t>
  </si>
  <si>
    <t>Запорізька загальноосвітня школа І-ІІІ ступенів № 54 Запорізької міської ради Запорізької області</t>
  </si>
  <si>
    <t>Запорізький навчально-виховний комплекс № 67 Запорізької міської ради Запорізької області</t>
  </si>
  <si>
    <t>Запорізька загальноосвітня школа І-ІІІ ступенів № 75 Запорізької міської ради Запорізької області</t>
  </si>
  <si>
    <t>Запорізька загальноосвітня школа І-ІІ ступенів № 85 Запорізької міської ради Запорізької області</t>
  </si>
  <si>
    <t>Запорізький навчально-виховний комплекс "Барвінок" Запорізької міської ради Запорізької області</t>
  </si>
  <si>
    <t>Дошкільний навчальний заклад комбінованого типу № 32 "Ромашка"</t>
  </si>
  <si>
    <t>Дошкільний навчальний заклад (ясла-садок) № 94 "Перлина"</t>
  </si>
  <si>
    <t>Дошкільний навчальний заклад комбінованого типу № 121 "Космос"</t>
  </si>
  <si>
    <t>Дошкільний навчальний заклад комбінованого типу № 160 "Журавлик"</t>
  </si>
  <si>
    <t>Дошкільний навчальний заклад комбінованого типу № 175 "Оленка"</t>
  </si>
  <si>
    <t>Дошкільний навчальний заклад комбінованого типу № 189 "Ромашка"</t>
  </si>
  <si>
    <t>Дошкільний навчальний заклад комбінованого типу № 190 "Дюймовочка"</t>
  </si>
  <si>
    <t>Дошкільний навчальний заклад комбінованого типу № 192 "Веселка"</t>
  </si>
  <si>
    <t>Дошкільний навчальний заклад комбінованого типу № 221 "Пілот"</t>
  </si>
  <si>
    <t>Дошкільний навчальний заклад комбінованого типу № 267 "Горобинонька"</t>
  </si>
  <si>
    <t>Спеціальний дошкільний навчальний заклад № 297 "Здоров"ячок"</t>
  </si>
  <si>
    <t>3 міська лікарня</t>
  </si>
  <si>
    <t>Дошкільний навчальний заклад (ясла-садок) № 287 "Біла гвоздика"</t>
  </si>
  <si>
    <t xml:space="preserve">Дошкільний навчальний заклад (ясла-садок) № 291 "Витязь" </t>
  </si>
  <si>
    <t>Дошкільний навчальний заклад (ясла-садок) № 205 "Світлиця"</t>
  </si>
  <si>
    <t>Дошкільний навчальний заклад (ясла-садок) № 3 "Райдуга"</t>
  </si>
  <si>
    <t>Дошкільний навчальний заклад (ясла-садок) № 55 "Калиновий цвіт"</t>
  </si>
  <si>
    <t>Дошкільний навчальний заклад (дитячий садок) № 98 "Жайворонок"</t>
  </si>
  <si>
    <t>Дошкільний навчальний заклад (дитячий садок) № 108 "Теремок"</t>
  </si>
  <si>
    <t>Дошкільний навчальний заклад (ясла-садок) № 130 "Казка"</t>
  </si>
  <si>
    <t>Дошкільний навчальний заклад комбінованого типу № 182 "Щасливе дитинство"</t>
  </si>
  <si>
    <t>Дошкільний навчальний заклад (ясла-садок) № 163</t>
  </si>
  <si>
    <t>Дошкільний навчальний заклад комбінованого типу № 281 "Журавлик"</t>
  </si>
  <si>
    <t>Центр розвитку дитини "Надія"</t>
  </si>
  <si>
    <t>Дошкільний навчальний заклад комбінованого типу № 14 "Орлик"</t>
  </si>
  <si>
    <t>Спеціальний дошкільний навчальний заклад (ясла-садок) № 39 "Грибок"</t>
  </si>
  <si>
    <t>Дошкільний навчальний заклад комбінованого типу № 43 "Росинка"</t>
  </si>
  <si>
    <t>Дошкільний навчальний заклад (ясла-садок) № 131 "Віночок"</t>
  </si>
  <si>
    <t>Дошкільний навчальний заклад (ясла-садок) № 135 "Лебідь"</t>
  </si>
  <si>
    <t>Дошкільний навчальний заклад (ясла-садок)  № 196 "Рожева зоренька"</t>
  </si>
  <si>
    <t>Дошкільний навчальний заклад комбінованого типу № 226 "Парус"</t>
  </si>
  <si>
    <t>Дошкільний навчальний заклад комбінованого типу № 244 "Біла лілея"</t>
  </si>
  <si>
    <t>Дошкільний навчальний заклад (ясла-садок) № 270 "Іскринка"</t>
  </si>
  <si>
    <t>Дошкільний заклад комбінованого типу № 280 "Родзинка"</t>
  </si>
  <si>
    <t>Дошкільний навчальний заклад комбінованого типу № 284 "Росинка"</t>
  </si>
  <si>
    <t>Дошкільний навчальний заклад комбінованого типу  № 22 "Івушка"</t>
  </si>
  <si>
    <t>Дошкільний навчальний заклад загального розвитку  № 163 "Орлятко"</t>
  </si>
  <si>
    <t>Дошкільний навчальний заклад комбінованого типу № 167 "Каштан"</t>
  </si>
  <si>
    <t>Дошкільний навчальний заклад (ясла-садок) № 171 "Світлячок"</t>
  </si>
  <si>
    <t>Дошкільний навчальний заклад комбінованого типу  № 179 "Золотий півник"</t>
  </si>
  <si>
    <t>Дошкільний навчальний заклад комбінованого типй № 230 "Черешенька"</t>
  </si>
  <si>
    <t>Дошкільний навчальний заклад комбінованого типу № 254 "Рижик"</t>
  </si>
  <si>
    <t>Дитячий навчальний заклад (ясла-садок) № 21 "Кораблик"</t>
  </si>
  <si>
    <t>Дитячий навчальний заклад (ясла-садок) № 90 "Волошка"</t>
  </si>
  <si>
    <t>Дитячий навчальний заклад (дитячий садок) № 105 "Дзвіночок"</t>
  </si>
  <si>
    <t>Дитячий навчальний заклад (ясла-садок) № 129 "Конвалія"</t>
  </si>
  <si>
    <t>Дитячий навчальний заклад (ясла-садок) № 150 "Маяк"</t>
  </si>
  <si>
    <t>Дитячий навчальний заклад комбінованого типу № 166 "Ракета"</t>
  </si>
  <si>
    <t>Дитячий навчальний заклад (ясла-садок) № 172 "Кришталевий"</t>
  </si>
  <si>
    <t>Дитячий навчальний заклад комбінованого типу № 188 "Червона гвоздика"</t>
  </si>
  <si>
    <t>Санаторний дошкільний навчальний заклад (ясла-садок) № 199  "Вогник"</t>
  </si>
  <si>
    <t>Дошкільний навчальний заклад (ясла-садок) № 219 "Сонячний зайчик"</t>
  </si>
  <si>
    <t>Дошкільний навчальний заклад комбінованого типу № 262 "Олімпієць"</t>
  </si>
  <si>
    <t>Дошкільний навчальний заклад (ясла-садок) № 274 "Зайчатко"</t>
  </si>
  <si>
    <t>Дошкільний навчальний заклад (ясла-садок) № 290 "Зайчатка"</t>
  </si>
  <si>
    <t>Дошкільний навчальний заклад комбінованого типу № 293 "Багряні вітрила"</t>
  </si>
  <si>
    <t>Дошкільний навчальний заклад (ясла-садок) № 295 "Червона калина"</t>
  </si>
  <si>
    <t>Дошкільний навчальний заклад (ясла-садок) № 258 "Лебедик"</t>
  </si>
  <si>
    <t>Дошкільний навчальний заклад (ясла-садок) № 186 "Іскра"</t>
  </si>
  <si>
    <t>Дошкільний навчальний заклад (ясла-садок) № 177 "Дзвіночок"</t>
  </si>
  <si>
    <t>Дошкільний навчальний заклад комбінованого типу № 162 "Ведмедик"</t>
  </si>
  <si>
    <t>Дошкільний навчальний заклад (ясла-садок) № 161 "Сніжинка"</t>
  </si>
  <si>
    <t>Дошкільний навчальний заклад (ясла-садок) № 155 "Калинка"</t>
  </si>
  <si>
    <t>Дошкільний навчальний заклад (дитячий садок) № 146 "Вербичка"</t>
  </si>
  <si>
    <t>Дошкільний навчальний заклад комбінованого типу № 145 "Дружна сімейка"</t>
  </si>
  <si>
    <t>Дошкільний навчальний заклад (ясла-садок) № 128 "Берізка"</t>
  </si>
  <si>
    <t>Дошкільний навчальний заклад (ясла-садок) № 126 "Земляничка"</t>
  </si>
  <si>
    <t>Дошкільний навчальний заклад (ясла-садок) № 6 "Капітошка"</t>
  </si>
  <si>
    <t xml:space="preserve">Дошкільний навчальний заклад комбінованого типу № 288 "Біла лелека" </t>
  </si>
  <si>
    <t>Дошкільний навчальний заклад (ясла-садок) № 282 "Олеся"</t>
  </si>
  <si>
    <t>Дошкільний навчальний заклад комбінованого типу № 272 "Гномик"</t>
  </si>
  <si>
    <t>Дошкільний навчальний заклад (ясла-садок) № 269 "Сосенки"</t>
  </si>
  <si>
    <t>Дошкільний навчальний заклад (ясла-садок)  № 253 "Малятко"</t>
  </si>
  <si>
    <t>Дошкільний навчальний заклад (ясла-садок) № 240 "Іволга"</t>
  </si>
  <si>
    <t>Дошкільний навчальний заклад комбінованого типу № 237 "Смородинка"</t>
  </si>
  <si>
    <t>Дошкільний навчальний заклад комбінованого типу № 235 "Горошинка"</t>
  </si>
  <si>
    <t>Дошкільний навчальний  заклад комбінованого типу № 232 "Сіренький зайчик"</t>
  </si>
  <si>
    <t>Дошкільний навчальний заклад (ясла-садок) № 228 "Срібне копитце"</t>
  </si>
  <si>
    <t xml:space="preserve">Єврейський дошкільний навчальний заклад № 4 "Тюльпанчик" </t>
  </si>
  <si>
    <t>Комунальна установа “Запорізька міська багатопрофільна дитяча лікарня № 5”</t>
  </si>
  <si>
    <t>110000</t>
  </si>
  <si>
    <t>130107</t>
  </si>
  <si>
    <t>130110</t>
  </si>
  <si>
    <t xml:space="preserve">ДЮСШ № 4 </t>
  </si>
  <si>
    <t>ДЮСШ № 10 східних одноборств та йоги</t>
  </si>
  <si>
    <t>Центр дітей та юнацтва Орджонікідзевського району</t>
  </si>
  <si>
    <t>Центр дитячої та юнацької творчості Ленінського району</t>
  </si>
  <si>
    <t>Управління транспорту та зв"язку міської ради</t>
  </si>
  <si>
    <t>Електроенергія</t>
  </si>
  <si>
    <t>Водопостачання та водовідведення</t>
  </si>
  <si>
    <t>споживання енергоносіїв в розрізі бюджетних установ, що фінансуються з бюджету Ленінського району на 2006 рік</t>
  </si>
  <si>
    <t>споживання енергоносіїв в розрізі бюджетних установ, що фінансуються з бюджету Хортицького району на 2006 рік</t>
  </si>
  <si>
    <t>споживання енергоносіїв в розрізі бюджетних установ, що фінансуються з  бюджету Орджонікідзевського району на 2006 рік</t>
  </si>
  <si>
    <t>споживання енергоносіїв в розрізі бюджетних установ, що фінансуються з бюджету Жовтневого району на 2006 рік</t>
  </si>
  <si>
    <t>споживання енергоносіїв в розрізі бюджетних установ, що фінансуються з  бюджету Шевченківського району на 2006 рік</t>
  </si>
  <si>
    <t>споживання енергоносіїв в розрізі бюджетних установ, що фінансуються з  бюджету Заводського району на 2006 рік</t>
  </si>
  <si>
    <t>споживання енергоносіїв в розрізі бюджетних установ, що фінансуються з  бюджету Комунарського району на 2006 рік</t>
  </si>
  <si>
    <t>споживання енергоносіїв в розрізі бюджетних установ, що фінансуються з міського бюджету на 2006 рік</t>
  </si>
  <si>
    <t>Центр допризовної підготовки</t>
  </si>
  <si>
    <t>Навчально- виробничий комбінат</t>
  </si>
  <si>
    <t>Міський культурний центр "Народний дім"</t>
  </si>
  <si>
    <t>Центральна районна поліклініка</t>
  </si>
  <si>
    <t>СДЮШОР "Салют"</t>
  </si>
  <si>
    <t>Відділ по роботі з документами дозвільного характеру міської ради</t>
  </si>
  <si>
    <t>Ю.В.Каптюх</t>
  </si>
  <si>
    <t>Запорізький академічний ліцей Запорізької міської ради Запорізької області</t>
  </si>
  <si>
    <t>20.09.2006 №4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</si>
</sst>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0.00000"/>
    <numFmt numFmtId="177" formatCode="0.0000000"/>
    <numFmt numFmtId="178" formatCode="0.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</numFmts>
  <fonts count="11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3.5"/>
      <name val="Times New Roman Cyr"/>
      <family val="1"/>
    </font>
    <font>
      <sz val="14"/>
      <name val="Arial Cyr"/>
      <family val="2"/>
    </font>
    <font>
      <sz val="13.5"/>
      <name val="Arial Cyr"/>
      <family val="2"/>
    </font>
    <font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7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73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3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3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 wrapText="1"/>
    </xf>
    <xf numFmtId="172" fontId="3" fillId="0" borderId="2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9"/>
  <sheetViews>
    <sheetView tabSelected="1" view="pageBreakPreview" zoomScale="50" zoomScaleNormal="75" zoomScaleSheetLayoutView="50" workbookViewId="0" topLeftCell="A4">
      <pane xSplit="2" ySplit="9" topLeftCell="D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6.00390625" style="7" customWidth="1"/>
    <col min="4" max="4" width="17.75390625" style="7" customWidth="1"/>
    <col min="5" max="5" width="19.00390625" style="7" customWidth="1"/>
    <col min="6" max="6" width="13.875" style="7" customWidth="1"/>
    <col min="7" max="7" width="9.875" style="7" customWidth="1"/>
    <col min="8" max="8" width="10.625" style="7" customWidth="1"/>
    <col min="9" max="9" width="18.00390625" style="7" customWidth="1"/>
    <col min="10" max="10" width="14.00390625" style="7" customWidth="1"/>
    <col min="11" max="11" width="13.375" style="7" customWidth="1"/>
    <col min="12" max="12" width="9.875" style="7" customWidth="1"/>
  </cols>
  <sheetData>
    <row r="1" spans="10:14" ht="18">
      <c r="J1" s="55" t="s">
        <v>35</v>
      </c>
      <c r="K1" s="55"/>
      <c r="L1" s="52"/>
      <c r="M1" s="2"/>
      <c r="N1" s="2"/>
    </row>
    <row r="2" spans="10:14" ht="17.25">
      <c r="J2" s="100" t="s">
        <v>176</v>
      </c>
      <c r="K2" s="101"/>
      <c r="L2" s="101"/>
      <c r="M2" s="2"/>
      <c r="N2" s="2"/>
    </row>
    <row r="3" spans="10:14" ht="17.25">
      <c r="J3" s="101"/>
      <c r="K3" s="101"/>
      <c r="L3" s="101"/>
      <c r="M3" s="2"/>
      <c r="N3" s="2"/>
    </row>
    <row r="4" spans="5:14" ht="18">
      <c r="E4" s="7" t="s">
        <v>249</v>
      </c>
      <c r="J4" s="55" t="s">
        <v>472</v>
      </c>
      <c r="K4" s="55"/>
      <c r="L4" s="52"/>
      <c r="M4" s="2"/>
      <c r="N4" s="2"/>
    </row>
    <row r="6" spans="4:8" ht="17.25">
      <c r="D6" s="99" t="s">
        <v>177</v>
      </c>
      <c r="E6" s="99"/>
      <c r="F6" s="99"/>
      <c r="G6" s="99"/>
      <c r="H6" s="99"/>
    </row>
    <row r="7" spans="3:10" ht="37.5" customHeight="1">
      <c r="C7" s="103" t="s">
        <v>463</v>
      </c>
      <c r="D7" s="104"/>
      <c r="E7" s="104"/>
      <c r="F7" s="104"/>
      <c r="G7" s="104"/>
      <c r="H7" s="104"/>
      <c r="I7" s="104"/>
      <c r="J7" s="6"/>
    </row>
    <row r="8" spans="3:10" ht="17.25">
      <c r="C8" s="6"/>
      <c r="D8" s="6"/>
      <c r="E8" s="6"/>
      <c r="F8" s="6"/>
      <c r="G8" s="6"/>
      <c r="H8" s="6"/>
      <c r="I8" s="6"/>
      <c r="J8" s="6"/>
    </row>
    <row r="9" spans="6:12" ht="17.25">
      <c r="F9" s="9"/>
      <c r="H9" s="102" t="s">
        <v>178</v>
      </c>
      <c r="I9" s="102"/>
      <c r="J9" s="102"/>
      <c r="K9" s="102"/>
      <c r="L9" s="102"/>
    </row>
    <row r="10" spans="1:46" s="61" customFormat="1" ht="17.25">
      <c r="A10" s="105" t="s">
        <v>77</v>
      </c>
      <c r="B10" s="108" t="s">
        <v>84</v>
      </c>
      <c r="C10" s="111" t="s">
        <v>78</v>
      </c>
      <c r="D10" s="112"/>
      <c r="E10" s="112"/>
      <c r="F10" s="112"/>
      <c r="G10" s="113"/>
      <c r="H10" s="114" t="s">
        <v>79</v>
      </c>
      <c r="I10" s="114"/>
      <c r="J10" s="114"/>
      <c r="K10" s="114"/>
      <c r="L10" s="11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61" customFormat="1" ht="69">
      <c r="A11" s="106"/>
      <c r="B11" s="109"/>
      <c r="C11" s="11" t="s">
        <v>2</v>
      </c>
      <c r="D11" s="11" t="s">
        <v>454</v>
      </c>
      <c r="E11" s="11" t="s">
        <v>455</v>
      </c>
      <c r="F11" s="11" t="s">
        <v>259</v>
      </c>
      <c r="G11" s="11" t="s">
        <v>83</v>
      </c>
      <c r="H11" s="11" t="s">
        <v>2</v>
      </c>
      <c r="I11" s="11" t="s">
        <v>454</v>
      </c>
      <c r="J11" s="11" t="s">
        <v>455</v>
      </c>
      <c r="K11" s="11" t="s">
        <v>259</v>
      </c>
      <c r="L11" s="11" t="s">
        <v>83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61" customFormat="1" ht="17.25">
      <c r="A12" s="107"/>
      <c r="B12" s="110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76" customFormat="1" ht="34.5">
      <c r="A13" s="12" t="s">
        <v>106</v>
      </c>
      <c r="B13" s="13" t="s">
        <v>97</v>
      </c>
      <c r="C13" s="14">
        <f>SUM(C14:C26)</f>
        <v>2030.82</v>
      </c>
      <c r="D13" s="14">
        <f aca="true" t="shared" si="0" ref="D13:L13">SUM(D14:D26)</f>
        <v>674779.3</v>
      </c>
      <c r="E13" s="14">
        <f t="shared" si="0"/>
        <v>18582</v>
      </c>
      <c r="F13" s="14">
        <f t="shared" si="0"/>
        <v>0</v>
      </c>
      <c r="G13" s="14">
        <f t="shared" si="0"/>
        <v>0</v>
      </c>
      <c r="H13" s="14">
        <f t="shared" si="0"/>
        <v>286.3</v>
      </c>
      <c r="I13" s="14">
        <f t="shared" si="0"/>
        <v>15190</v>
      </c>
      <c r="J13" s="14">
        <f t="shared" si="0"/>
        <v>3246</v>
      </c>
      <c r="K13" s="14">
        <f t="shared" si="0"/>
        <v>0</v>
      </c>
      <c r="L13" s="14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" customFormat="1" ht="34.5">
      <c r="A14" s="15"/>
      <c r="B14" s="13" t="s">
        <v>98</v>
      </c>
      <c r="C14" s="14">
        <f>951+201</f>
        <v>1152</v>
      </c>
      <c r="D14" s="14">
        <f>90000+377481</f>
        <v>467481</v>
      </c>
      <c r="E14" s="14">
        <f>7155+3440</f>
        <v>10595</v>
      </c>
      <c r="F14" s="14"/>
      <c r="G14" s="14"/>
      <c r="H14" s="14">
        <v>286.3</v>
      </c>
      <c r="I14" s="14">
        <v>15190</v>
      </c>
      <c r="J14" s="14">
        <v>3246</v>
      </c>
      <c r="K14" s="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" customFormat="1" ht="51.75">
      <c r="A15" s="15"/>
      <c r="B15" s="13" t="s">
        <v>469</v>
      </c>
      <c r="C15" s="14">
        <v>60</v>
      </c>
      <c r="D15" s="14">
        <v>22314</v>
      </c>
      <c r="E15" s="14">
        <v>605</v>
      </c>
      <c r="F15" s="14"/>
      <c r="G15" s="14"/>
      <c r="H15" s="14"/>
      <c r="I15" s="14"/>
      <c r="J15" s="14"/>
      <c r="K15" s="14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" customFormat="1" ht="34.5">
      <c r="A16" s="15"/>
      <c r="B16" s="13" t="s">
        <v>99</v>
      </c>
      <c r="C16" s="14">
        <f>106.2+23</f>
        <v>129.2</v>
      </c>
      <c r="D16" s="14">
        <v>24310</v>
      </c>
      <c r="E16" s="14">
        <f>380+383+390</f>
        <v>1153</v>
      </c>
      <c r="F16" s="14"/>
      <c r="G16" s="14"/>
      <c r="H16" s="14"/>
      <c r="I16" s="14"/>
      <c r="J16" s="14"/>
      <c r="K16" s="14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" customFormat="1" ht="34.5">
      <c r="A17" s="15"/>
      <c r="B17" s="13" t="s">
        <v>100</v>
      </c>
      <c r="C17" s="14">
        <f>137.5+8</f>
        <v>145.5</v>
      </c>
      <c r="D17" s="14">
        <v>14251</v>
      </c>
      <c r="E17" s="14">
        <v>582</v>
      </c>
      <c r="F17" s="14"/>
      <c r="G17" s="14"/>
      <c r="H17" s="14"/>
      <c r="I17" s="14"/>
      <c r="J17" s="14"/>
      <c r="K17" s="14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" customFormat="1" ht="34.5">
      <c r="A18" s="15"/>
      <c r="B18" s="13" t="s">
        <v>254</v>
      </c>
      <c r="C18" s="14">
        <f>62.52+14.8</f>
        <v>77.32000000000001</v>
      </c>
      <c r="D18" s="14">
        <f>11413+4856</f>
        <v>16269</v>
      </c>
      <c r="E18" s="14">
        <v>209</v>
      </c>
      <c r="F18" s="14"/>
      <c r="G18" s="14"/>
      <c r="H18" s="14"/>
      <c r="I18" s="14"/>
      <c r="J18" s="14"/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" customFormat="1" ht="34.5">
      <c r="A19" s="15"/>
      <c r="B19" s="13" t="s">
        <v>101</v>
      </c>
      <c r="C19" s="14">
        <v>120</v>
      </c>
      <c r="D19" s="14">
        <f>22000+1390</f>
        <v>23390</v>
      </c>
      <c r="E19" s="14">
        <f>2240+590</f>
        <v>2830</v>
      </c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" customFormat="1" ht="51.75">
      <c r="A20" s="15"/>
      <c r="B20" s="13" t="s">
        <v>102</v>
      </c>
      <c r="C20" s="14">
        <f>58.2+18</f>
        <v>76.2</v>
      </c>
      <c r="D20" s="14">
        <f>9381+0.3</f>
        <v>9381.3</v>
      </c>
      <c r="E20" s="14">
        <v>145</v>
      </c>
      <c r="F20" s="14"/>
      <c r="G20" s="14"/>
      <c r="H20" s="14"/>
      <c r="I20" s="14"/>
      <c r="J20" s="14"/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" customFormat="1" ht="34.5">
      <c r="A21" s="15"/>
      <c r="B21" s="13" t="s">
        <v>103</v>
      </c>
      <c r="C21" s="14">
        <v>85.2</v>
      </c>
      <c r="D21" s="14">
        <v>24700</v>
      </c>
      <c r="E21" s="14">
        <v>500</v>
      </c>
      <c r="F21" s="14"/>
      <c r="G21" s="14"/>
      <c r="H21" s="14"/>
      <c r="I21" s="14"/>
      <c r="J21" s="14"/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" customFormat="1" ht="69">
      <c r="A22" s="15"/>
      <c r="B22" s="13" t="s">
        <v>104</v>
      </c>
      <c r="C22" s="14">
        <f>57.5+26</f>
        <v>83.5</v>
      </c>
      <c r="D22" s="14"/>
      <c r="E22" s="14">
        <f>378+200</f>
        <v>578</v>
      </c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" customFormat="1" ht="34.5">
      <c r="A23" s="15"/>
      <c r="B23" s="13" t="s">
        <v>105</v>
      </c>
      <c r="C23" s="14">
        <v>37.5</v>
      </c>
      <c r="D23" s="14">
        <f>15620+4267</f>
        <v>19887</v>
      </c>
      <c r="E23" s="14">
        <v>517</v>
      </c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" customFormat="1" ht="34.5">
      <c r="A24" s="15"/>
      <c r="B24" s="13" t="s">
        <v>45</v>
      </c>
      <c r="C24" s="14">
        <v>21.6</v>
      </c>
      <c r="D24" s="14">
        <v>10693</v>
      </c>
      <c r="E24" s="14">
        <v>250</v>
      </c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" customFormat="1" ht="34.5">
      <c r="A25" s="91"/>
      <c r="B25" s="67" t="s">
        <v>453</v>
      </c>
      <c r="C25" s="14"/>
      <c r="D25" s="14">
        <v>18232</v>
      </c>
      <c r="E25" s="14"/>
      <c r="F25" s="14"/>
      <c r="G25" s="14"/>
      <c r="H25" s="14"/>
      <c r="I25" s="14"/>
      <c r="J25" s="14"/>
      <c r="K25" s="14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61" customFormat="1" ht="51.75">
      <c r="A26" s="66"/>
      <c r="B26" s="67" t="s">
        <v>248</v>
      </c>
      <c r="C26" s="11">
        <v>42.8</v>
      </c>
      <c r="D26" s="11">
        <v>23871</v>
      </c>
      <c r="E26" s="11">
        <v>618</v>
      </c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34.5">
      <c r="A27" s="16" t="s">
        <v>82</v>
      </c>
      <c r="B27" s="17" t="s">
        <v>254</v>
      </c>
      <c r="C27" s="18">
        <f>SUM(C28:C48)</f>
        <v>9337.871</v>
      </c>
      <c r="D27" s="18">
        <f aca="true" t="shared" si="1" ref="D27:I27">SUM(D28:D48)</f>
        <v>1245641</v>
      </c>
      <c r="E27" s="18">
        <f t="shared" si="1"/>
        <v>72020.79999999999</v>
      </c>
      <c r="F27" s="18">
        <f t="shared" si="1"/>
        <v>446817</v>
      </c>
      <c r="G27" s="18">
        <f t="shared" si="1"/>
        <v>72.7</v>
      </c>
      <c r="H27" s="18">
        <f t="shared" si="1"/>
        <v>50</v>
      </c>
      <c r="I27" s="18">
        <f t="shared" si="1"/>
        <v>10250</v>
      </c>
      <c r="J27" s="18">
        <f>SUM(J28:J48)</f>
        <v>4791</v>
      </c>
      <c r="K27" s="18">
        <f>SUM(K28:K48)</f>
        <v>0</v>
      </c>
      <c r="L27" s="18">
        <f>SUM(L28:L48)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86.25">
      <c r="A28" s="19"/>
      <c r="B28" s="42" t="s">
        <v>303</v>
      </c>
      <c r="C28" s="21">
        <v>519.939</v>
      </c>
      <c r="D28" s="21">
        <v>64810</v>
      </c>
      <c r="E28" s="21">
        <v>6781</v>
      </c>
      <c r="F28" s="21"/>
      <c r="G28" s="21"/>
      <c r="H28" s="28"/>
      <c r="I28" s="28"/>
      <c r="J28" s="28"/>
      <c r="K28" s="2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19"/>
      <c r="B29" s="20" t="s">
        <v>262</v>
      </c>
      <c r="C29" s="21">
        <v>927.383</v>
      </c>
      <c r="D29" s="21">
        <v>212154</v>
      </c>
      <c r="E29" s="21">
        <v>8280</v>
      </c>
      <c r="F29" s="21"/>
      <c r="G29" s="21"/>
      <c r="H29" s="28"/>
      <c r="I29" s="28">
        <v>6250</v>
      </c>
      <c r="J29" s="28">
        <v>1956</v>
      </c>
      <c r="K29" s="28"/>
      <c r="L29" s="2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69">
      <c r="A30" s="19"/>
      <c r="B30" s="20" t="s">
        <v>264</v>
      </c>
      <c r="C30" s="21">
        <v>581.723</v>
      </c>
      <c r="D30" s="21">
        <v>53080</v>
      </c>
      <c r="E30" s="21">
        <v>4674</v>
      </c>
      <c r="F30" s="21"/>
      <c r="G30" s="21"/>
      <c r="H30" s="28">
        <v>50</v>
      </c>
      <c r="I30" s="28">
        <v>1500</v>
      </c>
      <c r="J30" s="28">
        <v>1564</v>
      </c>
      <c r="K30" s="28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.75" customHeight="1">
      <c r="A31" s="19"/>
      <c r="B31" s="20" t="s">
        <v>265</v>
      </c>
      <c r="C31" s="21">
        <v>0</v>
      </c>
      <c r="D31" s="21">
        <v>63352</v>
      </c>
      <c r="E31" s="21">
        <v>2877</v>
      </c>
      <c r="F31" s="21">
        <f>104200+17147</f>
        <v>121347</v>
      </c>
      <c r="G31" s="21"/>
      <c r="H31" s="28"/>
      <c r="I31" s="28"/>
      <c r="J31" s="28"/>
      <c r="K31" s="28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63"/>
      <c r="B32" s="20" t="s">
        <v>267</v>
      </c>
      <c r="C32" s="28">
        <v>561.954</v>
      </c>
      <c r="D32" s="28">
        <v>65230</v>
      </c>
      <c r="E32" s="28">
        <v>3344</v>
      </c>
      <c r="F32" s="28"/>
      <c r="G32" s="28"/>
      <c r="H32" s="28"/>
      <c r="I32" s="28"/>
      <c r="J32" s="28"/>
      <c r="K32" s="28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70.5" customHeight="1">
      <c r="A33" s="63"/>
      <c r="B33" s="27" t="s">
        <v>261</v>
      </c>
      <c r="C33" s="21">
        <v>351.2</v>
      </c>
      <c r="D33" s="21">
        <v>47766</v>
      </c>
      <c r="E33" s="21">
        <v>3158</v>
      </c>
      <c r="F33" s="21"/>
      <c r="G33" s="21"/>
      <c r="H33" s="28"/>
      <c r="I33" s="28">
        <v>2500</v>
      </c>
      <c r="J33" s="28">
        <v>294</v>
      </c>
      <c r="K33" s="28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74.25" customHeight="1" hidden="1">
      <c r="A34" s="63"/>
      <c r="B34" s="27" t="s">
        <v>220</v>
      </c>
      <c r="C34" s="21"/>
      <c r="D34" s="21"/>
      <c r="E34" s="21"/>
      <c r="F34" s="21"/>
      <c r="G34" s="21"/>
      <c r="H34" s="28"/>
      <c r="I34" s="28"/>
      <c r="J34" s="28"/>
      <c r="K34" s="28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16"/>
      <c r="B35" s="17" t="s">
        <v>263</v>
      </c>
      <c r="C35" s="21">
        <v>452.293</v>
      </c>
      <c r="D35" s="23">
        <v>102942</v>
      </c>
      <c r="E35" s="21">
        <v>7389</v>
      </c>
      <c r="F35" s="21"/>
      <c r="G35" s="24"/>
      <c r="H35" s="28"/>
      <c r="I35" s="28"/>
      <c r="J35" s="28">
        <v>977</v>
      </c>
      <c r="K35" s="28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03.5">
      <c r="A36" s="19"/>
      <c r="B36" s="22" t="s">
        <v>260</v>
      </c>
      <c r="C36" s="21">
        <v>998.99</v>
      </c>
      <c r="D36" s="21">
        <v>150672</v>
      </c>
      <c r="E36" s="21">
        <v>10309</v>
      </c>
      <c r="F36" s="21"/>
      <c r="G36" s="21">
        <v>72.7</v>
      </c>
      <c r="H36" s="28"/>
      <c r="I36" s="28"/>
      <c r="J36" s="28"/>
      <c r="K36" s="28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6.75" customHeight="1">
      <c r="A37" s="19"/>
      <c r="B37" s="20" t="s">
        <v>87</v>
      </c>
      <c r="C37" s="94">
        <v>240.36</v>
      </c>
      <c r="D37" s="21">
        <v>24303</v>
      </c>
      <c r="E37" s="21">
        <v>2693.5</v>
      </c>
      <c r="F37" s="21"/>
      <c r="G37" s="21"/>
      <c r="H37" s="28"/>
      <c r="I37" s="28"/>
      <c r="J37" s="28"/>
      <c r="K37" s="28"/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34.5">
      <c r="A38" s="19"/>
      <c r="B38" s="20" t="s">
        <v>88</v>
      </c>
      <c r="C38" s="21">
        <v>0</v>
      </c>
      <c r="D38" s="21">
        <v>80532</v>
      </c>
      <c r="E38" s="21">
        <v>2137.6</v>
      </c>
      <c r="F38" s="21">
        <v>325470</v>
      </c>
      <c r="G38" s="21"/>
      <c r="H38" s="28"/>
      <c r="I38" s="28"/>
      <c r="J38" s="28"/>
      <c r="K38" s="28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51.75">
      <c r="A39" s="25"/>
      <c r="B39" s="20" t="s">
        <v>171</v>
      </c>
      <c r="C39" s="94">
        <v>690.28</v>
      </c>
      <c r="D39" s="21">
        <v>38625</v>
      </c>
      <c r="E39" s="21">
        <v>2104.1</v>
      </c>
      <c r="F39" s="21"/>
      <c r="G39" s="21"/>
      <c r="H39" s="28"/>
      <c r="I39" s="28"/>
      <c r="J39" s="28"/>
      <c r="K39" s="28"/>
      <c r="L39" s="2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4.5">
      <c r="A40" s="19"/>
      <c r="B40" s="20" t="s">
        <v>89</v>
      </c>
      <c r="C40" s="21">
        <v>1257.656</v>
      </c>
      <c r="D40" s="21">
        <v>137916</v>
      </c>
      <c r="E40" s="21">
        <v>4868.2</v>
      </c>
      <c r="F40" s="21"/>
      <c r="G40" s="21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4.5">
      <c r="A41" s="19"/>
      <c r="B41" s="20" t="s">
        <v>451</v>
      </c>
      <c r="C41" s="21">
        <v>265.73</v>
      </c>
      <c r="D41" s="21">
        <v>23887</v>
      </c>
      <c r="E41" s="21">
        <v>2822.4</v>
      </c>
      <c r="F41" s="21"/>
      <c r="G41" s="21"/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36.75" customHeight="1">
      <c r="A42" s="63"/>
      <c r="B42" s="20" t="s">
        <v>90</v>
      </c>
      <c r="C42" s="28">
        <v>417.574</v>
      </c>
      <c r="D42" s="28">
        <v>11944</v>
      </c>
      <c r="E42" s="28">
        <v>536.5</v>
      </c>
      <c r="F42" s="28"/>
      <c r="G42" s="28"/>
      <c r="H42" s="28"/>
      <c r="I42" s="28"/>
      <c r="J42" s="28"/>
      <c r="K42" s="28"/>
      <c r="L42" s="2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7.25">
      <c r="A43" s="19"/>
      <c r="B43" s="27" t="s">
        <v>91</v>
      </c>
      <c r="C43" s="94">
        <v>673.177</v>
      </c>
      <c r="D43" s="20">
        <v>27703</v>
      </c>
      <c r="E43" s="21">
        <v>2107.1</v>
      </c>
      <c r="F43" s="21"/>
      <c r="G43" s="21"/>
      <c r="H43" s="28"/>
      <c r="I43" s="28"/>
      <c r="J43" s="28"/>
      <c r="K43" s="28"/>
      <c r="L43" s="2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4" customHeight="1">
      <c r="A44" s="26"/>
      <c r="B44" s="20" t="s">
        <v>92</v>
      </c>
      <c r="C44" s="28">
        <v>161.225</v>
      </c>
      <c r="D44" s="27">
        <v>6797</v>
      </c>
      <c r="E44" s="28">
        <v>318.8</v>
      </c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3.75" customHeight="1">
      <c r="A45" s="26"/>
      <c r="B45" s="27" t="s">
        <v>452</v>
      </c>
      <c r="C45" s="28">
        <v>76.862</v>
      </c>
      <c r="D45" s="27">
        <v>30816</v>
      </c>
      <c r="E45" s="28">
        <v>1111.7</v>
      </c>
      <c r="F45" s="29"/>
      <c r="G45" s="29"/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30"/>
      <c r="B46" s="79" t="s">
        <v>95</v>
      </c>
      <c r="C46" s="18">
        <v>764.146</v>
      </c>
      <c r="D46" s="17">
        <v>38906</v>
      </c>
      <c r="E46" s="18">
        <v>3525.9</v>
      </c>
      <c r="F46" s="31"/>
      <c r="G46" s="31"/>
      <c r="H46" s="80"/>
      <c r="I46" s="80"/>
      <c r="J46" s="80"/>
      <c r="K46" s="80"/>
      <c r="L46" s="8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35.25" customHeight="1">
      <c r="A47" s="19"/>
      <c r="B47" s="27" t="s">
        <v>96</v>
      </c>
      <c r="C47" s="21">
        <v>325.722</v>
      </c>
      <c r="D47" s="21">
        <v>48006</v>
      </c>
      <c r="E47" s="21">
        <v>2547.1</v>
      </c>
      <c r="F47" s="21"/>
      <c r="G47" s="21"/>
      <c r="H47" s="28"/>
      <c r="I47" s="28"/>
      <c r="J47" s="28"/>
      <c r="K47" s="28"/>
      <c r="L47" s="2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74" customFormat="1" ht="17.25">
      <c r="A48" s="69"/>
      <c r="B48" s="20" t="s">
        <v>93</v>
      </c>
      <c r="C48" s="71">
        <v>71.657</v>
      </c>
      <c r="D48" s="71">
        <v>16200</v>
      </c>
      <c r="E48" s="71">
        <v>435.9</v>
      </c>
      <c r="F48" s="71"/>
      <c r="G48" s="71"/>
      <c r="H48" s="72"/>
      <c r="I48" s="72"/>
      <c r="J48" s="72"/>
      <c r="K48" s="72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ht="34.5">
      <c r="A49" s="26"/>
      <c r="B49" s="70" t="s">
        <v>94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>
      <c r="A50" s="26" t="s">
        <v>170</v>
      </c>
      <c r="B50" s="27" t="s">
        <v>107</v>
      </c>
      <c r="C50" s="28">
        <f aca="true" t="shared" si="2" ref="C50:L50">SUM(C51:C57)</f>
        <v>19351.51</v>
      </c>
      <c r="D50" s="28">
        <f t="shared" si="2"/>
        <v>4116438</v>
      </c>
      <c r="E50" s="28">
        <f t="shared" si="2"/>
        <v>627607.6499999999</v>
      </c>
      <c r="F50" s="28">
        <f t="shared" si="2"/>
        <v>364808</v>
      </c>
      <c r="G50" s="28">
        <f t="shared" si="2"/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72" customHeight="1">
      <c r="A51" s="26"/>
      <c r="B51" s="27" t="s">
        <v>142</v>
      </c>
      <c r="C51" s="28">
        <v>9561.48</v>
      </c>
      <c r="D51" s="28">
        <v>2106007</v>
      </c>
      <c r="E51" s="28">
        <v>290000</v>
      </c>
      <c r="F51" s="28">
        <v>180000</v>
      </c>
      <c r="G51" s="28">
        <v>0</v>
      </c>
      <c r="H51" s="29"/>
      <c r="I51" s="29"/>
      <c r="J51" s="29"/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26"/>
      <c r="B52" s="27" t="s">
        <v>445</v>
      </c>
      <c r="C52" s="28">
        <v>5500</v>
      </c>
      <c r="D52" s="28">
        <v>1226662</v>
      </c>
      <c r="E52" s="28">
        <v>196270</v>
      </c>
      <c r="F52" s="28">
        <v>118755</v>
      </c>
      <c r="G52" s="28">
        <v>0</v>
      </c>
      <c r="H52" s="29"/>
      <c r="I52" s="29"/>
      <c r="J52" s="29"/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34.5">
      <c r="A53" s="26"/>
      <c r="B53" s="27" t="s">
        <v>143</v>
      </c>
      <c r="C53" s="29">
        <v>2600</v>
      </c>
      <c r="D53" s="29">
        <v>435000</v>
      </c>
      <c r="E53" s="29">
        <v>103249.1</v>
      </c>
      <c r="F53" s="29">
        <v>18014</v>
      </c>
      <c r="G53" s="29">
        <v>0</v>
      </c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>
      <c r="A54" s="26"/>
      <c r="B54" s="27" t="s">
        <v>144</v>
      </c>
      <c r="C54" s="29">
        <v>168.19</v>
      </c>
      <c r="D54" s="29">
        <v>22154</v>
      </c>
      <c r="E54" s="29">
        <v>2707.58</v>
      </c>
      <c r="F54" s="29"/>
      <c r="G54" s="29"/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51.75">
      <c r="A55" s="26"/>
      <c r="B55" s="27" t="s">
        <v>145</v>
      </c>
      <c r="C55" s="29">
        <v>146.5</v>
      </c>
      <c r="D55" s="29">
        <v>12000</v>
      </c>
      <c r="E55" s="29">
        <v>1951.26</v>
      </c>
      <c r="F55" s="29"/>
      <c r="G55" s="29"/>
      <c r="H55" s="29"/>
      <c r="I55" s="29"/>
      <c r="J55" s="29"/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4.5">
      <c r="A56" s="26"/>
      <c r="B56" s="27" t="s">
        <v>194</v>
      </c>
      <c r="C56" s="29">
        <v>1375.34</v>
      </c>
      <c r="D56" s="29">
        <v>314615</v>
      </c>
      <c r="E56" s="29">
        <v>33429.71</v>
      </c>
      <c r="F56" s="29">
        <f>41039+7000</f>
        <v>48039</v>
      </c>
      <c r="G56" s="29"/>
      <c r="H56" s="29"/>
      <c r="I56" s="29"/>
      <c r="J56" s="29"/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51.75" hidden="1">
      <c r="A57" s="26"/>
      <c r="B57" s="27" t="s">
        <v>168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26" t="s">
        <v>169</v>
      </c>
      <c r="B58" s="27" t="s">
        <v>108</v>
      </c>
      <c r="C58" s="29">
        <v>1625.4</v>
      </c>
      <c r="D58" s="83">
        <v>227881</v>
      </c>
      <c r="E58" s="29">
        <v>17647</v>
      </c>
      <c r="F58" s="29"/>
      <c r="G58" s="29"/>
      <c r="H58" s="29">
        <v>26.694</v>
      </c>
      <c r="I58" s="29">
        <v>5575</v>
      </c>
      <c r="J58" s="29">
        <v>482.4</v>
      </c>
      <c r="K58" s="29"/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26" t="s">
        <v>446</v>
      </c>
      <c r="B59" s="27" t="s">
        <v>113</v>
      </c>
      <c r="C59" s="29">
        <f aca="true" t="shared" si="3" ref="C59:L59">SUM(C60:C111)</f>
        <v>2521.7000000000003</v>
      </c>
      <c r="D59" s="29">
        <f t="shared" si="3"/>
        <v>381084</v>
      </c>
      <c r="E59" s="29">
        <f t="shared" si="3"/>
        <v>42900.299999999996</v>
      </c>
      <c r="F59" s="29">
        <f t="shared" si="3"/>
        <v>4761.9</v>
      </c>
      <c r="G59" s="29">
        <f t="shared" si="3"/>
        <v>15</v>
      </c>
      <c r="H59" s="29">
        <f t="shared" si="3"/>
        <v>416.40000000000003</v>
      </c>
      <c r="I59" s="29">
        <f t="shared" si="3"/>
        <v>29647</v>
      </c>
      <c r="J59" s="29">
        <f t="shared" si="3"/>
        <v>1824</v>
      </c>
      <c r="K59" s="29">
        <f t="shared" si="3"/>
        <v>0</v>
      </c>
      <c r="L59" s="29">
        <f t="shared" si="3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4.5">
      <c r="A60" s="26"/>
      <c r="B60" s="27" t="s">
        <v>0</v>
      </c>
      <c r="C60" s="29">
        <v>602</v>
      </c>
      <c r="D60" s="29">
        <v>58891</v>
      </c>
      <c r="E60" s="29">
        <v>8391.2</v>
      </c>
      <c r="F60" s="29">
        <v>4761.9</v>
      </c>
      <c r="G60" s="29">
        <v>5</v>
      </c>
      <c r="H60" s="29"/>
      <c r="I60" s="29">
        <v>600</v>
      </c>
      <c r="J60" s="29">
        <v>39</v>
      </c>
      <c r="K60" s="29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>
      <c r="A61" s="26"/>
      <c r="B61" s="27" t="s">
        <v>1</v>
      </c>
      <c r="C61" s="29">
        <v>419.6</v>
      </c>
      <c r="D61" s="29">
        <v>44530</v>
      </c>
      <c r="E61" s="29">
        <v>7202</v>
      </c>
      <c r="F61" s="29"/>
      <c r="G61" s="29"/>
      <c r="H61" s="29"/>
      <c r="I61" s="29"/>
      <c r="J61" s="29"/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4.5" hidden="1">
      <c r="A62" s="26"/>
      <c r="B62" s="27" t="s">
        <v>146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4.5" hidden="1">
      <c r="A63" s="26"/>
      <c r="B63" s="27" t="s">
        <v>114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4.5" hidden="1">
      <c r="A64" s="26"/>
      <c r="B64" s="27" t="s">
        <v>115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34.5" hidden="1">
      <c r="A65" s="26"/>
      <c r="B65" s="27" t="s">
        <v>116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4.5" hidden="1">
      <c r="A66" s="26"/>
      <c r="B66" s="27" t="s">
        <v>117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34.5" hidden="1">
      <c r="A67" s="26"/>
      <c r="B67" s="27" t="s">
        <v>118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34.5" hidden="1">
      <c r="A68" s="26"/>
      <c r="B68" s="27" t="s">
        <v>119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34.5" hidden="1">
      <c r="A69" s="26"/>
      <c r="B69" s="27" t="s">
        <v>147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34.5" hidden="1">
      <c r="A70" s="26"/>
      <c r="B70" s="27" t="s">
        <v>148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34.5" hidden="1">
      <c r="A71" s="26"/>
      <c r="B71" s="27" t="s">
        <v>120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34.5" hidden="1">
      <c r="A72" s="26"/>
      <c r="B72" s="27" t="s">
        <v>121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34.5" hidden="1">
      <c r="A73" s="26"/>
      <c r="B73" s="27" t="s">
        <v>149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34.5" hidden="1">
      <c r="A74" s="26"/>
      <c r="B74" s="27" t="s">
        <v>122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34.5" hidden="1">
      <c r="A75" s="26"/>
      <c r="B75" s="27" t="s">
        <v>150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34.5" hidden="1">
      <c r="A76" s="26"/>
      <c r="B76" s="27" t="s">
        <v>123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34.5" hidden="1">
      <c r="A77" s="26"/>
      <c r="B77" s="27" t="s">
        <v>151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34.5" hidden="1">
      <c r="A78" s="26"/>
      <c r="B78" s="27" t="s">
        <v>237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34.5" hidden="1">
      <c r="A79" s="26"/>
      <c r="B79" s="27" t="s">
        <v>124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4.5" hidden="1">
      <c r="A80" s="26"/>
      <c r="B80" s="27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34.5" hidden="1">
      <c r="A81" s="26"/>
      <c r="B81" s="27" t="s">
        <v>153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34.5" hidden="1">
      <c r="A82" s="26"/>
      <c r="B82" s="27" t="s">
        <v>125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34.5" hidden="1">
      <c r="A83" s="26"/>
      <c r="B83" s="27" t="s">
        <v>154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34.5" hidden="1">
      <c r="A84" s="26"/>
      <c r="B84" s="27" t="s">
        <v>126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34.5" hidden="1">
      <c r="A85" s="26"/>
      <c r="B85" s="27" t="s">
        <v>127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34.5" hidden="1">
      <c r="A86" s="26"/>
      <c r="B86" s="27" t="s">
        <v>128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34.5" hidden="1">
      <c r="A87" s="26"/>
      <c r="B87" s="27" t="s">
        <v>129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34.5" hidden="1">
      <c r="A88" s="26"/>
      <c r="B88" s="27" t="s">
        <v>155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34.5" hidden="1">
      <c r="A89" s="26"/>
      <c r="B89" s="27" t="s">
        <v>156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34.5" hidden="1">
      <c r="A90" s="26"/>
      <c r="B90" s="27" t="s">
        <v>130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34.5" hidden="1">
      <c r="A91" s="26"/>
      <c r="B91" s="27" t="s">
        <v>164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34.5" hidden="1">
      <c r="A92" s="26"/>
      <c r="B92" s="27" t="s">
        <v>157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34.5" hidden="1">
      <c r="A93" s="26"/>
      <c r="B93" s="27" t="s">
        <v>158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34.5" hidden="1">
      <c r="A94" s="26"/>
      <c r="B94" s="27" t="s">
        <v>131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34.5" hidden="1">
      <c r="A95" s="26"/>
      <c r="B95" s="27" t="s">
        <v>159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34.5" hidden="1">
      <c r="A96" s="26"/>
      <c r="B96" s="27" t="s">
        <v>132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7.25">
      <c r="A97" s="26"/>
      <c r="B97" s="27" t="s">
        <v>133</v>
      </c>
      <c r="C97" s="29">
        <v>170.9</v>
      </c>
      <c r="D97" s="29">
        <v>7524</v>
      </c>
      <c r="E97" s="29">
        <v>954</v>
      </c>
      <c r="F97" s="29"/>
      <c r="G97" s="29"/>
      <c r="H97" s="29">
        <v>62.8</v>
      </c>
      <c r="I97" s="29">
        <v>900</v>
      </c>
      <c r="J97" s="29">
        <v>214</v>
      </c>
      <c r="K97" s="29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7.25">
      <c r="A98" s="26"/>
      <c r="B98" s="27" t="s">
        <v>134</v>
      </c>
      <c r="C98" s="29">
        <v>174.7</v>
      </c>
      <c r="D98" s="29">
        <v>7433</v>
      </c>
      <c r="E98" s="29">
        <v>6112</v>
      </c>
      <c r="F98" s="29"/>
      <c r="G98" s="29"/>
      <c r="H98" s="29">
        <v>64.1</v>
      </c>
      <c r="I98" s="29">
        <v>892</v>
      </c>
      <c r="J98" s="29">
        <v>364</v>
      </c>
      <c r="K98" s="29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7.25">
      <c r="A99" s="26"/>
      <c r="B99" s="27" t="s">
        <v>135</v>
      </c>
      <c r="C99" s="29">
        <v>97.3</v>
      </c>
      <c r="D99" s="29">
        <v>7433</v>
      </c>
      <c r="E99" s="29">
        <v>3352</v>
      </c>
      <c r="F99" s="29"/>
      <c r="G99" s="29"/>
      <c r="H99" s="29">
        <v>35.6</v>
      </c>
      <c r="I99" s="29">
        <v>892</v>
      </c>
      <c r="J99" s="29">
        <v>368</v>
      </c>
      <c r="K99" s="29"/>
      <c r="L99" s="2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7.25">
      <c r="A100" s="26"/>
      <c r="B100" s="27" t="s">
        <v>136</v>
      </c>
      <c r="C100" s="29">
        <v>129.5</v>
      </c>
      <c r="D100" s="29">
        <v>7654</v>
      </c>
      <c r="E100" s="29">
        <v>684</v>
      </c>
      <c r="F100" s="29"/>
      <c r="G100" s="29"/>
      <c r="H100" s="29">
        <v>47.5</v>
      </c>
      <c r="I100" s="29">
        <v>918</v>
      </c>
      <c r="J100" s="29">
        <v>234</v>
      </c>
      <c r="K100" s="29"/>
      <c r="L100" s="2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7.25">
      <c r="A101" s="26"/>
      <c r="B101" s="27" t="s">
        <v>137</v>
      </c>
      <c r="C101" s="29">
        <v>51.5</v>
      </c>
      <c r="D101" s="29">
        <v>2212</v>
      </c>
      <c r="E101" s="29">
        <v>393</v>
      </c>
      <c r="F101" s="29"/>
      <c r="G101" s="29"/>
      <c r="H101" s="29">
        <v>18.9</v>
      </c>
      <c r="I101" s="29">
        <v>264</v>
      </c>
      <c r="J101" s="29">
        <v>45</v>
      </c>
      <c r="K101" s="29"/>
      <c r="L101" s="2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7.25">
      <c r="A102" s="26"/>
      <c r="B102" s="27" t="s">
        <v>138</v>
      </c>
      <c r="C102" s="29">
        <v>77.5</v>
      </c>
      <c r="D102" s="29">
        <v>8420</v>
      </c>
      <c r="E102" s="29">
        <v>351</v>
      </c>
      <c r="F102" s="29"/>
      <c r="G102" s="29"/>
      <c r="H102" s="29">
        <v>28.4</v>
      </c>
      <c r="I102" s="29">
        <v>1011</v>
      </c>
      <c r="J102" s="29">
        <v>14</v>
      </c>
      <c r="K102" s="29"/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7.25">
      <c r="A103" s="26"/>
      <c r="B103" s="27" t="s">
        <v>139</v>
      </c>
      <c r="C103" s="29"/>
      <c r="D103" s="29">
        <v>151038</v>
      </c>
      <c r="E103" s="29">
        <v>1193</v>
      </c>
      <c r="F103" s="29"/>
      <c r="G103" s="29">
        <v>10</v>
      </c>
      <c r="H103" s="29"/>
      <c r="I103" s="29">
        <v>20333</v>
      </c>
      <c r="J103" s="29">
        <v>116</v>
      </c>
      <c r="K103" s="29"/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7.25">
      <c r="A104" s="26"/>
      <c r="B104" s="27" t="s">
        <v>140</v>
      </c>
      <c r="C104" s="29">
        <v>37.5</v>
      </c>
      <c r="D104" s="29">
        <v>6359</v>
      </c>
      <c r="E104" s="29">
        <v>1190</v>
      </c>
      <c r="F104" s="29"/>
      <c r="G104" s="29"/>
      <c r="H104" s="29">
        <v>13.8</v>
      </c>
      <c r="I104" s="29">
        <v>761</v>
      </c>
      <c r="J104" s="29">
        <v>120</v>
      </c>
      <c r="K104" s="29"/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7.25">
      <c r="A105" s="26"/>
      <c r="B105" s="27" t="s">
        <v>160</v>
      </c>
      <c r="C105" s="29">
        <v>155.7</v>
      </c>
      <c r="D105" s="29">
        <v>8250</v>
      </c>
      <c r="E105" s="29">
        <v>3544.8</v>
      </c>
      <c r="F105" s="29"/>
      <c r="G105" s="29"/>
      <c r="H105" s="29">
        <v>2.1</v>
      </c>
      <c r="I105" s="29">
        <v>209</v>
      </c>
      <c r="J105" s="29">
        <v>71</v>
      </c>
      <c r="K105" s="29"/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7.25">
      <c r="A106" s="26"/>
      <c r="B106" s="27" t="s">
        <v>161</v>
      </c>
      <c r="C106" s="29">
        <v>237.1</v>
      </c>
      <c r="D106" s="29">
        <v>6276</v>
      </c>
      <c r="E106" s="29">
        <v>481</v>
      </c>
      <c r="F106" s="29"/>
      <c r="G106" s="29"/>
      <c r="H106" s="29">
        <v>87.2</v>
      </c>
      <c r="I106" s="29"/>
      <c r="J106" s="29">
        <v>162</v>
      </c>
      <c r="K106" s="29"/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7.25">
      <c r="A107" s="26"/>
      <c r="B107" s="27" t="s">
        <v>252</v>
      </c>
      <c r="C107" s="29">
        <v>9.6</v>
      </c>
      <c r="D107" s="29">
        <v>10163</v>
      </c>
      <c r="E107" s="29">
        <v>1185.5</v>
      </c>
      <c r="F107" s="29"/>
      <c r="G107" s="29"/>
      <c r="H107" s="29"/>
      <c r="I107" s="29"/>
      <c r="J107" s="29"/>
      <c r="K107" s="29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7.25">
      <c r="A108" s="26"/>
      <c r="B108" s="27" t="s">
        <v>162</v>
      </c>
      <c r="C108" s="29">
        <v>213</v>
      </c>
      <c r="D108" s="29">
        <v>17105</v>
      </c>
      <c r="E108" s="29">
        <v>4065.2</v>
      </c>
      <c r="F108" s="29"/>
      <c r="G108" s="29"/>
      <c r="H108" s="29">
        <v>25.7</v>
      </c>
      <c r="I108" s="29">
        <v>105</v>
      </c>
      <c r="J108" s="29">
        <v>9</v>
      </c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7.25">
      <c r="A109" s="26"/>
      <c r="B109" s="27" t="s">
        <v>141</v>
      </c>
      <c r="C109" s="29">
        <v>82.3</v>
      </c>
      <c r="D109" s="29">
        <v>23046</v>
      </c>
      <c r="E109" s="29">
        <v>3030</v>
      </c>
      <c r="F109" s="29"/>
      <c r="G109" s="29"/>
      <c r="H109" s="29">
        <v>30.3</v>
      </c>
      <c r="I109" s="29">
        <v>2762</v>
      </c>
      <c r="J109" s="29">
        <v>68</v>
      </c>
      <c r="K109" s="29"/>
      <c r="L109" s="2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34.5">
      <c r="A110" s="26"/>
      <c r="B110" s="27" t="s">
        <v>466</v>
      </c>
      <c r="C110" s="29">
        <v>33.5</v>
      </c>
      <c r="D110" s="29">
        <v>1343.7</v>
      </c>
      <c r="E110" s="29">
        <v>582.2</v>
      </c>
      <c r="F110" s="29"/>
      <c r="G110" s="29"/>
      <c r="H110" s="29"/>
      <c r="I110" s="29"/>
      <c r="J110" s="29"/>
      <c r="K110" s="29"/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7.25">
      <c r="A111" s="26"/>
      <c r="B111" s="27" t="s">
        <v>163</v>
      </c>
      <c r="C111" s="29">
        <v>30</v>
      </c>
      <c r="D111" s="29">
        <v>13406.3</v>
      </c>
      <c r="E111" s="29">
        <v>189.4</v>
      </c>
      <c r="F111" s="29"/>
      <c r="G111" s="29"/>
      <c r="H111" s="29"/>
      <c r="I111" s="29"/>
      <c r="J111" s="29"/>
      <c r="K111" s="29"/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51.75">
      <c r="A112" s="26" t="s">
        <v>447</v>
      </c>
      <c r="B112" s="27" t="s">
        <v>255</v>
      </c>
      <c r="C112" s="29">
        <f aca="true" t="shared" si="4" ref="C112:L112">SUM(C113:C120)</f>
        <v>686.097</v>
      </c>
      <c r="D112" s="29">
        <f>SUM(D113:D120)</f>
        <v>76300</v>
      </c>
      <c r="E112" s="93">
        <f t="shared" si="4"/>
        <v>7548.999999999999</v>
      </c>
      <c r="F112" s="29">
        <f t="shared" si="4"/>
        <v>0</v>
      </c>
      <c r="G112" s="29">
        <f t="shared" si="4"/>
        <v>0</v>
      </c>
      <c r="H112" s="29">
        <f t="shared" si="4"/>
        <v>0</v>
      </c>
      <c r="I112" s="29">
        <f t="shared" si="4"/>
        <v>0</v>
      </c>
      <c r="J112" s="29">
        <f t="shared" si="4"/>
        <v>0</v>
      </c>
      <c r="K112" s="29">
        <f t="shared" si="4"/>
        <v>0</v>
      </c>
      <c r="L112" s="29">
        <f t="shared" si="4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7.25">
      <c r="A113" s="26"/>
      <c r="B113" s="27" t="s">
        <v>109</v>
      </c>
      <c r="C113" s="29">
        <v>95.499</v>
      </c>
      <c r="D113" s="29">
        <v>21982</v>
      </c>
      <c r="E113" s="29">
        <v>1136.6</v>
      </c>
      <c r="F113" s="29"/>
      <c r="G113" s="29"/>
      <c r="H113" s="29"/>
      <c r="I113" s="29"/>
      <c r="J113" s="29"/>
      <c r="K113" s="29"/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7.25">
      <c r="A114" s="26"/>
      <c r="B114" s="27" t="s">
        <v>449</v>
      </c>
      <c r="C114" s="29">
        <v>52.201</v>
      </c>
      <c r="D114" s="29">
        <v>2882</v>
      </c>
      <c r="E114" s="29">
        <v>313.3</v>
      </c>
      <c r="F114" s="29"/>
      <c r="G114" s="29"/>
      <c r="H114" s="29"/>
      <c r="I114" s="29"/>
      <c r="J114" s="29"/>
      <c r="K114" s="29"/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34.5">
      <c r="A115" s="26"/>
      <c r="B115" s="27" t="s">
        <v>167</v>
      </c>
      <c r="C115" s="29"/>
      <c r="D115" s="29"/>
      <c r="E115" s="29">
        <v>619.9</v>
      </c>
      <c r="F115" s="29"/>
      <c r="G115" s="29"/>
      <c r="H115" s="29"/>
      <c r="I115" s="29"/>
      <c r="J115" s="29"/>
      <c r="K115" s="29"/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34.5">
      <c r="A116" s="26"/>
      <c r="B116" s="27" t="s">
        <v>166</v>
      </c>
      <c r="C116" s="29">
        <v>264.916</v>
      </c>
      <c r="D116" s="29">
        <v>16636</v>
      </c>
      <c r="E116" s="29">
        <v>2594</v>
      </c>
      <c r="F116" s="29"/>
      <c r="G116" s="29"/>
      <c r="H116" s="29"/>
      <c r="I116" s="29"/>
      <c r="J116" s="29"/>
      <c r="K116" s="29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7.25">
      <c r="A117" s="26"/>
      <c r="B117" s="27" t="s">
        <v>110</v>
      </c>
      <c r="C117" s="29">
        <v>41.51</v>
      </c>
      <c r="D117" s="29">
        <v>4200</v>
      </c>
      <c r="E117" s="29"/>
      <c r="F117" s="29"/>
      <c r="G117" s="29"/>
      <c r="H117" s="29"/>
      <c r="I117" s="29"/>
      <c r="J117" s="29"/>
      <c r="K117" s="29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34.5">
      <c r="A118" s="26"/>
      <c r="B118" s="27" t="s">
        <v>450</v>
      </c>
      <c r="C118" s="29">
        <v>94.574</v>
      </c>
      <c r="D118" s="29">
        <v>11600</v>
      </c>
      <c r="E118" s="29">
        <v>693.4</v>
      </c>
      <c r="F118" s="29"/>
      <c r="G118" s="29"/>
      <c r="H118" s="29"/>
      <c r="I118" s="29"/>
      <c r="J118" s="29"/>
      <c r="K118" s="29"/>
      <c r="L118" s="2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34.5">
      <c r="A119" s="26"/>
      <c r="B119" s="27" t="s">
        <v>111</v>
      </c>
      <c r="C119" s="29">
        <v>79.095</v>
      </c>
      <c r="D119" s="29">
        <v>13000</v>
      </c>
      <c r="E119" s="29">
        <v>597.1</v>
      </c>
      <c r="F119" s="29"/>
      <c r="G119" s="29"/>
      <c r="H119" s="29"/>
      <c r="I119" s="29"/>
      <c r="J119" s="29"/>
      <c r="K119" s="29"/>
      <c r="L119" s="2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7.25">
      <c r="A120" s="26"/>
      <c r="B120" s="27" t="s">
        <v>112</v>
      </c>
      <c r="C120" s="29">
        <v>58.302</v>
      </c>
      <c r="D120" s="29">
        <v>6000</v>
      </c>
      <c r="E120" s="29">
        <v>1594.7</v>
      </c>
      <c r="F120" s="29"/>
      <c r="G120" s="29"/>
      <c r="H120" s="29"/>
      <c r="I120" s="29"/>
      <c r="J120" s="29"/>
      <c r="K120" s="29"/>
      <c r="L120" s="2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51.75">
      <c r="A121" s="26" t="s">
        <v>239</v>
      </c>
      <c r="B121" s="27" t="s">
        <v>102</v>
      </c>
      <c r="C121" s="29">
        <f>C122+C123+C125+C124+C126+C131</f>
        <v>1376.24</v>
      </c>
      <c r="D121" s="29">
        <f aca="true" t="shared" si="5" ref="D121:L121">D122+D123+D125+D124+D126+D131</f>
        <v>213125</v>
      </c>
      <c r="E121" s="29">
        <f t="shared" si="5"/>
        <v>24352.940000000002</v>
      </c>
      <c r="F121" s="29">
        <f t="shared" si="5"/>
        <v>0</v>
      </c>
      <c r="G121" s="29">
        <f t="shared" si="5"/>
        <v>4.5</v>
      </c>
      <c r="H121" s="29">
        <f t="shared" si="5"/>
        <v>1.9</v>
      </c>
      <c r="I121" s="29">
        <f t="shared" si="5"/>
        <v>313.13</v>
      </c>
      <c r="J121" s="29">
        <f t="shared" si="5"/>
        <v>3155</v>
      </c>
      <c r="K121" s="29">
        <f t="shared" si="5"/>
        <v>0</v>
      </c>
      <c r="L121" s="29">
        <f t="shared" si="5"/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34.5">
      <c r="A122" s="26" t="s">
        <v>447</v>
      </c>
      <c r="B122" s="27" t="s">
        <v>165</v>
      </c>
      <c r="C122" s="29"/>
      <c r="D122" s="29">
        <v>75937.5</v>
      </c>
      <c r="E122" s="29">
        <v>294.12</v>
      </c>
      <c r="F122" s="29"/>
      <c r="G122" s="29">
        <v>4.5</v>
      </c>
      <c r="H122" s="29"/>
      <c r="I122" s="29"/>
      <c r="J122" s="29"/>
      <c r="K122" s="29"/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51.75">
      <c r="A123" s="26"/>
      <c r="B123" s="27" t="s">
        <v>6</v>
      </c>
      <c r="C123" s="29"/>
      <c r="D123" s="29">
        <v>34375</v>
      </c>
      <c r="E123" s="29">
        <v>294.12</v>
      </c>
      <c r="F123" s="29"/>
      <c r="G123" s="29"/>
      <c r="H123" s="29"/>
      <c r="I123" s="29"/>
      <c r="J123" s="29"/>
      <c r="K123" s="29"/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7.25">
      <c r="A124" s="26"/>
      <c r="B124" s="27" t="s">
        <v>8</v>
      </c>
      <c r="C124" s="29">
        <v>37.51</v>
      </c>
      <c r="D124" s="29">
        <v>9375</v>
      </c>
      <c r="E124" s="29">
        <v>588.24</v>
      </c>
      <c r="F124" s="29"/>
      <c r="G124" s="29"/>
      <c r="H124" s="29"/>
      <c r="I124" s="29"/>
      <c r="J124" s="29"/>
      <c r="K124" s="29"/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34.5">
      <c r="A125" s="26"/>
      <c r="B125" s="27" t="s">
        <v>7</v>
      </c>
      <c r="C125" s="29">
        <v>625.16</v>
      </c>
      <c r="D125" s="29">
        <v>83125</v>
      </c>
      <c r="E125" s="29">
        <v>11764.7</v>
      </c>
      <c r="F125" s="29"/>
      <c r="G125" s="29"/>
      <c r="H125" s="29"/>
      <c r="I125" s="29"/>
      <c r="J125" s="29"/>
      <c r="K125" s="29"/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7.25">
      <c r="A126" s="26"/>
      <c r="B126" s="27" t="s">
        <v>468</v>
      </c>
      <c r="C126" s="29">
        <v>625.15</v>
      </c>
      <c r="D126" s="29"/>
      <c r="E126" s="29">
        <v>10764.7</v>
      </c>
      <c r="F126" s="29"/>
      <c r="G126" s="29"/>
      <c r="H126" s="29"/>
      <c r="I126" s="29"/>
      <c r="J126" s="29"/>
      <c r="K126" s="29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86.25">
      <c r="A127" s="26" t="s">
        <v>448</v>
      </c>
      <c r="B127" s="27" t="s">
        <v>9</v>
      </c>
      <c r="C127" s="29">
        <f>C128</f>
        <v>1239.724</v>
      </c>
      <c r="D127" s="29">
        <f aca="true" t="shared" si="6" ref="D127:L127">D128</f>
        <v>189062.5</v>
      </c>
      <c r="E127" s="29">
        <f t="shared" si="6"/>
        <v>14588.24</v>
      </c>
      <c r="F127" s="29">
        <f t="shared" si="6"/>
        <v>0</v>
      </c>
      <c r="G127" s="29">
        <f t="shared" si="6"/>
        <v>0</v>
      </c>
      <c r="H127" s="29">
        <f t="shared" si="6"/>
        <v>6.25</v>
      </c>
      <c r="I127" s="29">
        <f t="shared" si="6"/>
        <v>6250</v>
      </c>
      <c r="J127" s="29">
        <f t="shared" si="6"/>
        <v>3529.41</v>
      </c>
      <c r="K127" s="29">
        <f t="shared" si="6"/>
        <v>0</v>
      </c>
      <c r="L127" s="29">
        <f t="shared" si="6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51.75">
      <c r="A128" s="26"/>
      <c r="B128" s="27" t="s">
        <v>244</v>
      </c>
      <c r="C128" s="29">
        <f>1187.8+51.924</f>
        <v>1239.724</v>
      </c>
      <c r="D128" s="29">
        <v>189062.5</v>
      </c>
      <c r="E128" s="29">
        <v>14588.24</v>
      </c>
      <c r="F128" s="29"/>
      <c r="G128" s="29"/>
      <c r="H128" s="29">
        <v>6.25</v>
      </c>
      <c r="I128" s="29">
        <v>6250</v>
      </c>
      <c r="J128" s="29">
        <v>3529.41</v>
      </c>
      <c r="K128" s="29"/>
      <c r="L128" s="2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34.5">
      <c r="A129" s="26"/>
      <c r="B129" s="27" t="s">
        <v>227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51.75" hidden="1">
      <c r="A130" s="26"/>
      <c r="B130" s="27" t="s">
        <v>5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51.75">
      <c r="A131" s="26" t="s">
        <v>236</v>
      </c>
      <c r="B131" s="27" t="s">
        <v>102</v>
      </c>
      <c r="C131" s="29">
        <f>C132+C133</f>
        <v>88.41999999999999</v>
      </c>
      <c r="D131" s="29">
        <f aca="true" t="shared" si="7" ref="D131:L131">D132+D133</f>
        <v>10312.5</v>
      </c>
      <c r="E131" s="29">
        <f t="shared" si="7"/>
        <v>647.06</v>
      </c>
      <c r="F131" s="29">
        <f t="shared" si="7"/>
        <v>0</v>
      </c>
      <c r="G131" s="29">
        <f t="shared" si="7"/>
        <v>0</v>
      </c>
      <c r="H131" s="29">
        <f t="shared" si="7"/>
        <v>1.9</v>
      </c>
      <c r="I131" s="29">
        <f t="shared" si="7"/>
        <v>313.13</v>
      </c>
      <c r="J131" s="29">
        <f t="shared" si="7"/>
        <v>3155</v>
      </c>
      <c r="K131" s="29">
        <f t="shared" si="7"/>
        <v>0</v>
      </c>
      <c r="L131" s="29">
        <f t="shared" si="7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34.5">
      <c r="A132" s="26"/>
      <c r="B132" s="27" t="s">
        <v>242</v>
      </c>
      <c r="C132" s="29">
        <v>47.51</v>
      </c>
      <c r="D132" s="29">
        <v>4375</v>
      </c>
      <c r="E132" s="29">
        <v>294.12</v>
      </c>
      <c r="F132" s="29"/>
      <c r="G132" s="29"/>
      <c r="H132" s="29">
        <v>1.9</v>
      </c>
      <c r="I132" s="29">
        <v>303.13</v>
      </c>
      <c r="J132" s="29">
        <v>30</v>
      </c>
      <c r="K132" s="29"/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34.5">
      <c r="A133" s="26"/>
      <c r="B133" s="27" t="s">
        <v>243</v>
      </c>
      <c r="C133" s="29">
        <f>40.01+0.9</f>
        <v>40.91</v>
      </c>
      <c r="D133" s="29">
        <v>5937.5</v>
      </c>
      <c r="E133" s="29">
        <v>352.94</v>
      </c>
      <c r="F133" s="29"/>
      <c r="G133" s="29"/>
      <c r="H133" s="29"/>
      <c r="I133" s="29">
        <v>10</v>
      </c>
      <c r="J133" s="29">
        <v>3125</v>
      </c>
      <c r="K133" s="29"/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51.75">
      <c r="A134" s="26" t="s">
        <v>240</v>
      </c>
      <c r="B134" s="27" t="s">
        <v>245</v>
      </c>
      <c r="C134" s="29">
        <v>4.311</v>
      </c>
      <c r="D134" s="29">
        <v>5300</v>
      </c>
      <c r="E134" s="29"/>
      <c r="F134" s="29"/>
      <c r="G134" s="29"/>
      <c r="H134" s="29"/>
      <c r="I134" s="29"/>
      <c r="J134" s="29"/>
      <c r="K134" s="29"/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34.5">
      <c r="A135" s="26" t="s">
        <v>241</v>
      </c>
      <c r="B135" s="27" t="s">
        <v>246</v>
      </c>
      <c r="C135" s="29">
        <v>14.1</v>
      </c>
      <c r="D135" s="29">
        <v>23300</v>
      </c>
      <c r="E135" s="29">
        <v>174</v>
      </c>
      <c r="F135" s="29"/>
      <c r="G135" s="29">
        <v>15</v>
      </c>
      <c r="H135" s="29"/>
      <c r="I135" s="29"/>
      <c r="J135" s="29"/>
      <c r="K135" s="29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3:46" ht="18">
      <c r="C136" s="59"/>
      <c r="J136" s="5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2:46" ht="17.25">
      <c r="B137" s="5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2:46" ht="18">
      <c r="B138" s="54" t="s">
        <v>184</v>
      </c>
      <c r="J138" s="55" t="s">
        <v>470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8">
      <c r="B139" s="54"/>
      <c r="J139" s="5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</sheetData>
  <mergeCells count="8">
    <mergeCell ref="A10:A12"/>
    <mergeCell ref="B10:B12"/>
    <mergeCell ref="C10:G10"/>
    <mergeCell ref="H10:L10"/>
    <mergeCell ref="D6:H6"/>
    <mergeCell ref="J2:L3"/>
    <mergeCell ref="H9:L9"/>
    <mergeCell ref="C7:I7"/>
  </mergeCells>
  <printOptions/>
  <pageMargins left="0.7874015748031497" right="0.3937007874015748" top="0.5118110236220472" bottom="0.2755905511811024" header="0.5118110236220472" footer="0.2755905511811024"/>
  <pageSetup fitToHeight="6" fitToWidth="1" horizontalDpi="600" verticalDpi="600" orientation="landscape" paperSize="9" scale="73" r:id="rId1"/>
  <rowBreaks count="5" manualBreakCount="5">
    <brk id="35" max="11" man="1"/>
    <brk id="49" max="11" man="1"/>
    <brk id="107" max="11" man="1"/>
    <brk id="126" max="11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65"/>
  <sheetViews>
    <sheetView view="pageBreakPreview" zoomScale="60" zoomScaleNormal="75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85" customWidth="1"/>
    <col min="3" max="3" width="13.875" style="7" customWidth="1"/>
    <col min="4" max="4" width="16.25390625" style="7" customWidth="1"/>
    <col min="5" max="5" width="15.75390625" style="7" customWidth="1"/>
    <col min="6" max="6" width="14.875" style="7" customWidth="1"/>
    <col min="7" max="7" width="11.00390625" style="7" customWidth="1"/>
    <col min="8" max="8" width="10.625" style="7" customWidth="1"/>
    <col min="9" max="9" width="14.875" style="7" customWidth="1"/>
    <col min="10" max="10" width="14.00390625" style="7" customWidth="1"/>
    <col min="11" max="11" width="14.25390625" style="7" customWidth="1"/>
    <col min="12" max="12" width="9.875" style="7" customWidth="1"/>
  </cols>
  <sheetData>
    <row r="1" spans="1:46" ht="18">
      <c r="A1" s="53"/>
      <c r="B1" s="84"/>
      <c r="C1" s="55"/>
      <c r="D1" s="55"/>
      <c r="E1" s="55"/>
      <c r="F1" s="55"/>
      <c r="G1" s="55"/>
      <c r="H1" s="55"/>
      <c r="I1" s="55"/>
      <c r="J1" s="55" t="s">
        <v>36</v>
      </c>
      <c r="K1" s="55"/>
      <c r="L1" s="52"/>
      <c r="M1" s="5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>
      <c r="A2" s="53"/>
      <c r="B2" s="84"/>
      <c r="C2" s="55"/>
      <c r="D2" s="55"/>
      <c r="E2" s="55"/>
      <c r="F2" s="55"/>
      <c r="G2" s="55"/>
      <c r="H2" s="55"/>
      <c r="I2" s="55"/>
      <c r="J2" s="100" t="s">
        <v>176</v>
      </c>
      <c r="K2" s="101"/>
      <c r="L2" s="101"/>
      <c r="M2" s="5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>
      <c r="A3" s="53"/>
      <c r="B3" s="84"/>
      <c r="C3" s="55"/>
      <c r="D3" s="55"/>
      <c r="E3" s="55"/>
      <c r="F3" s="55"/>
      <c r="G3" s="55"/>
      <c r="H3" s="55"/>
      <c r="I3" s="55"/>
      <c r="J3" s="101"/>
      <c r="K3" s="101"/>
      <c r="L3" s="101"/>
      <c r="M3" s="5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84"/>
      <c r="J4" s="55" t="s">
        <v>472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6:46" ht="17.25">
      <c r="F5" s="7" t="s">
        <v>177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3" t="s">
        <v>456</v>
      </c>
      <c r="D6" s="103"/>
      <c r="E6" s="103"/>
      <c r="F6" s="103"/>
      <c r="G6" s="103"/>
      <c r="H6" s="103"/>
      <c r="I6" s="10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3"/>
      <c r="D7" s="103"/>
      <c r="E7" s="103"/>
      <c r="F7" s="103"/>
      <c r="G7" s="103"/>
      <c r="H7" s="103"/>
      <c r="I7" s="10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3:46" ht="17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8:46" ht="17.25">
      <c r="H9" s="102" t="s">
        <v>178</v>
      </c>
      <c r="I9" s="102"/>
      <c r="J9" s="102"/>
      <c r="K9" s="102"/>
      <c r="L9" s="10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60" customFormat="1" ht="17.25">
      <c r="A10" s="105" t="s">
        <v>77</v>
      </c>
      <c r="B10" s="115" t="s">
        <v>84</v>
      </c>
      <c r="C10" s="111" t="s">
        <v>78</v>
      </c>
      <c r="D10" s="112"/>
      <c r="E10" s="112"/>
      <c r="F10" s="112"/>
      <c r="G10" s="113"/>
      <c r="H10" s="111" t="s">
        <v>79</v>
      </c>
      <c r="I10" s="112"/>
      <c r="J10" s="112"/>
      <c r="K10" s="11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60" customFormat="1" ht="69">
      <c r="A11" s="106"/>
      <c r="B11" s="116"/>
      <c r="C11" s="11" t="s">
        <v>172</v>
      </c>
      <c r="D11" s="11" t="s">
        <v>173</v>
      </c>
      <c r="E11" s="11" t="s">
        <v>228</v>
      </c>
      <c r="F11" s="11" t="s">
        <v>259</v>
      </c>
      <c r="G11" s="11" t="s">
        <v>83</v>
      </c>
      <c r="H11" s="11" t="s">
        <v>247</v>
      </c>
      <c r="I11" s="11" t="s">
        <v>174</v>
      </c>
      <c r="J11" s="11" t="s">
        <v>228</v>
      </c>
      <c r="K11" s="11" t="s">
        <v>259</v>
      </c>
      <c r="L11" s="11" t="s">
        <v>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60" customFormat="1" ht="17.25">
      <c r="A12" s="107"/>
      <c r="B12" s="117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1.5">
      <c r="A13" s="26" t="s">
        <v>106</v>
      </c>
      <c r="B13" s="86" t="s">
        <v>97</v>
      </c>
      <c r="C13" s="35">
        <f aca="true" t="shared" si="0" ref="C13:L13">SUM(C14+C15)</f>
        <v>791.6700000000001</v>
      </c>
      <c r="D13" s="35">
        <f t="shared" si="0"/>
        <v>198739.7</v>
      </c>
      <c r="E13" s="35">
        <f t="shared" si="0"/>
        <v>7202.52</v>
      </c>
      <c r="F13" s="35">
        <f t="shared" si="0"/>
        <v>0</v>
      </c>
      <c r="G13" s="35">
        <f t="shared" si="0"/>
        <v>0</v>
      </c>
      <c r="H13" s="35">
        <f t="shared" si="0"/>
        <v>150</v>
      </c>
      <c r="I13" s="35">
        <f t="shared" si="0"/>
        <v>145000</v>
      </c>
      <c r="J13" s="35">
        <f t="shared" si="0"/>
        <v>2167</v>
      </c>
      <c r="K13" s="35">
        <f t="shared" si="0"/>
        <v>0</v>
      </c>
      <c r="L13" s="35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26"/>
      <c r="B14" s="86" t="s">
        <v>179</v>
      </c>
      <c r="C14" s="35">
        <v>629.73</v>
      </c>
      <c r="D14" s="35">
        <v>167261.7</v>
      </c>
      <c r="E14" s="35">
        <v>5268.72</v>
      </c>
      <c r="F14" s="35"/>
      <c r="G14" s="35"/>
      <c r="H14" s="35">
        <v>150</v>
      </c>
      <c r="I14" s="35">
        <v>145000</v>
      </c>
      <c r="J14" s="35">
        <v>2167</v>
      </c>
      <c r="K14" s="35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47.25">
      <c r="A15" s="26"/>
      <c r="B15" s="86" t="s">
        <v>180</v>
      </c>
      <c r="C15" s="35">
        <v>161.94</v>
      </c>
      <c r="D15" s="35">
        <v>31478</v>
      </c>
      <c r="E15" s="35">
        <v>1933.8</v>
      </c>
      <c r="F15" s="35"/>
      <c r="G15" s="35"/>
      <c r="H15" s="35"/>
      <c r="I15" s="35"/>
      <c r="J15" s="35"/>
      <c r="K15" s="35"/>
      <c r="L15" s="3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1.5">
      <c r="A16" s="26" t="s">
        <v>82</v>
      </c>
      <c r="B16" s="86" t="s">
        <v>181</v>
      </c>
      <c r="C16" s="35">
        <f aca="true" t="shared" si="1" ref="C16:L16">SUM(C17:C54)</f>
        <v>16760.161</v>
      </c>
      <c r="D16" s="35">
        <f t="shared" si="1"/>
        <v>2477900</v>
      </c>
      <c r="E16" s="35">
        <f t="shared" si="1"/>
        <v>437715</v>
      </c>
      <c r="F16" s="35">
        <f t="shared" si="1"/>
        <v>0</v>
      </c>
      <c r="G16" s="35">
        <f t="shared" si="1"/>
        <v>391.7</v>
      </c>
      <c r="H16" s="35">
        <f t="shared" si="1"/>
        <v>160.40300000000002</v>
      </c>
      <c r="I16" s="35">
        <f t="shared" si="1"/>
        <v>78059.674</v>
      </c>
      <c r="J16" s="35">
        <f t="shared" si="1"/>
        <v>6237.695</v>
      </c>
      <c r="K16" s="35">
        <f t="shared" si="1"/>
        <v>0</v>
      </c>
      <c r="L16" s="35">
        <f t="shared" si="1"/>
        <v>10.909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1.5">
      <c r="A17" s="26"/>
      <c r="B17" s="87" t="s">
        <v>31</v>
      </c>
      <c r="C17" s="75">
        <v>163.567</v>
      </c>
      <c r="D17" s="75">
        <v>41390</v>
      </c>
      <c r="E17" s="75">
        <v>2632</v>
      </c>
      <c r="F17" s="35"/>
      <c r="G17" s="35"/>
      <c r="H17" s="35"/>
      <c r="I17" s="35"/>
      <c r="J17" s="35"/>
      <c r="K17" s="35"/>
      <c r="L17" s="3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47.25">
      <c r="A18" s="26"/>
      <c r="B18" s="87" t="s">
        <v>366</v>
      </c>
      <c r="C18" s="75"/>
      <c r="D18" s="75">
        <v>40575</v>
      </c>
      <c r="E18" s="75">
        <v>2267</v>
      </c>
      <c r="F18" s="35"/>
      <c r="G18" s="35">
        <v>66.77</v>
      </c>
      <c r="H18" s="35"/>
      <c r="I18" s="35"/>
      <c r="J18" s="35"/>
      <c r="K18" s="35"/>
      <c r="L18" s="3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1.5">
      <c r="A19" s="26"/>
      <c r="B19" s="87" t="s">
        <v>367</v>
      </c>
      <c r="C19" s="75">
        <v>656.617</v>
      </c>
      <c r="D19" s="75">
        <v>81068</v>
      </c>
      <c r="E19" s="75">
        <v>9950</v>
      </c>
      <c r="F19" s="35"/>
      <c r="G19" s="35"/>
      <c r="H19" s="35"/>
      <c r="I19" s="35"/>
      <c r="J19" s="35"/>
      <c r="K19" s="35"/>
      <c r="L19" s="3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1.5">
      <c r="A20" s="26"/>
      <c r="B20" s="87" t="s">
        <v>32</v>
      </c>
      <c r="C20" s="75">
        <v>474.832</v>
      </c>
      <c r="D20" s="75">
        <v>111926</v>
      </c>
      <c r="E20" s="75">
        <v>10955</v>
      </c>
      <c r="F20" s="35"/>
      <c r="G20" s="35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47.25">
      <c r="A21" s="26"/>
      <c r="B21" s="87" t="s">
        <v>368</v>
      </c>
      <c r="C21" s="75">
        <v>294.288</v>
      </c>
      <c r="D21" s="75">
        <v>41498</v>
      </c>
      <c r="E21" s="75">
        <v>4524</v>
      </c>
      <c r="F21" s="35"/>
      <c r="G21" s="35"/>
      <c r="H21" s="35"/>
      <c r="I21" s="35"/>
      <c r="J21" s="35"/>
      <c r="K21" s="35"/>
      <c r="L21" s="3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47.25">
      <c r="A22" s="26"/>
      <c r="B22" s="87" t="s">
        <v>369</v>
      </c>
      <c r="C22" s="75">
        <v>350.431</v>
      </c>
      <c r="D22" s="75">
        <v>41320</v>
      </c>
      <c r="E22" s="75">
        <v>3318</v>
      </c>
      <c r="F22" s="35"/>
      <c r="G22" s="35"/>
      <c r="H22" s="35"/>
      <c r="I22" s="35"/>
      <c r="J22" s="35"/>
      <c r="K22" s="35"/>
      <c r="L22" s="3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7.25">
      <c r="A23" s="26"/>
      <c r="B23" s="87" t="s">
        <v>370</v>
      </c>
      <c r="C23" s="75">
        <v>407.552</v>
      </c>
      <c r="D23" s="75">
        <v>51071</v>
      </c>
      <c r="E23" s="75">
        <v>7337</v>
      </c>
      <c r="F23" s="35"/>
      <c r="G23" s="35"/>
      <c r="H23" s="35"/>
      <c r="I23" s="35"/>
      <c r="J23" s="35"/>
      <c r="K23" s="35"/>
      <c r="L23" s="3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47.25">
      <c r="A24" s="26"/>
      <c r="B24" s="87" t="s">
        <v>371</v>
      </c>
      <c r="C24" s="75">
        <v>438.915</v>
      </c>
      <c r="D24" s="75">
        <v>36600</v>
      </c>
      <c r="E24" s="75">
        <v>4236</v>
      </c>
      <c r="F24" s="35"/>
      <c r="G24" s="35"/>
      <c r="H24" s="35"/>
      <c r="I24" s="35"/>
      <c r="J24" s="35"/>
      <c r="K24" s="35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47.25">
      <c r="A25" s="26"/>
      <c r="B25" s="87" t="s">
        <v>372</v>
      </c>
      <c r="C25" s="75">
        <v>223.1</v>
      </c>
      <c r="D25" s="75">
        <v>17620</v>
      </c>
      <c r="E25" s="75">
        <v>4583</v>
      </c>
      <c r="F25" s="35"/>
      <c r="G25" s="35"/>
      <c r="H25" s="35"/>
      <c r="I25" s="35"/>
      <c r="J25" s="35"/>
      <c r="K25" s="35"/>
      <c r="L25" s="3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47.25">
      <c r="A26" s="26"/>
      <c r="B26" s="87" t="s">
        <v>373</v>
      </c>
      <c r="C26" s="75">
        <v>596.861</v>
      </c>
      <c r="D26" s="75">
        <v>55895</v>
      </c>
      <c r="E26" s="75">
        <v>15303</v>
      </c>
      <c r="F26" s="35"/>
      <c r="G26" s="35"/>
      <c r="H26" s="35">
        <v>3.126</v>
      </c>
      <c r="I26" s="35">
        <v>437.096</v>
      </c>
      <c r="J26" s="35">
        <v>12.605</v>
      </c>
      <c r="K26" s="35"/>
      <c r="L26" s="3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46.5" customHeight="1">
      <c r="A27" s="26"/>
      <c r="B27" s="87" t="s">
        <v>374</v>
      </c>
      <c r="C27" s="75">
        <v>727.75</v>
      </c>
      <c r="D27" s="75">
        <v>53595</v>
      </c>
      <c r="E27" s="75">
        <v>17326</v>
      </c>
      <c r="F27" s="35"/>
      <c r="G27" s="35"/>
      <c r="H27" s="35"/>
      <c r="I27" s="35"/>
      <c r="J27" s="35"/>
      <c r="K27" s="35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1.5">
      <c r="A28" s="26"/>
      <c r="B28" s="87" t="s">
        <v>33</v>
      </c>
      <c r="C28" s="75">
        <v>552.852</v>
      </c>
      <c r="D28" s="75">
        <v>50960</v>
      </c>
      <c r="E28" s="75">
        <v>6618</v>
      </c>
      <c r="F28" s="35"/>
      <c r="G28" s="35"/>
      <c r="H28" s="35"/>
      <c r="I28" s="35"/>
      <c r="J28" s="35"/>
      <c r="K28" s="35"/>
      <c r="L28" s="3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47.25">
      <c r="A29" s="26"/>
      <c r="B29" s="87" t="s">
        <v>375</v>
      </c>
      <c r="C29" s="75">
        <v>444.036</v>
      </c>
      <c r="D29" s="75">
        <v>76832</v>
      </c>
      <c r="E29" s="75">
        <v>7678</v>
      </c>
      <c r="F29" s="35"/>
      <c r="G29" s="35"/>
      <c r="H29" s="35"/>
      <c r="I29" s="35"/>
      <c r="J29" s="35"/>
      <c r="K29" s="35"/>
      <c r="L29" s="3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1.5">
      <c r="A30" s="26"/>
      <c r="B30" s="87" t="s">
        <v>318</v>
      </c>
      <c r="C30" s="75">
        <v>791.922</v>
      </c>
      <c r="D30" s="75">
        <v>154444</v>
      </c>
      <c r="E30" s="75">
        <v>38983</v>
      </c>
      <c r="F30" s="35"/>
      <c r="G30" s="35"/>
      <c r="H30" s="35">
        <v>1.4</v>
      </c>
      <c r="I30" s="35">
        <v>912.201</v>
      </c>
      <c r="J30" s="35">
        <v>349.94</v>
      </c>
      <c r="K30" s="35"/>
      <c r="L30" s="3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47.25">
      <c r="A31" s="26"/>
      <c r="B31" s="87" t="s">
        <v>34</v>
      </c>
      <c r="C31" s="75">
        <v>569.244</v>
      </c>
      <c r="D31" s="75">
        <v>86948</v>
      </c>
      <c r="E31" s="75">
        <v>15153</v>
      </c>
      <c r="F31" s="35"/>
      <c r="G31" s="35"/>
      <c r="H31" s="35"/>
      <c r="I31" s="35"/>
      <c r="J31" s="35"/>
      <c r="K31" s="35"/>
      <c r="L31" s="3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47.25">
      <c r="A32" s="26"/>
      <c r="B32" s="87" t="s">
        <v>376</v>
      </c>
      <c r="C32" s="75">
        <v>581.145</v>
      </c>
      <c r="D32" s="75">
        <v>38174</v>
      </c>
      <c r="E32" s="75">
        <v>5558</v>
      </c>
      <c r="F32" s="35"/>
      <c r="G32" s="35"/>
      <c r="H32" s="35"/>
      <c r="I32" s="35"/>
      <c r="J32" s="35"/>
      <c r="K32" s="35"/>
      <c r="L32" s="3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47.25">
      <c r="A33" s="26"/>
      <c r="B33" s="87" t="s">
        <v>268</v>
      </c>
      <c r="C33" s="75">
        <v>272.937</v>
      </c>
      <c r="D33" s="75">
        <v>33260</v>
      </c>
      <c r="E33" s="75">
        <v>26876</v>
      </c>
      <c r="F33" s="35"/>
      <c r="G33" s="35"/>
      <c r="H33" s="35">
        <v>3.001</v>
      </c>
      <c r="I33" s="35">
        <v>1552.008</v>
      </c>
      <c r="J33" s="35">
        <v>339.136</v>
      </c>
      <c r="K33" s="35"/>
      <c r="L33" s="3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47.25">
      <c r="A34" s="26"/>
      <c r="B34" s="87" t="s">
        <v>269</v>
      </c>
      <c r="C34" s="75">
        <v>767.511</v>
      </c>
      <c r="D34" s="75">
        <v>107470</v>
      </c>
      <c r="E34" s="75">
        <v>30731</v>
      </c>
      <c r="F34" s="35"/>
      <c r="G34" s="35"/>
      <c r="H34" s="35">
        <v>15.254</v>
      </c>
      <c r="I34" s="35">
        <v>5146.966</v>
      </c>
      <c r="J34" s="35">
        <v>93.037</v>
      </c>
      <c r="K34" s="35"/>
      <c r="L34" s="3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3">
      <c r="A35" s="26"/>
      <c r="B35" s="87" t="s">
        <v>270</v>
      </c>
      <c r="C35" s="75">
        <v>360.789</v>
      </c>
      <c r="D35" s="75">
        <v>42280</v>
      </c>
      <c r="E35" s="75">
        <v>1785</v>
      </c>
      <c r="F35" s="35"/>
      <c r="G35" s="35"/>
      <c r="H35" s="35">
        <v>3.526</v>
      </c>
      <c r="I35" s="35">
        <v>107.69</v>
      </c>
      <c r="J35" s="35"/>
      <c r="K35" s="35"/>
      <c r="L35" s="3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47.25">
      <c r="A36" s="26"/>
      <c r="B36" s="87" t="s">
        <v>271</v>
      </c>
      <c r="C36" s="75">
        <v>479.955</v>
      </c>
      <c r="D36" s="75">
        <v>62053</v>
      </c>
      <c r="E36" s="75">
        <v>26516</v>
      </c>
      <c r="F36" s="35"/>
      <c r="G36" s="35"/>
      <c r="H36" s="35"/>
      <c r="I36" s="35"/>
      <c r="J36" s="35"/>
      <c r="K36" s="35"/>
      <c r="L36" s="3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47.25">
      <c r="A37" s="26"/>
      <c r="B37" s="87" t="s">
        <v>272</v>
      </c>
      <c r="C37" s="75">
        <v>226.518</v>
      </c>
      <c r="D37" s="75">
        <v>28968</v>
      </c>
      <c r="E37" s="75">
        <v>4076</v>
      </c>
      <c r="F37" s="35"/>
      <c r="G37" s="35"/>
      <c r="H37" s="35">
        <v>2.001</v>
      </c>
      <c r="I37" s="35">
        <v>348.41</v>
      </c>
      <c r="J37" s="35">
        <v>324.13</v>
      </c>
      <c r="K37" s="35"/>
      <c r="L37" s="3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78.75">
      <c r="A38" s="26"/>
      <c r="B38" s="87" t="s">
        <v>273</v>
      </c>
      <c r="C38" s="75">
        <v>169.199</v>
      </c>
      <c r="D38" s="75">
        <v>69690</v>
      </c>
      <c r="E38" s="75">
        <v>24581</v>
      </c>
      <c r="F38" s="35"/>
      <c r="G38" s="35"/>
      <c r="H38" s="35"/>
      <c r="I38" s="35"/>
      <c r="J38" s="35"/>
      <c r="K38" s="35"/>
      <c r="L38" s="3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47.25">
      <c r="A39" s="26"/>
      <c r="B39" s="87" t="s">
        <v>274</v>
      </c>
      <c r="C39" s="75">
        <v>197.569</v>
      </c>
      <c r="D39" s="75">
        <v>43050</v>
      </c>
      <c r="E39" s="75">
        <v>2341</v>
      </c>
      <c r="F39" s="35"/>
      <c r="G39" s="35"/>
      <c r="H39" s="35">
        <v>6.252</v>
      </c>
      <c r="I39" s="35">
        <v>3515.773</v>
      </c>
      <c r="J39" s="35">
        <v>240.096</v>
      </c>
      <c r="K39" s="35"/>
      <c r="L39" s="3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47.25">
      <c r="A40" s="26"/>
      <c r="B40" s="87" t="s">
        <v>275</v>
      </c>
      <c r="C40" s="75">
        <v>481.704</v>
      </c>
      <c r="D40" s="75">
        <v>75810</v>
      </c>
      <c r="E40" s="75">
        <v>26039</v>
      </c>
      <c r="F40" s="35"/>
      <c r="G40" s="35"/>
      <c r="H40" s="35">
        <v>7.814</v>
      </c>
      <c r="I40" s="35">
        <v>2375.523</v>
      </c>
      <c r="J40" s="35">
        <v>51.02</v>
      </c>
      <c r="K40" s="35"/>
      <c r="L40" s="3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3">
      <c r="A41" s="26"/>
      <c r="B41" s="87" t="s">
        <v>276</v>
      </c>
      <c r="C41" s="75">
        <v>562.955</v>
      </c>
      <c r="D41" s="75">
        <v>86418</v>
      </c>
      <c r="E41" s="75">
        <v>13074</v>
      </c>
      <c r="F41" s="35"/>
      <c r="G41" s="35"/>
      <c r="H41" s="35">
        <v>21.093</v>
      </c>
      <c r="I41" s="35">
        <v>348.41</v>
      </c>
      <c r="J41" s="35">
        <v>576.23</v>
      </c>
      <c r="K41" s="35"/>
      <c r="L41" s="3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47.25">
      <c r="A42" s="26"/>
      <c r="B42" s="87" t="s">
        <v>277</v>
      </c>
      <c r="C42" s="75">
        <v>713.244</v>
      </c>
      <c r="D42" s="75">
        <v>90146</v>
      </c>
      <c r="E42" s="75">
        <v>18666</v>
      </c>
      <c r="F42" s="35"/>
      <c r="G42" s="35"/>
      <c r="H42" s="35"/>
      <c r="I42" s="35"/>
      <c r="J42" s="35">
        <v>24.01</v>
      </c>
      <c r="K42" s="35"/>
      <c r="L42" s="3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47.25">
      <c r="A43" s="26"/>
      <c r="B43" s="87" t="s">
        <v>278</v>
      </c>
      <c r="C43" s="75">
        <v>421.414</v>
      </c>
      <c r="D43" s="75">
        <v>50920</v>
      </c>
      <c r="E43" s="75">
        <v>18210</v>
      </c>
      <c r="F43" s="35"/>
      <c r="G43" s="35"/>
      <c r="H43" s="35"/>
      <c r="I43" s="35">
        <v>1368.301</v>
      </c>
      <c r="J43" s="35">
        <v>36.014</v>
      </c>
      <c r="K43" s="35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47.25">
      <c r="A44" s="26"/>
      <c r="B44" s="87" t="s">
        <v>279</v>
      </c>
      <c r="C44" s="75"/>
      <c r="D44" s="75">
        <v>63643</v>
      </c>
      <c r="E44" s="75">
        <v>1440</v>
      </c>
      <c r="F44" s="35"/>
      <c r="G44" s="35">
        <v>276.413</v>
      </c>
      <c r="H44" s="35"/>
      <c r="I44" s="35"/>
      <c r="J44" s="35">
        <v>1102.041</v>
      </c>
      <c r="K44" s="35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78.75">
      <c r="A45" s="26"/>
      <c r="B45" s="87" t="s">
        <v>280</v>
      </c>
      <c r="C45" s="75">
        <v>185.391</v>
      </c>
      <c r="D45" s="75">
        <v>60751</v>
      </c>
      <c r="E45" s="75">
        <v>2092</v>
      </c>
      <c r="F45" s="35"/>
      <c r="G45" s="35">
        <v>48.517</v>
      </c>
      <c r="H45" s="35"/>
      <c r="I45" s="35">
        <v>37374.889</v>
      </c>
      <c r="J45" s="35">
        <v>300.12</v>
      </c>
      <c r="K45" s="35"/>
      <c r="L45" s="35">
        <v>10.909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47.25">
      <c r="A46" s="26"/>
      <c r="B46" s="87" t="s">
        <v>281</v>
      </c>
      <c r="C46" s="75">
        <v>353.742</v>
      </c>
      <c r="D46" s="75">
        <v>61360</v>
      </c>
      <c r="E46" s="75">
        <v>3275</v>
      </c>
      <c r="F46" s="35"/>
      <c r="G46" s="35"/>
      <c r="H46" s="35"/>
      <c r="I46" s="35"/>
      <c r="J46" s="35"/>
      <c r="K46" s="35"/>
      <c r="L46" s="3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47.25">
      <c r="A47" s="26"/>
      <c r="B47" s="87" t="s">
        <v>282</v>
      </c>
      <c r="C47" s="75">
        <v>514.372</v>
      </c>
      <c r="D47" s="75">
        <v>60520</v>
      </c>
      <c r="E47" s="75">
        <v>9581</v>
      </c>
      <c r="F47" s="35"/>
      <c r="G47" s="35"/>
      <c r="H47" s="35"/>
      <c r="I47" s="35"/>
      <c r="J47" s="35"/>
      <c r="K47" s="35"/>
      <c r="L47" s="3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47.25">
      <c r="A48" s="26"/>
      <c r="B48" s="87" t="s">
        <v>283</v>
      </c>
      <c r="C48" s="75">
        <v>608.577</v>
      </c>
      <c r="D48" s="75">
        <v>45930</v>
      </c>
      <c r="E48" s="75">
        <v>17382</v>
      </c>
      <c r="F48" s="35"/>
      <c r="G48" s="35"/>
      <c r="H48" s="35"/>
      <c r="I48" s="35"/>
      <c r="J48" s="35"/>
      <c r="K48" s="35"/>
      <c r="L48" s="3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47.25">
      <c r="A49" s="26"/>
      <c r="B49" s="87" t="s">
        <v>284</v>
      </c>
      <c r="C49" s="75">
        <v>648.807</v>
      </c>
      <c r="D49" s="75">
        <v>113665</v>
      </c>
      <c r="E49" s="75">
        <v>10030</v>
      </c>
      <c r="F49" s="35"/>
      <c r="G49" s="35"/>
      <c r="H49" s="35">
        <v>23.768</v>
      </c>
      <c r="I49" s="35">
        <v>5330.673</v>
      </c>
      <c r="J49" s="35">
        <v>654.862</v>
      </c>
      <c r="K49" s="35"/>
      <c r="L49" s="3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47.25">
      <c r="A50" s="26"/>
      <c r="B50" s="87" t="s">
        <v>285</v>
      </c>
      <c r="C50" s="75">
        <v>504.152</v>
      </c>
      <c r="D50" s="75">
        <v>122800</v>
      </c>
      <c r="E50" s="75">
        <v>17145</v>
      </c>
      <c r="F50" s="35"/>
      <c r="G50" s="35"/>
      <c r="H50" s="35">
        <v>8.027</v>
      </c>
      <c r="I50" s="35">
        <v>6889.016</v>
      </c>
      <c r="J50" s="35">
        <v>417.767</v>
      </c>
      <c r="K50" s="35"/>
      <c r="L50" s="3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47.25">
      <c r="A51" s="26"/>
      <c r="B51" s="87" t="s">
        <v>286</v>
      </c>
      <c r="C51" s="75">
        <v>590.347</v>
      </c>
      <c r="D51" s="75">
        <v>127860</v>
      </c>
      <c r="E51" s="75">
        <v>5630</v>
      </c>
      <c r="F51" s="35"/>
      <c r="G51" s="35"/>
      <c r="H51" s="35">
        <v>53.763</v>
      </c>
      <c r="I51" s="35">
        <v>12352.718</v>
      </c>
      <c r="J51" s="35">
        <v>1080.432</v>
      </c>
      <c r="K51" s="35"/>
      <c r="L51" s="3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47.25">
      <c r="A52" s="26"/>
      <c r="B52" s="87" t="s">
        <v>287</v>
      </c>
      <c r="C52" s="75">
        <v>789.359</v>
      </c>
      <c r="D52" s="75">
        <v>67590</v>
      </c>
      <c r="E52" s="75">
        <v>16055</v>
      </c>
      <c r="F52" s="35"/>
      <c r="G52" s="35"/>
      <c r="H52" s="35"/>
      <c r="I52" s="35"/>
      <c r="J52" s="35">
        <v>636.255</v>
      </c>
      <c r="K52" s="35"/>
      <c r="L52" s="3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47.25">
      <c r="A53" s="26"/>
      <c r="B53" s="87" t="s">
        <v>288</v>
      </c>
      <c r="C53" s="75">
        <v>610.131</v>
      </c>
      <c r="D53" s="75">
        <v>83800</v>
      </c>
      <c r="E53" s="75">
        <v>5769</v>
      </c>
      <c r="F53" s="35"/>
      <c r="G53" s="35"/>
      <c r="H53" s="35"/>
      <c r="I53" s="35"/>
      <c r="J53" s="35"/>
      <c r="K53" s="35"/>
      <c r="L53" s="3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31.5">
      <c r="A54" s="26"/>
      <c r="B54" s="88" t="s">
        <v>229</v>
      </c>
      <c r="C54" s="35">
        <v>28.376</v>
      </c>
      <c r="D54" s="35"/>
      <c r="E54" s="35"/>
      <c r="F54" s="35"/>
      <c r="G54" s="35"/>
      <c r="H54" s="35">
        <v>11.378</v>
      </c>
      <c r="I54" s="35"/>
      <c r="J54" s="35"/>
      <c r="K54" s="35"/>
      <c r="L54" s="3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1.5">
      <c r="A55" s="26" t="s">
        <v>170</v>
      </c>
      <c r="B55" s="87" t="s">
        <v>182</v>
      </c>
      <c r="C55" s="35">
        <f>SUM(C56:C60)</f>
        <v>6716.223</v>
      </c>
      <c r="D55" s="35">
        <f>SUM(D56:D60)</f>
        <v>2205217</v>
      </c>
      <c r="E55" s="35">
        <f>SUM(E56:E60)</f>
        <v>282180.09099999996</v>
      </c>
      <c r="F55" s="35">
        <f>SUM(F56+F57)</f>
        <v>131541.1</v>
      </c>
      <c r="G55" s="35">
        <f>SUM(G56:G60)</f>
        <v>0</v>
      </c>
      <c r="H55" s="35">
        <f>SUM(H56:H60)</f>
        <v>351.418</v>
      </c>
      <c r="I55" s="35">
        <f>SUM(I56:I60)</f>
        <v>210630</v>
      </c>
      <c r="J55" s="35">
        <f>SUM(J56:J60)</f>
        <v>13633</v>
      </c>
      <c r="K55" s="35">
        <f>SUM(K56:K60)</f>
        <v>3464</v>
      </c>
      <c r="L55" s="3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1.5">
      <c r="A56" s="26"/>
      <c r="B56" s="87" t="s">
        <v>65</v>
      </c>
      <c r="C56" s="35">
        <v>3863</v>
      </c>
      <c r="D56" s="35">
        <v>1424140</v>
      </c>
      <c r="E56" s="35">
        <v>197601</v>
      </c>
      <c r="F56" s="35">
        <v>71064</v>
      </c>
      <c r="G56" s="35"/>
      <c r="H56" s="35">
        <v>188</v>
      </c>
      <c r="I56" s="35">
        <v>160000</v>
      </c>
      <c r="J56" s="35">
        <v>8982</v>
      </c>
      <c r="K56" s="35"/>
      <c r="L56" s="6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7.25">
      <c r="A57" s="26"/>
      <c r="B57" s="87" t="s">
        <v>377</v>
      </c>
      <c r="C57" s="35">
        <v>1292.79</v>
      </c>
      <c r="D57" s="35">
        <v>384047</v>
      </c>
      <c r="E57" s="35">
        <v>37955</v>
      </c>
      <c r="F57" s="35">
        <f>37144.1+23333</f>
        <v>60477.1</v>
      </c>
      <c r="G57" s="35"/>
      <c r="H57" s="35">
        <v>25</v>
      </c>
      <c r="I57" s="35">
        <v>8333</v>
      </c>
      <c r="J57" s="35">
        <v>412</v>
      </c>
      <c r="K57" s="35">
        <v>3464</v>
      </c>
      <c r="L57" s="6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7.25">
      <c r="A58" s="26"/>
      <c r="B58" s="87" t="s">
        <v>71</v>
      </c>
      <c r="C58" s="35">
        <v>1145.13</v>
      </c>
      <c r="D58" s="35">
        <v>282870</v>
      </c>
      <c r="E58" s="35">
        <v>35283</v>
      </c>
      <c r="F58" s="35"/>
      <c r="G58" s="35"/>
      <c r="H58" s="35">
        <v>63.4</v>
      </c>
      <c r="I58" s="35">
        <v>16900</v>
      </c>
      <c r="J58" s="35">
        <v>3034</v>
      </c>
      <c r="K58" s="35"/>
      <c r="L58" s="6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8.75" customHeight="1">
      <c r="A59" s="26"/>
      <c r="B59" s="87" t="s">
        <v>72</v>
      </c>
      <c r="C59" s="35">
        <v>131.683</v>
      </c>
      <c r="D59" s="35">
        <v>23923</v>
      </c>
      <c r="E59" s="35">
        <v>1973.741</v>
      </c>
      <c r="F59" s="35"/>
      <c r="G59" s="35"/>
      <c r="H59" s="35"/>
      <c r="I59" s="35"/>
      <c r="J59" s="35"/>
      <c r="K59" s="35"/>
      <c r="L59" s="6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1.5">
      <c r="A60" s="26"/>
      <c r="B60" s="87" t="s">
        <v>73</v>
      </c>
      <c r="C60" s="35">
        <v>283.62</v>
      </c>
      <c r="D60" s="35">
        <v>90237</v>
      </c>
      <c r="E60" s="35">
        <v>9367.35</v>
      </c>
      <c r="F60" s="35"/>
      <c r="G60" s="35"/>
      <c r="H60" s="35">
        <v>75.018</v>
      </c>
      <c r="I60" s="35">
        <v>25397</v>
      </c>
      <c r="J60" s="35">
        <v>1205</v>
      </c>
      <c r="K60" s="35"/>
      <c r="L60" s="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36"/>
      <c r="B61" s="89"/>
      <c r="C61" s="38"/>
      <c r="D61" s="38"/>
      <c r="E61" s="39"/>
      <c r="F61" s="38"/>
      <c r="G61" s="38"/>
      <c r="H61" s="38"/>
      <c r="I61" s="38"/>
      <c r="J61" s="38"/>
      <c r="K61" s="38"/>
      <c r="L61" s="3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36"/>
      <c r="B62" s="89"/>
      <c r="C62" s="38"/>
      <c r="D62" s="38"/>
      <c r="E62" s="39"/>
      <c r="F62" s="38"/>
      <c r="G62" s="38"/>
      <c r="H62" s="38"/>
      <c r="I62" s="38"/>
      <c r="J62" s="38"/>
      <c r="K62" s="38"/>
      <c r="L62" s="3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8">
      <c r="A63" s="56"/>
      <c r="B63" s="90" t="s">
        <v>183</v>
      </c>
      <c r="C63" s="57"/>
      <c r="D63" s="57"/>
      <c r="E63" s="57"/>
      <c r="F63" s="57"/>
      <c r="G63" s="57"/>
      <c r="H63" s="55"/>
      <c r="I63" s="57"/>
      <c r="J63" s="55" t="s">
        <v>470</v>
      </c>
      <c r="K63" s="40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3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>
      <c r="A65" s="36"/>
      <c r="B65" s="8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</sheetData>
  <mergeCells count="7">
    <mergeCell ref="J2:L3"/>
    <mergeCell ref="C6:I7"/>
    <mergeCell ref="H9:L9"/>
    <mergeCell ref="A10:A12"/>
    <mergeCell ref="C10:G10"/>
    <mergeCell ref="H10:L10"/>
    <mergeCell ref="B10:B12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"/>
  <sheetViews>
    <sheetView view="pageBreakPreview" zoomScale="60" zoomScaleNormal="75" workbookViewId="0" topLeftCell="A1">
      <pane xSplit="2" ySplit="12" topLeftCell="C4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25390625" style="7" customWidth="1"/>
    <col min="12" max="12" width="9.875" style="7" customWidth="1"/>
  </cols>
  <sheetData>
    <row r="1" spans="2:46" ht="18">
      <c r="B1" s="37"/>
      <c r="J1" s="55" t="s">
        <v>37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0" t="s">
        <v>176</v>
      </c>
      <c r="K2" s="101"/>
      <c r="L2" s="10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1"/>
      <c r="K3" s="101"/>
      <c r="L3" s="10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472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4:46" ht="17.25">
      <c r="D5" s="99" t="s">
        <v>177</v>
      </c>
      <c r="E5" s="99"/>
      <c r="F5" s="99"/>
      <c r="G5" s="9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3" t="s">
        <v>457</v>
      </c>
      <c r="D6" s="103"/>
      <c r="E6" s="103"/>
      <c r="F6" s="103"/>
      <c r="G6" s="103"/>
      <c r="H6" s="103"/>
      <c r="I6" s="10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3"/>
      <c r="D7" s="103"/>
      <c r="E7" s="103"/>
      <c r="F7" s="103"/>
      <c r="G7" s="103"/>
      <c r="H7" s="103"/>
      <c r="I7" s="10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97" t="s">
        <v>178</v>
      </c>
      <c r="K9" s="97"/>
      <c r="L9" s="9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05" t="s">
        <v>77</v>
      </c>
      <c r="B10" s="108" t="s">
        <v>84</v>
      </c>
      <c r="C10" s="111" t="s">
        <v>78</v>
      </c>
      <c r="D10" s="112"/>
      <c r="E10" s="112"/>
      <c r="F10" s="112"/>
      <c r="G10" s="113"/>
      <c r="H10" s="111" t="s">
        <v>79</v>
      </c>
      <c r="I10" s="112"/>
      <c r="J10" s="112"/>
      <c r="K10" s="11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06"/>
      <c r="B11" s="118"/>
      <c r="C11" s="11" t="s">
        <v>172</v>
      </c>
      <c r="D11" s="11" t="s">
        <v>173</v>
      </c>
      <c r="E11" s="11" t="s">
        <v>228</v>
      </c>
      <c r="F11" s="11" t="s">
        <v>259</v>
      </c>
      <c r="G11" s="11" t="s">
        <v>83</v>
      </c>
      <c r="H11" s="11" t="s">
        <v>247</v>
      </c>
      <c r="I11" s="11" t="s">
        <v>174</v>
      </c>
      <c r="J11" s="11" t="s">
        <v>228</v>
      </c>
      <c r="K11" s="11" t="s">
        <v>259</v>
      </c>
      <c r="L11" s="11" t="s">
        <v>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07"/>
      <c r="B12" s="119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106</v>
      </c>
      <c r="B13" s="42" t="s">
        <v>97</v>
      </c>
      <c r="C13" s="29">
        <f>C14+C15+C16</f>
        <v>369.87</v>
      </c>
      <c r="D13" s="29">
        <f>D14+D15+D16</f>
        <v>108231</v>
      </c>
      <c r="E13" s="29">
        <f>E14+E15+E16</f>
        <v>3740</v>
      </c>
      <c r="F13" s="29"/>
      <c r="G13" s="29"/>
      <c r="H13" s="29"/>
      <c r="I13" s="29"/>
      <c r="J13" s="29"/>
      <c r="K13" s="29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41"/>
      <c r="B14" s="42" t="s">
        <v>185</v>
      </c>
      <c r="C14" s="29">
        <v>213.87</v>
      </c>
      <c r="D14" s="29">
        <f>55118+2000</f>
        <v>57118</v>
      </c>
      <c r="E14" s="29">
        <v>2700</v>
      </c>
      <c r="F14" s="29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69">
      <c r="A15" s="41"/>
      <c r="B15" s="42" t="s">
        <v>188</v>
      </c>
      <c r="C15" s="29">
        <v>135</v>
      </c>
      <c r="D15" s="29">
        <v>36138</v>
      </c>
      <c r="E15" s="29">
        <v>890</v>
      </c>
      <c r="F15" s="29"/>
      <c r="G15" s="29"/>
      <c r="H15" s="29"/>
      <c r="I15" s="29"/>
      <c r="J15" s="29"/>
      <c r="K15" s="29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4.5">
      <c r="A16" s="41"/>
      <c r="B16" s="42" t="s">
        <v>256</v>
      </c>
      <c r="C16" s="29">
        <f>19+2</f>
        <v>21</v>
      </c>
      <c r="D16" s="29">
        <v>14975</v>
      </c>
      <c r="E16" s="29">
        <v>150</v>
      </c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4.5">
      <c r="A17" s="41" t="s">
        <v>82</v>
      </c>
      <c r="B17" s="42" t="s">
        <v>189</v>
      </c>
      <c r="C17" s="47">
        <f aca="true" t="shared" si="0" ref="C17:L17">SUM(C18:C49)</f>
        <v>15072.64</v>
      </c>
      <c r="D17" s="29">
        <f t="shared" si="0"/>
        <v>1650872</v>
      </c>
      <c r="E17" s="49">
        <f>SUM(E18:E49)</f>
        <v>313190.30000000005</v>
      </c>
      <c r="F17" s="29">
        <f t="shared" si="0"/>
        <v>0</v>
      </c>
      <c r="G17" s="29">
        <f t="shared" si="0"/>
        <v>0</v>
      </c>
      <c r="H17" s="29">
        <f t="shared" si="0"/>
        <v>294.42</v>
      </c>
      <c r="I17" s="29">
        <f t="shared" si="0"/>
        <v>280185</v>
      </c>
      <c r="J17" s="29">
        <f t="shared" si="0"/>
        <v>4516.23</v>
      </c>
      <c r="K17" s="29">
        <f t="shared" si="0"/>
        <v>0</v>
      </c>
      <c r="L17" s="29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/>
      <c r="B18" s="42" t="s">
        <v>63</v>
      </c>
      <c r="C18" s="29">
        <v>400.97</v>
      </c>
      <c r="D18" s="29">
        <f>58678+6060</f>
        <v>64738</v>
      </c>
      <c r="E18" s="29">
        <f>9686.7+423</f>
        <v>10109.7</v>
      </c>
      <c r="F18" s="29"/>
      <c r="G18" s="29"/>
      <c r="H18" s="29"/>
      <c r="I18" s="29"/>
      <c r="J18" s="29"/>
      <c r="K18" s="29"/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42" t="s">
        <v>380</v>
      </c>
      <c r="C19" s="29">
        <v>464.03</v>
      </c>
      <c r="D19" s="29">
        <f>35472+3663</f>
        <v>39135</v>
      </c>
      <c r="E19" s="29">
        <f>6173.1+270</f>
        <v>6443.1</v>
      </c>
      <c r="F19" s="29"/>
      <c r="G19" s="29"/>
      <c r="H19" s="29"/>
      <c r="I19" s="29"/>
      <c r="J19" s="29"/>
      <c r="K19" s="29"/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42" t="s">
        <v>443</v>
      </c>
      <c r="C20" s="29">
        <v>411.19</v>
      </c>
      <c r="D20" s="29">
        <f>31624+3266</f>
        <v>34890</v>
      </c>
      <c r="E20" s="29">
        <f>2828.6+123</f>
        <v>2951.6</v>
      </c>
      <c r="F20" s="29"/>
      <c r="G20" s="29"/>
      <c r="H20" s="29"/>
      <c r="I20" s="29"/>
      <c r="J20" s="29"/>
      <c r="K20" s="29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4.5">
      <c r="A21" s="41"/>
      <c r="B21" s="42" t="s">
        <v>62</v>
      </c>
      <c r="C21" s="29">
        <v>311.15</v>
      </c>
      <c r="D21" s="29">
        <f>39734+4104</f>
        <v>43838</v>
      </c>
      <c r="E21" s="29">
        <f>7406.7+323</f>
        <v>7729.7</v>
      </c>
      <c r="F21" s="29"/>
      <c r="G21" s="29"/>
      <c r="H21" s="29"/>
      <c r="I21" s="29"/>
      <c r="J21" s="29"/>
      <c r="K21" s="29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42" t="s">
        <v>442</v>
      </c>
      <c r="C22" s="29">
        <v>338.14</v>
      </c>
      <c r="D22" s="29">
        <f>44705+4617</f>
        <v>49322</v>
      </c>
      <c r="E22" s="29">
        <f>8088.7+353</f>
        <v>8441.7</v>
      </c>
      <c r="F22" s="29"/>
      <c r="G22" s="29"/>
      <c r="H22" s="29"/>
      <c r="I22" s="29"/>
      <c r="J22" s="29"/>
      <c r="K22" s="29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42" t="s">
        <v>441</v>
      </c>
      <c r="C23" s="29">
        <v>384.39</v>
      </c>
      <c r="D23" s="29">
        <f>47434+4899</f>
        <v>52333</v>
      </c>
      <c r="E23" s="29">
        <f>6293+275</f>
        <v>6568</v>
      </c>
      <c r="F23" s="29"/>
      <c r="G23" s="29"/>
      <c r="H23" s="29">
        <v>1</v>
      </c>
      <c r="I23" s="29">
        <v>225</v>
      </c>
      <c r="J23" s="29">
        <v>20.46</v>
      </c>
      <c r="K23" s="29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42" t="s">
        <v>440</v>
      </c>
      <c r="C24" s="29">
        <v>419.39</v>
      </c>
      <c r="D24" s="29">
        <f>46675+4820</f>
        <v>51495</v>
      </c>
      <c r="E24" s="29">
        <f>7819.4+341</f>
        <v>8160.4</v>
      </c>
      <c r="F24" s="29"/>
      <c r="G24" s="29"/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42" t="s">
        <v>439</v>
      </c>
      <c r="C25" s="29">
        <v>304.75</v>
      </c>
      <c r="D25" s="29">
        <f>36865+3807</f>
        <v>40672</v>
      </c>
      <c r="E25" s="29">
        <f>8888.5+388</f>
        <v>9276.5</v>
      </c>
      <c r="F25" s="29"/>
      <c r="G25" s="29"/>
      <c r="H25" s="29">
        <v>9.2</v>
      </c>
      <c r="I25" s="29">
        <v>322</v>
      </c>
      <c r="J25" s="29">
        <v>101.68</v>
      </c>
      <c r="K25" s="29"/>
      <c r="L25" s="2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42" t="s">
        <v>437</v>
      </c>
      <c r="C26" s="29">
        <v>452.97</v>
      </c>
      <c r="D26" s="29">
        <f>45884+4739</f>
        <v>50623</v>
      </c>
      <c r="E26" s="29">
        <f>7392.7+323</f>
        <v>7715.7</v>
      </c>
      <c r="F26" s="29"/>
      <c r="G26" s="29"/>
      <c r="H26" s="29">
        <v>12.33</v>
      </c>
      <c r="I26" s="29">
        <v>538</v>
      </c>
      <c r="J26" s="29">
        <v>104.69</v>
      </c>
      <c r="K26" s="29"/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27" t="s">
        <v>436</v>
      </c>
      <c r="C27" s="29">
        <v>325.22</v>
      </c>
      <c r="D27" s="29">
        <f>47135+4868</f>
        <v>52003</v>
      </c>
      <c r="E27" s="29">
        <f>7734.5+338</f>
        <v>8072.5</v>
      </c>
      <c r="F27" s="29"/>
      <c r="G27" s="29"/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27" t="s">
        <v>435</v>
      </c>
      <c r="C28" s="29">
        <v>392.77</v>
      </c>
      <c r="D28" s="29">
        <f>62463+6451</f>
        <v>68914</v>
      </c>
      <c r="E28" s="29">
        <f>7082.1+309</f>
        <v>7391.1</v>
      </c>
      <c r="F28" s="29"/>
      <c r="G28" s="29"/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27" t="s">
        <v>378</v>
      </c>
      <c r="C29" s="29">
        <v>509.58</v>
      </c>
      <c r="D29" s="29">
        <f>62216+6425</f>
        <v>68641</v>
      </c>
      <c r="E29" s="29">
        <f>14828.2+647</f>
        <v>15475.2</v>
      </c>
      <c r="F29" s="29"/>
      <c r="G29" s="29"/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27" t="s">
        <v>434</v>
      </c>
      <c r="C30" s="29">
        <v>564.96</v>
      </c>
      <c r="D30" s="29">
        <f>53008+5474</f>
        <v>58482</v>
      </c>
      <c r="E30" s="29">
        <f>16368.5+715</f>
        <v>17083.5</v>
      </c>
      <c r="F30" s="29"/>
      <c r="G30" s="29"/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27" t="s">
        <v>379</v>
      </c>
      <c r="C31" s="29">
        <v>386.25</v>
      </c>
      <c r="D31" s="29">
        <f>55510+5733</f>
        <v>61243</v>
      </c>
      <c r="E31" s="29">
        <f>20380.7+890</f>
        <v>21270.7</v>
      </c>
      <c r="F31" s="29"/>
      <c r="G31" s="29"/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86.25">
      <c r="A32" s="41"/>
      <c r="B32" s="42" t="s">
        <v>289</v>
      </c>
      <c r="C32" s="29">
        <v>741.9</v>
      </c>
      <c r="D32" s="29">
        <f>78270+5406</f>
        <v>83676</v>
      </c>
      <c r="E32" s="29">
        <f>22554.5+979</f>
        <v>23533.5</v>
      </c>
      <c r="F32" s="29"/>
      <c r="G32" s="29"/>
      <c r="H32" s="29">
        <v>21.63</v>
      </c>
      <c r="I32" s="29">
        <v>18484</v>
      </c>
      <c r="J32" s="29">
        <v>44.52</v>
      </c>
      <c r="K32" s="29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42" t="s">
        <v>290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42" t="s">
        <v>291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72" customHeight="1">
      <c r="A35" s="41"/>
      <c r="B35" s="42" t="s">
        <v>292</v>
      </c>
      <c r="C35" s="29">
        <v>595.92</v>
      </c>
      <c r="D35" s="29">
        <f>34849+2407</f>
        <v>37256</v>
      </c>
      <c r="E35" s="29">
        <f>15121.4+656</f>
        <v>15777.4</v>
      </c>
      <c r="F35" s="29"/>
      <c r="G35" s="29"/>
      <c r="H35" s="29"/>
      <c r="I35" s="29">
        <v>16900</v>
      </c>
      <c r="J35" s="29"/>
      <c r="K35" s="29"/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42" t="s">
        <v>293</v>
      </c>
      <c r="C36" s="29">
        <v>795.89</v>
      </c>
      <c r="D36" s="29">
        <f>51412+3551</f>
        <v>54963</v>
      </c>
      <c r="E36" s="29">
        <f>19606.7+851</f>
        <v>20457.7</v>
      </c>
      <c r="F36" s="29"/>
      <c r="G36" s="29"/>
      <c r="H36" s="29"/>
      <c r="I36" s="29">
        <v>16900</v>
      </c>
      <c r="J36" s="29"/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03.5">
      <c r="A37" s="41"/>
      <c r="B37" s="42" t="s">
        <v>294</v>
      </c>
      <c r="C37" s="29">
        <v>666.02</v>
      </c>
      <c r="D37" s="29">
        <f>55518+3835</f>
        <v>59353</v>
      </c>
      <c r="E37" s="29">
        <f>8769.1+381</f>
        <v>9150.1</v>
      </c>
      <c r="F37" s="29"/>
      <c r="G37" s="29"/>
      <c r="H37" s="29">
        <v>15.7</v>
      </c>
      <c r="I37" s="29">
        <v>22644</v>
      </c>
      <c r="J37" s="29">
        <v>139.59</v>
      </c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41"/>
      <c r="B38" s="42" t="s">
        <v>295</v>
      </c>
      <c r="C38" s="29">
        <v>819.54</v>
      </c>
      <c r="D38" s="29">
        <f>56628+3911</f>
        <v>60539</v>
      </c>
      <c r="E38" s="29">
        <f>7924+344</f>
        <v>8268</v>
      </c>
      <c r="F38" s="29"/>
      <c r="G38" s="29"/>
      <c r="H38" s="29">
        <v>35.86</v>
      </c>
      <c r="I38" s="29">
        <v>19703</v>
      </c>
      <c r="J38" s="29">
        <v>457.28</v>
      </c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42" t="s">
        <v>296</v>
      </c>
      <c r="C39" s="29">
        <v>683.86</v>
      </c>
      <c r="D39" s="29">
        <f>44178+3051</f>
        <v>47229</v>
      </c>
      <c r="E39" s="29">
        <f>12236.1+531</f>
        <v>12767.1</v>
      </c>
      <c r="F39" s="29"/>
      <c r="G39" s="29"/>
      <c r="H39" s="29">
        <v>12.45</v>
      </c>
      <c r="I39" s="29">
        <v>20919</v>
      </c>
      <c r="J39" s="29">
        <v>86.64</v>
      </c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42" t="s">
        <v>297</v>
      </c>
      <c r="C40" s="29">
        <v>740.86</v>
      </c>
      <c r="D40" s="29">
        <f>50749+3505</f>
        <v>54254</v>
      </c>
      <c r="E40" s="29">
        <f>9205.6+400</f>
        <v>9605.6</v>
      </c>
      <c r="F40" s="29"/>
      <c r="G40" s="29"/>
      <c r="H40" s="29"/>
      <c r="I40" s="29">
        <v>16900</v>
      </c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42" t="s">
        <v>298</v>
      </c>
      <c r="C41" s="29">
        <v>525.14</v>
      </c>
      <c r="D41" s="29">
        <f>50366+3479</f>
        <v>53845</v>
      </c>
      <c r="E41" s="29">
        <f>11544.6+501</f>
        <v>12045.6</v>
      </c>
      <c r="F41" s="29"/>
      <c r="G41" s="29"/>
      <c r="H41" s="29">
        <v>1.14</v>
      </c>
      <c r="I41" s="29">
        <v>17103</v>
      </c>
      <c r="J41" s="29">
        <v>46.93</v>
      </c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42" t="s">
        <v>299</v>
      </c>
      <c r="C42" s="29">
        <v>549.79</v>
      </c>
      <c r="D42" s="29">
        <f>39625+2737</f>
        <v>42362</v>
      </c>
      <c r="E42" s="29">
        <f>14941.9+649</f>
        <v>15590.9</v>
      </c>
      <c r="F42" s="29"/>
      <c r="G42" s="29"/>
      <c r="H42" s="29"/>
      <c r="I42" s="29">
        <v>16900</v>
      </c>
      <c r="J42" s="29"/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42" t="s">
        <v>300</v>
      </c>
      <c r="C43" s="29">
        <v>853.15</v>
      </c>
      <c r="D43" s="29">
        <f>70251+4852</f>
        <v>75103</v>
      </c>
      <c r="E43" s="29">
        <f>8358.1+363</f>
        <v>8721.1</v>
      </c>
      <c r="F43" s="29"/>
      <c r="G43" s="29"/>
      <c r="H43" s="29">
        <v>52.51</v>
      </c>
      <c r="I43" s="29">
        <v>30341</v>
      </c>
      <c r="J43" s="29">
        <v>316.49</v>
      </c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42" t="s">
        <v>301</v>
      </c>
      <c r="C44" s="29">
        <v>773.6</v>
      </c>
      <c r="D44" s="29">
        <f>83889+5794</f>
        <v>89683</v>
      </c>
      <c r="E44" s="29">
        <f>13107.5+569</f>
        <v>13676.5</v>
      </c>
      <c r="F44" s="29"/>
      <c r="G44" s="29"/>
      <c r="H44" s="29">
        <v>14.75</v>
      </c>
      <c r="I44" s="29">
        <v>25940</v>
      </c>
      <c r="J44" s="29">
        <v>336.94</v>
      </c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42" t="s">
        <v>302</v>
      </c>
      <c r="C45" s="29">
        <v>824.38</v>
      </c>
      <c r="D45" s="29">
        <f>130858+9038</f>
        <v>139896</v>
      </c>
      <c r="E45" s="29">
        <f>14462.5+628</f>
        <v>15090.5</v>
      </c>
      <c r="F45" s="29"/>
      <c r="G45" s="29"/>
      <c r="H45" s="29">
        <v>7.76</v>
      </c>
      <c r="I45" s="29">
        <v>26228</v>
      </c>
      <c r="J45" s="29">
        <v>232.85</v>
      </c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7.25" hidden="1">
      <c r="A46" s="41"/>
      <c r="B46" s="4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7.25" hidden="1">
      <c r="A47" s="41"/>
      <c r="B47" s="4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4.5">
      <c r="A48" s="41"/>
      <c r="B48" s="42" t="s">
        <v>464</v>
      </c>
      <c r="C48" s="29">
        <v>658.7</v>
      </c>
      <c r="D48" s="29">
        <f>51766+3575</f>
        <v>55341</v>
      </c>
      <c r="E48" s="29">
        <f>6793.9+295</f>
        <v>7088.9</v>
      </c>
      <c r="F48" s="29"/>
      <c r="G48" s="29"/>
      <c r="H48" s="29">
        <v>49.96</v>
      </c>
      <c r="I48" s="29">
        <v>10119</v>
      </c>
      <c r="J48" s="29">
        <v>540.31</v>
      </c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34.5">
      <c r="A49" s="41"/>
      <c r="B49" s="42" t="s">
        <v>190</v>
      </c>
      <c r="C49" s="29">
        <v>178.13</v>
      </c>
      <c r="D49" s="29">
        <v>61043</v>
      </c>
      <c r="E49" s="29">
        <v>4728</v>
      </c>
      <c r="F49" s="29"/>
      <c r="G49" s="29"/>
      <c r="H49" s="29">
        <v>60.13</v>
      </c>
      <c r="I49" s="29">
        <v>20019</v>
      </c>
      <c r="J49" s="29">
        <v>2087.85</v>
      </c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34.5">
      <c r="A50" s="26" t="s">
        <v>170</v>
      </c>
      <c r="B50" s="27" t="s">
        <v>191</v>
      </c>
      <c r="C50" s="29">
        <f aca="true" t="shared" si="1" ref="C50:J50">C51+C52</f>
        <v>1566.4</v>
      </c>
      <c r="D50" s="29">
        <f t="shared" si="1"/>
        <v>303725</v>
      </c>
      <c r="E50" s="29">
        <f t="shared" si="1"/>
        <v>66759.32</v>
      </c>
      <c r="F50" s="29">
        <f t="shared" si="1"/>
        <v>0</v>
      </c>
      <c r="G50" s="29">
        <f t="shared" si="1"/>
        <v>0</v>
      </c>
      <c r="H50" s="29">
        <f t="shared" si="1"/>
        <v>102.03</v>
      </c>
      <c r="I50" s="29">
        <f t="shared" si="1"/>
        <v>19784</v>
      </c>
      <c r="J50" s="29">
        <f t="shared" si="1"/>
        <v>3188.81</v>
      </c>
      <c r="K50" s="29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7.25">
      <c r="A51" s="26"/>
      <c r="B51" s="27" t="s">
        <v>186</v>
      </c>
      <c r="C51" s="29">
        <v>969</v>
      </c>
      <c r="D51" s="29">
        <v>193600</v>
      </c>
      <c r="E51" s="29">
        <v>47377.62</v>
      </c>
      <c r="F51" s="29"/>
      <c r="G51" s="29"/>
      <c r="H51" s="29">
        <v>31.26</v>
      </c>
      <c r="I51" s="29">
        <v>4688</v>
      </c>
      <c r="J51" s="29">
        <v>1165.5</v>
      </c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34.5">
      <c r="A52" s="26"/>
      <c r="B52" s="27" t="s">
        <v>187</v>
      </c>
      <c r="C52" s="29">
        <v>597.4</v>
      </c>
      <c r="D52" s="29">
        <v>110125</v>
      </c>
      <c r="E52" s="29">
        <v>19381.7</v>
      </c>
      <c r="F52" s="29"/>
      <c r="G52" s="29"/>
      <c r="H52" s="29">
        <v>70.77</v>
      </c>
      <c r="I52" s="29">
        <v>15096</v>
      </c>
      <c r="J52" s="29">
        <v>2023.31</v>
      </c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3:46" ht="17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8">
      <c r="A55" s="53"/>
      <c r="B55" s="54" t="s">
        <v>184</v>
      </c>
      <c r="C55" s="55"/>
      <c r="D55" s="55"/>
      <c r="E55" s="55"/>
      <c r="F55" s="55"/>
      <c r="G55" s="55"/>
      <c r="H55" s="55"/>
      <c r="I55" s="55"/>
      <c r="J55" s="55" t="s">
        <v>470</v>
      </c>
      <c r="K55" s="55"/>
      <c r="L55" s="5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3:46" ht="17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3:46" ht="17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3:46" ht="17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</sheetData>
  <mergeCells count="8">
    <mergeCell ref="D5:G5"/>
    <mergeCell ref="C6:I7"/>
    <mergeCell ref="J2:L3"/>
    <mergeCell ref="A10:A12"/>
    <mergeCell ref="C10:G10"/>
    <mergeCell ref="H10:L10"/>
    <mergeCell ref="B10:B12"/>
    <mergeCell ref="J9:L9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view="pageBreakPreview" zoomScale="60" zoomScaleNormal="75" workbookViewId="0" topLeftCell="A1">
      <pane xSplit="2" ySplit="12" topLeftCell="C5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6.875" style="6" customWidth="1"/>
    <col min="3" max="3" width="12.375" style="7" customWidth="1"/>
    <col min="4" max="4" width="16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5" t="s">
        <v>38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0" t="s">
        <v>176</v>
      </c>
      <c r="K2" s="101"/>
      <c r="L2" s="10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1"/>
      <c r="K3" s="101"/>
      <c r="L3" s="10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472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F5" s="7" t="s">
        <v>177</v>
      </c>
      <c r="K5" s="120"/>
      <c r="L5" s="1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7.25">
      <c r="B6" s="43"/>
      <c r="C6" s="121" t="s">
        <v>458</v>
      </c>
      <c r="D6" s="121"/>
      <c r="E6" s="121"/>
      <c r="F6" s="121"/>
      <c r="G6" s="121"/>
      <c r="H6" s="121"/>
      <c r="I6" s="121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21"/>
      <c r="D7" s="121"/>
      <c r="E7" s="121"/>
      <c r="F7" s="121"/>
      <c r="G7" s="121"/>
      <c r="H7" s="121"/>
      <c r="I7" s="12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21"/>
      <c r="D8" s="121"/>
      <c r="E8" s="121"/>
      <c r="F8" s="121"/>
      <c r="G8" s="121"/>
      <c r="H8" s="121"/>
      <c r="I8" s="1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02" t="s">
        <v>178</v>
      </c>
      <c r="I9" s="102"/>
      <c r="J9" s="102"/>
      <c r="K9" s="102"/>
      <c r="L9" s="10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05" t="s">
        <v>77</v>
      </c>
      <c r="B10" s="108" t="s">
        <v>84</v>
      </c>
      <c r="C10" s="111" t="s">
        <v>78</v>
      </c>
      <c r="D10" s="112"/>
      <c r="E10" s="112"/>
      <c r="F10" s="112"/>
      <c r="G10" s="113"/>
      <c r="H10" s="111" t="s">
        <v>79</v>
      </c>
      <c r="I10" s="112"/>
      <c r="J10" s="112"/>
      <c r="K10" s="11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06"/>
      <c r="B11" s="118"/>
      <c r="C11" s="11" t="s">
        <v>172</v>
      </c>
      <c r="D11" s="11" t="s">
        <v>173</v>
      </c>
      <c r="E11" s="11" t="s">
        <v>228</v>
      </c>
      <c r="F11" s="11" t="s">
        <v>259</v>
      </c>
      <c r="G11" s="11" t="s">
        <v>83</v>
      </c>
      <c r="H11" s="11" t="s">
        <v>2</v>
      </c>
      <c r="I11" s="11" t="s">
        <v>174</v>
      </c>
      <c r="J11" s="11" t="s">
        <v>228</v>
      </c>
      <c r="K11" s="11" t="s">
        <v>259</v>
      </c>
      <c r="L11" s="11" t="s">
        <v>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07"/>
      <c r="B12" s="119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106</v>
      </c>
      <c r="B13" s="13" t="s">
        <v>97</v>
      </c>
      <c r="C13" s="34">
        <f>C14+C15</f>
        <v>707.519</v>
      </c>
      <c r="D13" s="34">
        <f>D14+D15</f>
        <v>104020.32</v>
      </c>
      <c r="E13" s="34">
        <f>E14+E15</f>
        <v>3154.07</v>
      </c>
      <c r="F13" s="34"/>
      <c r="G13" s="34"/>
      <c r="H13" s="34">
        <f>H14+H15</f>
        <v>25.01</v>
      </c>
      <c r="I13" s="34">
        <f>I14+I15</f>
        <v>9192.31</v>
      </c>
      <c r="J13" s="34">
        <f>J14+J15</f>
        <v>581.39</v>
      </c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195</v>
      </c>
      <c r="C14" s="34">
        <v>546.28</v>
      </c>
      <c r="D14" s="34">
        <v>75646.32</v>
      </c>
      <c r="E14" s="34">
        <v>2616.28</v>
      </c>
      <c r="F14" s="34"/>
      <c r="G14" s="34"/>
      <c r="H14" s="34">
        <v>25.01</v>
      </c>
      <c r="I14" s="34">
        <v>9192.31</v>
      </c>
      <c r="J14" s="34">
        <v>581.39</v>
      </c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41"/>
      <c r="B15" s="13" t="s">
        <v>196</v>
      </c>
      <c r="C15" s="34">
        <v>161.239</v>
      </c>
      <c r="D15" s="34">
        <v>28374</v>
      </c>
      <c r="E15" s="34">
        <v>537.79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7" customHeight="1">
      <c r="A16" s="41" t="s">
        <v>82</v>
      </c>
      <c r="B16" s="13" t="s">
        <v>197</v>
      </c>
      <c r="C16" s="95">
        <f aca="true" t="shared" si="0" ref="C16:L16">SUM(C17:C55)</f>
        <v>9057.131999999998</v>
      </c>
      <c r="D16" s="95">
        <f t="shared" si="0"/>
        <v>1099045.816</v>
      </c>
      <c r="E16" s="95">
        <f t="shared" si="0"/>
        <v>135589.65</v>
      </c>
      <c r="F16" s="34">
        <f t="shared" si="0"/>
        <v>43</v>
      </c>
      <c r="G16" s="34">
        <f t="shared" si="0"/>
        <v>0</v>
      </c>
      <c r="H16" s="95">
        <f t="shared" si="0"/>
        <v>264.94100000000003</v>
      </c>
      <c r="I16" s="95">
        <f t="shared" si="0"/>
        <v>39201.025</v>
      </c>
      <c r="J16" s="34">
        <f t="shared" si="0"/>
        <v>5138.387000000001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" customHeight="1">
      <c r="A17" s="41"/>
      <c r="B17" s="13" t="s">
        <v>433</v>
      </c>
      <c r="C17" s="34">
        <v>210.614</v>
      </c>
      <c r="D17" s="34">
        <v>30178</v>
      </c>
      <c r="E17" s="34">
        <v>3318.6</v>
      </c>
      <c r="F17" s="34"/>
      <c r="G17" s="34"/>
      <c r="H17" s="34">
        <v>0.038</v>
      </c>
      <c r="I17" s="34">
        <v>25.581</v>
      </c>
      <c r="J17" s="34">
        <v>2.407</v>
      </c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7.5" customHeight="1">
      <c r="A18" s="41"/>
      <c r="B18" s="13" t="s">
        <v>43</v>
      </c>
      <c r="C18" s="34">
        <v>144.32</v>
      </c>
      <c r="D18" s="34">
        <v>32861</v>
      </c>
      <c r="E18" s="34">
        <v>3605.1</v>
      </c>
      <c r="F18" s="34"/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0.5" customHeight="1">
      <c r="A19" s="41"/>
      <c r="B19" s="13" t="s">
        <v>44</v>
      </c>
      <c r="C19" s="34">
        <v>264.326</v>
      </c>
      <c r="D19" s="34">
        <v>58325.4</v>
      </c>
      <c r="E19" s="34">
        <v>9657.4</v>
      </c>
      <c r="F19" s="34"/>
      <c r="G19" s="34"/>
      <c r="H19" s="34">
        <v>0.638</v>
      </c>
      <c r="I19" s="34">
        <v>89.535</v>
      </c>
      <c r="J19" s="34">
        <v>48.736</v>
      </c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4.5" customHeight="1" hidden="1">
      <c r="A20" s="41"/>
      <c r="B20" s="13" t="s">
        <v>198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 hidden="1">
      <c r="A21" s="41"/>
      <c r="B21" s="13" t="s">
        <v>199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432</v>
      </c>
      <c r="C22" s="34">
        <v>168</v>
      </c>
      <c r="D22" s="34">
        <v>43761</v>
      </c>
      <c r="E22" s="34">
        <v>3091.8</v>
      </c>
      <c r="F22" s="34"/>
      <c r="G22" s="34"/>
      <c r="H22" s="34">
        <v>0.063</v>
      </c>
      <c r="I22" s="34">
        <v>30.698</v>
      </c>
      <c r="J22" s="34">
        <v>3.008</v>
      </c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2.75" customHeight="1">
      <c r="A23" s="41"/>
      <c r="B23" s="13" t="s">
        <v>431</v>
      </c>
      <c r="C23" s="34">
        <v>210.614</v>
      </c>
      <c r="D23" s="34">
        <v>37072</v>
      </c>
      <c r="E23" s="34">
        <v>1862.24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430</v>
      </c>
      <c r="C24" s="34">
        <v>296</v>
      </c>
      <c r="D24" s="34">
        <v>42747</v>
      </c>
      <c r="E24" s="34">
        <v>5157</v>
      </c>
      <c r="F24" s="34"/>
      <c r="G24" s="34"/>
      <c r="H24" s="34">
        <v>9.127</v>
      </c>
      <c r="I24" s="34">
        <v>383.72</v>
      </c>
      <c r="J24" s="34">
        <v>114.32</v>
      </c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429</v>
      </c>
      <c r="C25" s="34">
        <v>200.98</v>
      </c>
      <c r="D25" s="34">
        <v>32862</v>
      </c>
      <c r="E25" s="34">
        <v>3993.1</v>
      </c>
      <c r="F25" s="34"/>
      <c r="G25" s="34"/>
      <c r="H25" s="34">
        <v>0.025</v>
      </c>
      <c r="I25" s="34">
        <v>15.349</v>
      </c>
      <c r="J25" s="34">
        <v>1.805</v>
      </c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 customHeight="1" hidden="1">
      <c r="A26" s="41"/>
      <c r="B26" s="13" t="s">
        <v>200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428</v>
      </c>
      <c r="C27" s="34">
        <v>210.614</v>
      </c>
      <c r="D27" s="34">
        <v>47650</v>
      </c>
      <c r="E27" s="34">
        <v>4637.7</v>
      </c>
      <c r="F27" s="34"/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427</v>
      </c>
      <c r="C28" s="34">
        <v>210.614</v>
      </c>
      <c r="D28" s="34">
        <v>25961</v>
      </c>
      <c r="E28" s="34">
        <v>3605.1</v>
      </c>
      <c r="F28" s="34"/>
      <c r="G28" s="34"/>
      <c r="H28" s="34">
        <v>9.052</v>
      </c>
      <c r="I28" s="34">
        <v>3162.039</v>
      </c>
      <c r="J28" s="34">
        <v>201.564</v>
      </c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426</v>
      </c>
      <c r="C29" s="34">
        <v>327.307</v>
      </c>
      <c r="D29" s="34">
        <v>52057</v>
      </c>
      <c r="E29" s="34">
        <v>5413.623</v>
      </c>
      <c r="F29" s="34"/>
      <c r="G29" s="34"/>
      <c r="H29" s="34">
        <v>37.009</v>
      </c>
      <c r="I29" s="34">
        <v>1151.16</v>
      </c>
      <c r="J29" s="34">
        <v>122.744</v>
      </c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4.5" hidden="1">
      <c r="A30" s="41"/>
      <c r="B30" s="13" t="s">
        <v>387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425</v>
      </c>
      <c r="C31" s="34">
        <v>116.327</v>
      </c>
      <c r="D31" s="34">
        <v>29028</v>
      </c>
      <c r="E31" s="34">
        <v>3217.1</v>
      </c>
      <c r="F31" s="34"/>
      <c r="G31" s="34"/>
      <c r="H31" s="34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201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7.25" customHeight="1" hidden="1">
      <c r="A33" s="41"/>
      <c r="B33" s="13" t="s">
        <v>202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9" customHeight="1">
      <c r="A34" s="41"/>
      <c r="B34" s="13" t="s">
        <v>424</v>
      </c>
      <c r="C34" s="34">
        <v>200.614</v>
      </c>
      <c r="D34" s="34">
        <v>27111</v>
      </c>
      <c r="E34" s="34">
        <v>2966.46</v>
      </c>
      <c r="F34" s="34"/>
      <c r="G34" s="34"/>
      <c r="H34" s="34">
        <v>0.125</v>
      </c>
      <c r="I34" s="34">
        <v>46.046</v>
      </c>
      <c r="J34" s="34">
        <v>6.017</v>
      </c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9.75" customHeight="1">
      <c r="A35" s="41"/>
      <c r="B35" s="13" t="s">
        <v>423</v>
      </c>
      <c r="C35" s="34">
        <v>115.307</v>
      </c>
      <c r="D35" s="34">
        <v>28699</v>
      </c>
      <c r="E35" s="34">
        <v>2835.1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 hidden="1">
      <c r="A36" s="41"/>
      <c r="B36" s="13" t="s">
        <v>203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388</v>
      </c>
      <c r="C37" s="34">
        <v>361.073</v>
      </c>
      <c r="D37" s="34">
        <v>54989</v>
      </c>
      <c r="E37" s="34">
        <v>6326.8</v>
      </c>
      <c r="F37" s="34"/>
      <c r="G37" s="34"/>
      <c r="H37" s="34">
        <v>0.063</v>
      </c>
      <c r="I37" s="34">
        <v>43.488</v>
      </c>
      <c r="J37" s="34">
        <v>4.814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86.25">
      <c r="A38" s="41"/>
      <c r="B38" s="13" t="s">
        <v>315</v>
      </c>
      <c r="C38" s="34">
        <v>551.192</v>
      </c>
      <c r="D38" s="34">
        <v>74009</v>
      </c>
      <c r="E38" s="34">
        <v>5505</v>
      </c>
      <c r="F38" s="34"/>
      <c r="G38" s="34"/>
      <c r="H38" s="34">
        <v>9.002</v>
      </c>
      <c r="I38" s="34">
        <v>2430.227</v>
      </c>
      <c r="J38" s="34">
        <v>66.185</v>
      </c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316</v>
      </c>
      <c r="C39" s="34">
        <v>600.962</v>
      </c>
      <c r="D39" s="34">
        <v>35518</v>
      </c>
      <c r="E39" s="34">
        <v>4747.5</v>
      </c>
      <c r="F39" s="34"/>
      <c r="G39" s="34"/>
      <c r="H39" s="34">
        <v>69.142</v>
      </c>
      <c r="I39" s="34">
        <v>3325.574</v>
      </c>
      <c r="J39" s="34">
        <v>517.449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317</v>
      </c>
      <c r="C40" s="34">
        <v>466.671</v>
      </c>
      <c r="D40" s="34">
        <v>18724</v>
      </c>
      <c r="E40" s="34">
        <v>4852.5</v>
      </c>
      <c r="F40" s="34"/>
      <c r="G40" s="34"/>
      <c r="H40" s="34">
        <v>5.176</v>
      </c>
      <c r="I40" s="34">
        <v>53.721</v>
      </c>
      <c r="J40" s="34">
        <v>170.277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319</v>
      </c>
      <c r="C41" s="34">
        <v>253.066</v>
      </c>
      <c r="D41" s="34">
        <v>45428</v>
      </c>
      <c r="E41" s="34">
        <v>3562.5</v>
      </c>
      <c r="F41" s="34">
        <v>43</v>
      </c>
      <c r="G41" s="34"/>
      <c r="H41" s="34">
        <v>5.751</v>
      </c>
      <c r="I41" s="34">
        <v>1918.6</v>
      </c>
      <c r="J41" s="34">
        <v>150.421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320</v>
      </c>
      <c r="C42" s="34">
        <v>289.802</v>
      </c>
      <c r="D42" s="34">
        <v>8710.95</v>
      </c>
      <c r="E42" s="34">
        <v>7117.5</v>
      </c>
      <c r="F42" s="34"/>
      <c r="G42" s="34"/>
      <c r="H42" s="34">
        <v>32.508</v>
      </c>
      <c r="I42" s="34">
        <v>1534.88</v>
      </c>
      <c r="J42" s="34">
        <v>90.253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321</v>
      </c>
      <c r="C43" s="34">
        <v>354.067</v>
      </c>
      <c r="D43" s="34">
        <v>25661</v>
      </c>
      <c r="E43" s="34">
        <v>5392.5</v>
      </c>
      <c r="F43" s="34"/>
      <c r="G43" s="34"/>
      <c r="H43" s="34"/>
      <c r="I43" s="34"/>
      <c r="J43" s="34"/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322</v>
      </c>
      <c r="C44" s="34">
        <v>205.42</v>
      </c>
      <c r="D44" s="34">
        <v>14708</v>
      </c>
      <c r="E44" s="34">
        <v>4162.5</v>
      </c>
      <c r="F44" s="34"/>
      <c r="G44" s="34"/>
      <c r="H44" s="34"/>
      <c r="I44" s="34"/>
      <c r="J44" s="34"/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323</v>
      </c>
      <c r="C45" s="34">
        <v>450.407</v>
      </c>
      <c r="D45" s="34">
        <v>37552</v>
      </c>
      <c r="E45" s="34">
        <v>7335</v>
      </c>
      <c r="F45" s="34"/>
      <c r="G45" s="34"/>
      <c r="H45" s="34">
        <v>16.254</v>
      </c>
      <c r="I45" s="34">
        <v>17906.935</v>
      </c>
      <c r="J45" s="34">
        <v>601.685</v>
      </c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86.25">
      <c r="A46" s="41"/>
      <c r="B46" s="13" t="s">
        <v>324</v>
      </c>
      <c r="C46" s="34">
        <v>476.02</v>
      </c>
      <c r="D46" s="34">
        <v>39482</v>
      </c>
      <c r="E46" s="34">
        <v>10680</v>
      </c>
      <c r="F46" s="34"/>
      <c r="G46" s="34"/>
      <c r="H46" s="34">
        <v>14.454</v>
      </c>
      <c r="I46" s="34">
        <v>723.952</v>
      </c>
      <c r="J46" s="34">
        <v>169.675</v>
      </c>
      <c r="K46" s="34"/>
      <c r="L46" s="3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86.25">
      <c r="A47" s="41"/>
      <c r="B47" s="13" t="s">
        <v>325</v>
      </c>
      <c r="C47" s="34">
        <v>481.348</v>
      </c>
      <c r="D47" s="34">
        <v>32545</v>
      </c>
      <c r="E47" s="34">
        <v>4425</v>
      </c>
      <c r="F47" s="34"/>
      <c r="G47" s="34"/>
      <c r="H47" s="34">
        <v>26.257</v>
      </c>
      <c r="I47" s="34">
        <v>2087.437</v>
      </c>
      <c r="J47" s="34">
        <v>18.652</v>
      </c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03.5">
      <c r="A48" s="41"/>
      <c r="B48" s="13" t="s">
        <v>258</v>
      </c>
      <c r="C48" s="34">
        <v>521.62</v>
      </c>
      <c r="D48" s="34">
        <v>50174</v>
      </c>
      <c r="E48" s="34">
        <v>4327.5</v>
      </c>
      <c r="F48" s="34"/>
      <c r="G48" s="34"/>
      <c r="H48" s="34"/>
      <c r="I48" s="34">
        <v>1279.067</v>
      </c>
      <c r="J48" s="34">
        <v>150.421</v>
      </c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326</v>
      </c>
      <c r="C49" s="34">
        <v>301.853</v>
      </c>
      <c r="D49" s="34">
        <v>20654</v>
      </c>
      <c r="E49" s="34">
        <v>3885</v>
      </c>
      <c r="F49" s="34"/>
      <c r="G49" s="34"/>
      <c r="H49" s="34"/>
      <c r="I49" s="34"/>
      <c r="J49" s="34"/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327</v>
      </c>
      <c r="C50" s="34">
        <v>401.676</v>
      </c>
      <c r="D50" s="34">
        <v>36509</v>
      </c>
      <c r="E50" s="34">
        <v>4477.5</v>
      </c>
      <c r="F50" s="34"/>
      <c r="G50" s="34"/>
      <c r="H50" s="34">
        <v>9.627</v>
      </c>
      <c r="I50" s="34">
        <v>537.208</v>
      </c>
      <c r="J50" s="34">
        <v>72.202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51.75">
      <c r="A51" s="41"/>
      <c r="B51" s="13" t="s">
        <v>328</v>
      </c>
      <c r="C51" s="34">
        <v>483.174</v>
      </c>
      <c r="D51" s="34">
        <v>81885</v>
      </c>
      <c r="E51" s="34">
        <v>4530</v>
      </c>
      <c r="F51" s="34"/>
      <c r="G51" s="34"/>
      <c r="H51" s="34">
        <v>20.63</v>
      </c>
      <c r="I51" s="34">
        <v>2455.808</v>
      </c>
      <c r="J51" s="34">
        <v>2625.752</v>
      </c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41"/>
      <c r="B52" s="13" t="s">
        <v>329</v>
      </c>
      <c r="C52" s="34">
        <v>60.015</v>
      </c>
      <c r="D52" s="34">
        <v>6651.15</v>
      </c>
      <c r="E52" s="34">
        <v>240.674</v>
      </c>
      <c r="F52" s="34"/>
      <c r="G52" s="34"/>
      <c r="H52" s="34"/>
      <c r="I52" s="34"/>
      <c r="J52" s="34"/>
      <c r="K52" s="34"/>
      <c r="L52" s="3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7.25" hidden="1">
      <c r="A53" s="41"/>
      <c r="B53" s="13" t="s">
        <v>204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7.25">
      <c r="A54" s="41"/>
      <c r="B54" s="13" t="s">
        <v>163</v>
      </c>
      <c r="C54" s="34">
        <v>44.386</v>
      </c>
      <c r="D54" s="34">
        <v>22115.063</v>
      </c>
      <c r="E54" s="34">
        <v>541.516</v>
      </c>
      <c r="F54" s="34"/>
      <c r="G54" s="34"/>
      <c r="H54" s="34"/>
      <c r="I54" s="34"/>
      <c r="J54" s="34"/>
      <c r="K54" s="34"/>
      <c r="L54" s="3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205</v>
      </c>
      <c r="C55" s="34">
        <v>78.743</v>
      </c>
      <c r="D55" s="34">
        <v>5418.253</v>
      </c>
      <c r="E55" s="34">
        <v>120.337</v>
      </c>
      <c r="F55" s="34"/>
      <c r="G55" s="34"/>
      <c r="H55" s="34"/>
      <c r="I55" s="34"/>
      <c r="J55" s="34"/>
      <c r="K55" s="34"/>
      <c r="L55" s="3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7.75" customHeight="1">
      <c r="A56" s="41" t="s">
        <v>170</v>
      </c>
      <c r="B56" s="13" t="s">
        <v>206</v>
      </c>
      <c r="C56" s="34">
        <f aca="true" t="shared" si="1" ref="C56:L56">C57+C58+C59+C60+C61</f>
        <v>3544.013</v>
      </c>
      <c r="D56" s="34">
        <f t="shared" si="1"/>
        <v>818008</v>
      </c>
      <c r="E56" s="34">
        <f t="shared" si="1"/>
        <v>112574</v>
      </c>
      <c r="F56" s="34">
        <f t="shared" si="1"/>
        <v>64935</v>
      </c>
      <c r="G56" s="34">
        <f t="shared" si="1"/>
        <v>0</v>
      </c>
      <c r="H56" s="34">
        <f t="shared" si="1"/>
        <v>318.21999999999997</v>
      </c>
      <c r="I56" s="34">
        <f t="shared" si="1"/>
        <v>70194</v>
      </c>
      <c r="J56" s="34">
        <f t="shared" si="1"/>
        <v>8732</v>
      </c>
      <c r="K56" s="34">
        <f t="shared" si="1"/>
        <v>1013</v>
      </c>
      <c r="L56" s="34">
        <f t="shared" si="1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7" customHeight="1">
      <c r="A57" s="41"/>
      <c r="B57" s="13" t="s">
        <v>233</v>
      </c>
      <c r="C57" s="34">
        <v>1208.433</v>
      </c>
      <c r="D57" s="34">
        <v>195122</v>
      </c>
      <c r="E57" s="34">
        <v>20156</v>
      </c>
      <c r="F57" s="34"/>
      <c r="G57" s="34"/>
      <c r="H57" s="34">
        <v>155.68</v>
      </c>
      <c r="I57" s="34">
        <v>29328</v>
      </c>
      <c r="J57" s="34">
        <v>4220</v>
      </c>
      <c r="K57" s="34"/>
      <c r="L57" s="3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41"/>
      <c r="B58" s="13" t="s">
        <v>10</v>
      </c>
      <c r="C58" s="34">
        <v>1321.58</v>
      </c>
      <c r="D58" s="34">
        <v>257523</v>
      </c>
      <c r="E58" s="34">
        <v>38026</v>
      </c>
      <c r="F58" s="34"/>
      <c r="G58" s="34"/>
      <c r="H58" s="34">
        <v>56.26</v>
      </c>
      <c r="I58" s="34">
        <v>17422</v>
      </c>
      <c r="J58" s="34">
        <v>1504</v>
      </c>
      <c r="K58" s="34"/>
      <c r="L58" s="3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1"/>
      <c r="B59" s="13" t="s">
        <v>235</v>
      </c>
      <c r="C59" s="34">
        <v>776.44</v>
      </c>
      <c r="D59" s="34">
        <v>291733</v>
      </c>
      <c r="E59" s="34">
        <v>48315</v>
      </c>
      <c r="F59" s="34">
        <v>64935</v>
      </c>
      <c r="G59" s="34"/>
      <c r="H59" s="34">
        <v>30.01</v>
      </c>
      <c r="I59" s="34">
        <v>8869</v>
      </c>
      <c r="J59" s="34">
        <v>782</v>
      </c>
      <c r="K59" s="34">
        <v>13</v>
      </c>
      <c r="L59" s="3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48.75" customHeight="1">
      <c r="A60" s="41"/>
      <c r="B60" s="13" t="s">
        <v>234</v>
      </c>
      <c r="C60" s="34">
        <v>177.54</v>
      </c>
      <c r="D60" s="34">
        <v>51774</v>
      </c>
      <c r="E60" s="34">
        <v>5836</v>
      </c>
      <c r="F60" s="34"/>
      <c r="G60" s="34"/>
      <c r="H60" s="34">
        <v>76.27</v>
      </c>
      <c r="I60" s="34">
        <v>14575</v>
      </c>
      <c r="J60" s="34">
        <v>2226</v>
      </c>
      <c r="K60" s="7">
        <v>1000</v>
      </c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163</v>
      </c>
      <c r="C61" s="34">
        <v>60.02</v>
      </c>
      <c r="D61" s="34">
        <v>21856</v>
      </c>
      <c r="E61" s="34">
        <v>241</v>
      </c>
      <c r="F61" s="34"/>
      <c r="G61" s="34"/>
      <c r="H61" s="34"/>
      <c r="I61" s="34"/>
      <c r="J61" s="34"/>
      <c r="K61" s="3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 t="s">
        <v>74</v>
      </c>
      <c r="B62" s="13" t="s">
        <v>76</v>
      </c>
      <c r="C62" s="34"/>
      <c r="D62" s="34">
        <v>419580.42</v>
      </c>
      <c r="E62" s="34">
        <v>17441.87</v>
      </c>
      <c r="F62" s="34"/>
      <c r="G62" s="34"/>
      <c r="H62" s="34"/>
      <c r="I62" s="34"/>
      <c r="J62" s="34"/>
      <c r="K62" s="34"/>
      <c r="L62" s="3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5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45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12" s="4" customFormat="1" ht="18.75">
      <c r="A65" s="45"/>
      <c r="B65" s="50" t="s">
        <v>184</v>
      </c>
      <c r="C65" s="51"/>
      <c r="D65" s="51"/>
      <c r="E65" s="51"/>
      <c r="F65" s="51"/>
      <c r="G65" s="51"/>
      <c r="H65" s="51"/>
      <c r="I65" s="51"/>
      <c r="J65" s="98" t="s">
        <v>470</v>
      </c>
      <c r="K65" s="98"/>
      <c r="L65" s="44"/>
    </row>
    <row r="66" spans="1:12" s="4" customFormat="1" ht="18.75">
      <c r="A66" s="45"/>
      <c r="C66" s="51"/>
      <c r="D66" s="51"/>
      <c r="E66" s="51"/>
      <c r="F66" s="51"/>
      <c r="G66" s="51"/>
      <c r="H66" s="51"/>
      <c r="I66" s="51"/>
      <c r="J66" s="51"/>
      <c r="K66" s="51"/>
      <c r="L66" s="44"/>
    </row>
    <row r="67" spans="1:12" s="4" customFormat="1" ht="18.75">
      <c r="A67" s="4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44"/>
    </row>
    <row r="68" spans="1:12" s="4" customFormat="1" ht="18.75">
      <c r="A68" s="4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44"/>
    </row>
  </sheetData>
  <mergeCells count="9">
    <mergeCell ref="J65:K65"/>
    <mergeCell ref="K5:L5"/>
    <mergeCell ref="C6:I8"/>
    <mergeCell ref="B10:B12"/>
    <mergeCell ref="A10:A12"/>
    <mergeCell ref="C10:G10"/>
    <mergeCell ref="J2:L3"/>
    <mergeCell ref="H9:L9"/>
    <mergeCell ref="H10:L10"/>
  </mergeCells>
  <printOptions/>
  <pageMargins left="0.7874015748031497" right="0.3937007874015748" top="0.5118110236220472" bottom="0.29" header="0.5118110236220472" footer="0.28"/>
  <pageSetup fitToHeight="5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60" zoomScaleNormal="75" workbookViewId="0" topLeftCell="A1">
      <pane xSplit="2" ySplit="12" topLeftCell="C4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5" t="s">
        <v>39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0" t="s">
        <v>176</v>
      </c>
      <c r="K2" s="101"/>
      <c r="L2" s="10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1"/>
      <c r="K3" s="101"/>
      <c r="L3" s="10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5" t="s">
        <v>472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5:46" ht="17.25">
      <c r="E5" s="99" t="s">
        <v>251</v>
      </c>
      <c r="F5" s="99"/>
      <c r="G5" s="9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37.5" customHeight="1">
      <c r="C6" s="103" t="s">
        <v>459</v>
      </c>
      <c r="D6" s="104"/>
      <c r="E6" s="104"/>
      <c r="F6" s="104"/>
      <c r="G6" s="104"/>
      <c r="H6" s="104"/>
      <c r="I6" s="10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8"/>
      <c r="D7" s="6"/>
      <c r="E7" s="6"/>
      <c r="F7" s="6"/>
      <c r="G7" s="6"/>
      <c r="H7" s="6"/>
      <c r="I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97" t="s">
        <v>178</v>
      </c>
      <c r="K9" s="97"/>
      <c r="L9" s="9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05" t="s">
        <v>77</v>
      </c>
      <c r="B10" s="108" t="s">
        <v>84</v>
      </c>
      <c r="C10" s="111" t="s">
        <v>78</v>
      </c>
      <c r="D10" s="112"/>
      <c r="E10" s="112"/>
      <c r="F10" s="112"/>
      <c r="G10" s="113"/>
      <c r="H10" s="111" t="s">
        <v>79</v>
      </c>
      <c r="I10" s="112"/>
      <c r="J10" s="112"/>
      <c r="K10" s="11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06"/>
      <c r="B11" s="118"/>
      <c r="C11" s="11" t="s">
        <v>172</v>
      </c>
      <c r="D11" s="11" t="s">
        <v>173</v>
      </c>
      <c r="E11" s="11" t="s">
        <v>228</v>
      </c>
      <c r="F11" s="11" t="s">
        <v>259</v>
      </c>
      <c r="G11" s="11" t="s">
        <v>83</v>
      </c>
      <c r="H11" s="11" t="s">
        <v>2</v>
      </c>
      <c r="I11" s="11" t="s">
        <v>174</v>
      </c>
      <c r="J11" s="11" t="s">
        <v>228</v>
      </c>
      <c r="K11" s="11" t="s">
        <v>259</v>
      </c>
      <c r="L11" s="11" t="s">
        <v>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07"/>
      <c r="B12" s="119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106</v>
      </c>
      <c r="B13" s="13" t="s">
        <v>97</v>
      </c>
      <c r="C13" s="34">
        <f>SUM(C14+C15)</f>
        <v>572</v>
      </c>
      <c r="D13" s="34">
        <f>SUM(D14+D15)</f>
        <v>62450</v>
      </c>
      <c r="E13" s="34">
        <f>SUM(E14+E15)</f>
        <v>3310.3</v>
      </c>
      <c r="F13" s="34">
        <f>SUM(F14+F15)</f>
        <v>0</v>
      </c>
      <c r="G13" s="34"/>
      <c r="H13" s="34"/>
      <c r="I13" s="34"/>
      <c r="J13" s="34"/>
      <c r="K13" s="34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51.75">
      <c r="A14" s="41"/>
      <c r="B14" s="13" t="s">
        <v>66</v>
      </c>
      <c r="C14" s="34">
        <v>447.6</v>
      </c>
      <c r="D14" s="34">
        <v>45412</v>
      </c>
      <c r="E14" s="34">
        <v>2594</v>
      </c>
      <c r="F14" s="34"/>
      <c r="G14" s="34"/>
      <c r="H14" s="34"/>
      <c r="I14" s="34"/>
      <c r="J14" s="34"/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86.25">
      <c r="A15" s="41"/>
      <c r="B15" s="13" t="s">
        <v>67</v>
      </c>
      <c r="C15" s="34">
        <v>124.4</v>
      </c>
      <c r="D15" s="34">
        <v>17038</v>
      </c>
      <c r="E15" s="34">
        <v>716.3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>
      <c r="A16" s="41" t="s">
        <v>82</v>
      </c>
      <c r="B16" s="13" t="s">
        <v>68</v>
      </c>
      <c r="C16" s="34">
        <f aca="true" t="shared" si="0" ref="C16:L16">C17+C18+C19+C20+C21+C22+C23+C24+C25+C26+C27+C28+C29+C30+C31+C32+C33+C34+C35+C36+C37+C38+C39+C40+C41+C42+C43+C44+C45</f>
        <v>10679.88</v>
      </c>
      <c r="D16" s="34">
        <f t="shared" si="0"/>
        <v>1092952</v>
      </c>
      <c r="E16" s="34">
        <f t="shared" si="0"/>
        <v>154976</v>
      </c>
      <c r="F16" s="34">
        <f t="shared" si="0"/>
        <v>4012</v>
      </c>
      <c r="G16" s="34">
        <f t="shared" si="0"/>
        <v>0</v>
      </c>
      <c r="H16" s="34">
        <f t="shared" si="0"/>
        <v>86.12</v>
      </c>
      <c r="I16" s="92">
        <f>I17+I18+I19+I20+I21+I22+I23+I24+I25+I26+I27+I28+I29+I30+I31+I32+I33+I34+I35+I36+I37+I38+I39+I40+I41+I42+I43+I44+I45</f>
        <v>22597.16</v>
      </c>
      <c r="J16" s="34">
        <f t="shared" si="0"/>
        <v>3020.36</v>
      </c>
      <c r="K16" s="34">
        <f t="shared" si="0"/>
        <v>0</v>
      </c>
      <c r="L16" s="3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1.75">
      <c r="A17" s="41"/>
      <c r="B17" s="13" t="s">
        <v>381</v>
      </c>
      <c r="C17" s="34">
        <v>308</v>
      </c>
      <c r="D17" s="34">
        <v>36624</v>
      </c>
      <c r="E17" s="34">
        <v>2010</v>
      </c>
      <c r="F17" s="34"/>
      <c r="G17" s="34"/>
      <c r="H17" s="34"/>
      <c r="I17" s="34"/>
      <c r="J17" s="34"/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51.75">
      <c r="A18" s="41"/>
      <c r="B18" s="13" t="s">
        <v>444</v>
      </c>
      <c r="C18" s="34">
        <v>229.6</v>
      </c>
      <c r="D18" s="34">
        <v>25048</v>
      </c>
      <c r="E18" s="34">
        <v>1737</v>
      </c>
      <c r="F18" s="34">
        <v>1498</v>
      </c>
      <c r="G18" s="34"/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1"/>
      <c r="B19" s="13" t="s">
        <v>55</v>
      </c>
      <c r="C19" s="34">
        <v>348.9</v>
      </c>
      <c r="D19" s="34">
        <v>33385</v>
      </c>
      <c r="E19" s="34">
        <v>8662</v>
      </c>
      <c r="F19" s="34"/>
      <c r="G19" s="34"/>
      <c r="H19" s="34"/>
      <c r="I19" s="34"/>
      <c r="J19" s="34"/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56</v>
      </c>
      <c r="C20" s="34">
        <v>215.3</v>
      </c>
      <c r="D20" s="34">
        <v>54777</v>
      </c>
      <c r="E20" s="34">
        <v>2056</v>
      </c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51.75">
      <c r="A21" s="41"/>
      <c r="B21" s="13" t="s">
        <v>57</v>
      </c>
      <c r="C21" s="34">
        <v>222.7</v>
      </c>
      <c r="D21" s="34">
        <v>37821</v>
      </c>
      <c r="E21" s="34">
        <v>2056</v>
      </c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58</v>
      </c>
      <c r="C22" s="34">
        <v>185.6</v>
      </c>
      <c r="D22" s="34">
        <v>43156</v>
      </c>
      <c r="E22" s="34">
        <v>4024</v>
      </c>
      <c r="F22" s="34"/>
      <c r="G22" s="34"/>
      <c r="H22" s="34"/>
      <c r="I22" s="34"/>
      <c r="J22" s="34"/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382</v>
      </c>
      <c r="C23" s="34">
        <v>477.3</v>
      </c>
      <c r="D23" s="34">
        <v>64269</v>
      </c>
      <c r="E23" s="34">
        <v>18765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59</v>
      </c>
      <c r="C24" s="34">
        <v>400.9</v>
      </c>
      <c r="D24" s="34">
        <v>43384</v>
      </c>
      <c r="E24" s="34">
        <v>10008</v>
      </c>
      <c r="F24" s="34"/>
      <c r="G24" s="34"/>
      <c r="H24" s="34">
        <v>16.25</v>
      </c>
      <c r="I24" s="34">
        <v>1205.18</v>
      </c>
      <c r="J24" s="34">
        <v>177.51</v>
      </c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60</v>
      </c>
      <c r="C25" s="34">
        <v>253.3</v>
      </c>
      <c r="D25" s="34">
        <v>39627</v>
      </c>
      <c r="E25" s="34">
        <v>4643</v>
      </c>
      <c r="F25" s="34"/>
      <c r="G25" s="34"/>
      <c r="H25" s="34"/>
      <c r="I25" s="34"/>
      <c r="J25" s="34"/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61</v>
      </c>
      <c r="C26" s="34">
        <v>300.5</v>
      </c>
      <c r="D26" s="34">
        <v>50842</v>
      </c>
      <c r="E26" s="34">
        <v>12699</v>
      </c>
      <c r="F26" s="34"/>
      <c r="G26" s="34"/>
      <c r="H26" s="34"/>
      <c r="I26" s="34"/>
      <c r="J26" s="34"/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383</v>
      </c>
      <c r="C27" s="34">
        <v>132.8</v>
      </c>
      <c r="D27" s="34">
        <v>9754</v>
      </c>
      <c r="E27" s="34">
        <v>824</v>
      </c>
      <c r="F27" s="34">
        <v>1499</v>
      </c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384</v>
      </c>
      <c r="C28" s="34">
        <v>186.3</v>
      </c>
      <c r="D28" s="34">
        <v>22594</v>
      </c>
      <c r="E28" s="34">
        <v>1541</v>
      </c>
      <c r="F28" s="34"/>
      <c r="G28" s="34"/>
      <c r="H28" s="34"/>
      <c r="I28" s="34"/>
      <c r="J28" s="34"/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385</v>
      </c>
      <c r="C29" s="34">
        <v>332.5</v>
      </c>
      <c r="D29" s="34">
        <v>49987</v>
      </c>
      <c r="E29" s="34">
        <v>9377</v>
      </c>
      <c r="F29" s="34"/>
      <c r="G29" s="34"/>
      <c r="H29" s="34"/>
      <c r="I29" s="34"/>
      <c r="J29" s="34"/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64</v>
      </c>
      <c r="C30" s="34">
        <v>335</v>
      </c>
      <c r="D30" s="34">
        <v>44639</v>
      </c>
      <c r="E30" s="34">
        <v>5182</v>
      </c>
      <c r="F30" s="34"/>
      <c r="G30" s="34"/>
      <c r="H30" s="34"/>
      <c r="I30" s="34"/>
      <c r="J30" s="34"/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1"/>
      <c r="B31" s="13" t="s">
        <v>386</v>
      </c>
      <c r="C31" s="34">
        <v>317.8</v>
      </c>
      <c r="D31" s="34">
        <v>41858</v>
      </c>
      <c r="E31" s="34">
        <v>4403</v>
      </c>
      <c r="F31" s="34"/>
      <c r="G31" s="34"/>
      <c r="H31" s="34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1"/>
      <c r="B32" s="13" t="s">
        <v>225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1"/>
      <c r="B33" s="13" t="s">
        <v>304</v>
      </c>
      <c r="C33" s="34">
        <v>541.1</v>
      </c>
      <c r="D33" s="34">
        <v>47998</v>
      </c>
      <c r="E33" s="34">
        <v>5261</v>
      </c>
      <c r="F33" s="34"/>
      <c r="G33" s="34"/>
      <c r="H33" s="34">
        <v>2.34</v>
      </c>
      <c r="I33" s="34">
        <v>165.71</v>
      </c>
      <c r="J33" s="34">
        <v>154.44</v>
      </c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1"/>
      <c r="B34" s="13" t="s">
        <v>305</v>
      </c>
      <c r="C34" s="34">
        <v>638.9</v>
      </c>
      <c r="D34" s="34">
        <v>42983</v>
      </c>
      <c r="E34" s="34">
        <v>5838</v>
      </c>
      <c r="F34" s="34"/>
      <c r="G34" s="34"/>
      <c r="H34" s="34"/>
      <c r="I34" s="34">
        <v>135.58</v>
      </c>
      <c r="J34" s="34"/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306</v>
      </c>
      <c r="C35" s="34">
        <v>481.2</v>
      </c>
      <c r="D35" s="34">
        <v>17787</v>
      </c>
      <c r="E35" s="34">
        <v>5331</v>
      </c>
      <c r="F35" s="34"/>
      <c r="G35" s="34"/>
      <c r="H35" s="34"/>
      <c r="I35" s="34"/>
      <c r="J35" s="34"/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1"/>
      <c r="B36" s="13" t="s">
        <v>307</v>
      </c>
      <c r="C36" s="34">
        <v>560</v>
      </c>
      <c r="D36" s="34">
        <v>37701</v>
      </c>
      <c r="E36" s="34">
        <v>7004</v>
      </c>
      <c r="F36" s="34"/>
      <c r="G36" s="34"/>
      <c r="H36" s="34"/>
      <c r="I36" s="34"/>
      <c r="J36" s="34"/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1"/>
      <c r="B37" s="13" t="s">
        <v>308</v>
      </c>
      <c r="C37" s="34">
        <v>655</v>
      </c>
      <c r="D37" s="34">
        <v>39967</v>
      </c>
      <c r="E37" s="34">
        <v>8184</v>
      </c>
      <c r="F37" s="34"/>
      <c r="G37" s="34"/>
      <c r="H37" s="34">
        <v>0.67</v>
      </c>
      <c r="I37" s="34">
        <v>42.18</v>
      </c>
      <c r="J37" s="34">
        <v>117.75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309</v>
      </c>
      <c r="C38" s="34">
        <v>662.6</v>
      </c>
      <c r="D38" s="34">
        <v>51657</v>
      </c>
      <c r="E38" s="34">
        <v>4295</v>
      </c>
      <c r="F38" s="34"/>
      <c r="G38" s="34"/>
      <c r="H38" s="34">
        <v>1.94</v>
      </c>
      <c r="I38" s="34">
        <v>99.43</v>
      </c>
      <c r="J38" s="34">
        <v>413.61</v>
      </c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51.75">
      <c r="A39" s="41"/>
      <c r="B39" s="13" t="s">
        <v>471</v>
      </c>
      <c r="C39" s="34">
        <v>560</v>
      </c>
      <c r="D39" s="34">
        <v>69247</v>
      </c>
      <c r="E39" s="34">
        <v>9906</v>
      </c>
      <c r="F39" s="34"/>
      <c r="G39" s="34"/>
      <c r="H39" s="34">
        <v>22.51</v>
      </c>
      <c r="I39" s="34">
        <v>5483.58</v>
      </c>
      <c r="J39" s="34">
        <v>59.17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310</v>
      </c>
      <c r="C40" s="34">
        <v>520.5</v>
      </c>
      <c r="D40" s="34">
        <v>33216</v>
      </c>
      <c r="E40" s="34">
        <v>4746</v>
      </c>
      <c r="F40" s="34"/>
      <c r="G40" s="34"/>
      <c r="H40" s="34">
        <v>0.94</v>
      </c>
      <c r="I40" s="34">
        <v>9.04</v>
      </c>
      <c r="J40" s="34">
        <v>0.59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1"/>
      <c r="B41" s="13" t="s">
        <v>311</v>
      </c>
      <c r="C41" s="34">
        <v>757</v>
      </c>
      <c r="D41" s="34">
        <v>48768</v>
      </c>
      <c r="E41" s="34">
        <v>6485</v>
      </c>
      <c r="F41" s="34"/>
      <c r="G41" s="34"/>
      <c r="H41" s="34">
        <v>28.52</v>
      </c>
      <c r="I41" s="34">
        <v>1741.48</v>
      </c>
      <c r="J41" s="34">
        <v>323.67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51.75">
      <c r="A42" s="41"/>
      <c r="B42" s="13" t="s">
        <v>312</v>
      </c>
      <c r="C42" s="34">
        <v>439.3</v>
      </c>
      <c r="D42" s="34">
        <v>37180</v>
      </c>
      <c r="E42" s="34">
        <v>7417</v>
      </c>
      <c r="F42" s="34"/>
      <c r="G42" s="34"/>
      <c r="H42" s="34">
        <v>9.22</v>
      </c>
      <c r="I42" s="34">
        <v>3736.07</v>
      </c>
      <c r="J42" s="34">
        <v>1653.26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313</v>
      </c>
      <c r="C43" s="34">
        <v>192.29</v>
      </c>
      <c r="D43" s="34">
        <v>15600</v>
      </c>
      <c r="E43" s="34">
        <v>332</v>
      </c>
      <c r="F43" s="34">
        <v>1015</v>
      </c>
      <c r="G43" s="34"/>
      <c r="H43" s="34">
        <v>2.5</v>
      </c>
      <c r="I43" s="34">
        <v>7532.39</v>
      </c>
      <c r="J43" s="34">
        <v>23.67</v>
      </c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1.75">
      <c r="A44" s="41"/>
      <c r="B44" s="13" t="s">
        <v>314</v>
      </c>
      <c r="C44" s="34">
        <v>323.6</v>
      </c>
      <c r="D44" s="34">
        <v>23513</v>
      </c>
      <c r="E44" s="34">
        <v>916</v>
      </c>
      <c r="F44" s="34"/>
      <c r="G44" s="34"/>
      <c r="H44" s="34">
        <v>1.23</v>
      </c>
      <c r="I44" s="34">
        <v>2446.52</v>
      </c>
      <c r="J44" s="34">
        <v>96.69</v>
      </c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70</v>
      </c>
      <c r="C45" s="34">
        <v>101.89</v>
      </c>
      <c r="D45" s="34">
        <v>29570</v>
      </c>
      <c r="E45" s="34">
        <v>1274</v>
      </c>
      <c r="F45" s="34"/>
      <c r="G45" s="34"/>
      <c r="H45" s="34"/>
      <c r="I45" s="34"/>
      <c r="J45" s="34"/>
      <c r="K45" s="34"/>
      <c r="L45" s="3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41" t="s">
        <v>170</v>
      </c>
      <c r="B46" s="13" t="s">
        <v>69</v>
      </c>
      <c r="C46" s="34">
        <f aca="true" t="shared" si="1" ref="C46:L46">C47+C49+C50</f>
        <v>785.9300000000001</v>
      </c>
      <c r="D46" s="34">
        <f t="shared" si="1"/>
        <v>226846</v>
      </c>
      <c r="E46" s="34">
        <f t="shared" si="1"/>
        <v>19478</v>
      </c>
      <c r="F46" s="34">
        <f t="shared" si="1"/>
        <v>0</v>
      </c>
      <c r="G46" s="34">
        <f t="shared" si="1"/>
        <v>0</v>
      </c>
      <c r="H46" s="34">
        <f t="shared" si="1"/>
        <v>187.47</v>
      </c>
      <c r="I46" s="34">
        <f t="shared" si="1"/>
        <v>55063</v>
      </c>
      <c r="J46" s="34">
        <f t="shared" si="1"/>
        <v>4253</v>
      </c>
      <c r="K46" s="34">
        <f t="shared" si="1"/>
        <v>0</v>
      </c>
      <c r="L46" s="34">
        <f t="shared" si="1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51.75">
      <c r="A47" s="41"/>
      <c r="B47" s="13" t="s">
        <v>192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 customHeight="1" hidden="1">
      <c r="A48" s="41"/>
      <c r="B48" s="13" t="s">
        <v>232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51.75">
      <c r="A49" s="41"/>
      <c r="B49" s="13" t="s">
        <v>193</v>
      </c>
      <c r="C49" s="34">
        <v>105.86</v>
      </c>
      <c r="D49" s="34">
        <v>66412</v>
      </c>
      <c r="E49" s="34">
        <v>5883</v>
      </c>
      <c r="F49" s="34"/>
      <c r="G49" s="34"/>
      <c r="H49" s="34">
        <v>74.67</v>
      </c>
      <c r="I49" s="34">
        <v>35630</v>
      </c>
      <c r="J49" s="34">
        <v>2912</v>
      </c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51.75">
      <c r="A50" s="41"/>
      <c r="B50" s="13" t="s">
        <v>266</v>
      </c>
      <c r="C50" s="34">
        <v>680.07</v>
      </c>
      <c r="D50" s="34">
        <v>160434</v>
      </c>
      <c r="E50" s="34">
        <v>13595</v>
      </c>
      <c r="F50" s="34"/>
      <c r="G50" s="34"/>
      <c r="H50" s="34">
        <v>112.8</v>
      </c>
      <c r="I50" s="34">
        <v>19433</v>
      </c>
      <c r="J50" s="34">
        <v>1341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 t="s">
        <v>74</v>
      </c>
      <c r="B51" s="13" t="s">
        <v>75</v>
      </c>
      <c r="C51" s="34"/>
      <c r="D51" s="34">
        <v>6945</v>
      </c>
      <c r="E51" s="34"/>
      <c r="F51" s="34"/>
      <c r="G51" s="34"/>
      <c r="H51" s="34"/>
      <c r="I51" s="34"/>
      <c r="J51" s="34"/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7.25">
      <c r="A52" s="45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3"/>
      <c r="B54" s="54" t="s">
        <v>184</v>
      </c>
      <c r="C54" s="55"/>
      <c r="D54" s="55"/>
      <c r="E54" s="55"/>
      <c r="F54" s="55"/>
      <c r="G54" s="55"/>
      <c r="H54" s="55"/>
      <c r="I54" s="55"/>
      <c r="J54" s="55" t="s">
        <v>470</v>
      </c>
      <c r="K54" s="55"/>
      <c r="L54" s="5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</sheetData>
  <mergeCells count="8">
    <mergeCell ref="J2:L3"/>
    <mergeCell ref="J9:L9"/>
    <mergeCell ref="H10:L10"/>
    <mergeCell ref="C6:I6"/>
    <mergeCell ref="B10:B12"/>
    <mergeCell ref="A10:A12"/>
    <mergeCell ref="C10:G10"/>
    <mergeCell ref="E5:G5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1"/>
  <sheetViews>
    <sheetView view="pageBreakPreview" zoomScale="60" zoomScaleNormal="75" workbookViewId="0" topLeftCell="A1">
      <pane xSplit="2" ySplit="12" topLeftCell="C5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2:46" ht="18">
      <c r="B1" s="50"/>
      <c r="J1" s="55" t="s">
        <v>40</v>
      </c>
      <c r="K1" s="55"/>
      <c r="L1" s="5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17.25" hidden="1">
      <c r="J2" s="100" t="s">
        <v>176</v>
      </c>
      <c r="K2" s="101"/>
      <c r="L2" s="10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1"/>
      <c r="K3" s="101"/>
      <c r="L3" s="10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3"/>
      <c r="J4" s="55" t="s">
        <v>472</v>
      </c>
      <c r="K4" s="55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3"/>
      <c r="E5" s="99" t="s">
        <v>177</v>
      </c>
      <c r="F5" s="99"/>
      <c r="G5" s="99"/>
      <c r="K5" s="120"/>
      <c r="L5" s="1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2.25" customHeight="1" hidden="1">
      <c r="B6" s="43"/>
      <c r="C6" s="103" t="s">
        <v>460</v>
      </c>
      <c r="D6" s="103"/>
      <c r="E6" s="103"/>
      <c r="F6" s="103"/>
      <c r="G6" s="103"/>
      <c r="H6" s="103"/>
      <c r="I6" s="103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3"/>
      <c r="C7" s="103"/>
      <c r="D7" s="103"/>
      <c r="E7" s="103"/>
      <c r="F7" s="103"/>
      <c r="G7" s="103"/>
      <c r="H7" s="103"/>
      <c r="I7" s="10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3"/>
      <c r="C8" s="103"/>
      <c r="D8" s="103"/>
      <c r="E8" s="103"/>
      <c r="F8" s="103"/>
      <c r="G8" s="103"/>
      <c r="H8" s="103"/>
      <c r="I8" s="10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3"/>
      <c r="H9" s="102" t="s">
        <v>178</v>
      </c>
      <c r="I9" s="102"/>
      <c r="J9" s="102"/>
      <c r="K9" s="102"/>
      <c r="L9" s="10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05" t="s">
        <v>77</v>
      </c>
      <c r="B10" s="108" t="s">
        <v>84</v>
      </c>
      <c r="C10" s="111" t="s">
        <v>78</v>
      </c>
      <c r="D10" s="112"/>
      <c r="E10" s="112"/>
      <c r="F10" s="112"/>
      <c r="G10" s="113"/>
      <c r="H10" s="111" t="s">
        <v>79</v>
      </c>
      <c r="I10" s="112"/>
      <c r="J10" s="112"/>
      <c r="K10" s="112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06"/>
      <c r="B11" s="118"/>
      <c r="C11" s="11" t="s">
        <v>172</v>
      </c>
      <c r="D11" s="11" t="s">
        <v>173</v>
      </c>
      <c r="E11" s="11" t="s">
        <v>228</v>
      </c>
      <c r="F11" s="11" t="s">
        <v>259</v>
      </c>
      <c r="G11" s="11" t="s">
        <v>83</v>
      </c>
      <c r="H11" s="11" t="s">
        <v>2</v>
      </c>
      <c r="I11" s="11" t="s">
        <v>174</v>
      </c>
      <c r="J11" s="11" t="s">
        <v>228</v>
      </c>
      <c r="K11" s="11" t="s">
        <v>175</v>
      </c>
      <c r="L11" s="11" t="s">
        <v>83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07"/>
      <c r="B12" s="119"/>
      <c r="C12" s="11" t="s">
        <v>80</v>
      </c>
      <c r="D12" s="11" t="s">
        <v>81</v>
      </c>
      <c r="E12" s="11" t="s">
        <v>85</v>
      </c>
      <c r="F12" s="11" t="s">
        <v>85</v>
      </c>
      <c r="G12" s="11" t="s">
        <v>86</v>
      </c>
      <c r="H12" s="11" t="s">
        <v>80</v>
      </c>
      <c r="I12" s="11" t="s">
        <v>81</v>
      </c>
      <c r="J12" s="11" t="s">
        <v>85</v>
      </c>
      <c r="K12" s="11" t="s">
        <v>85</v>
      </c>
      <c r="L12" s="11" t="s">
        <v>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1" t="s">
        <v>106</v>
      </c>
      <c r="B13" s="13" t="s">
        <v>97</v>
      </c>
      <c r="C13" s="46">
        <f aca="true" t="shared" si="0" ref="C13:J13">C14+C15+C16+C17</f>
        <v>488.5</v>
      </c>
      <c r="D13" s="46">
        <f t="shared" si="0"/>
        <v>77514</v>
      </c>
      <c r="E13" s="46">
        <f t="shared" si="0"/>
        <v>2269.7000000000003</v>
      </c>
      <c r="F13" s="46">
        <f t="shared" si="0"/>
        <v>0</v>
      </c>
      <c r="G13" s="46">
        <f t="shared" si="0"/>
        <v>0</v>
      </c>
      <c r="H13" s="46">
        <f t="shared" si="0"/>
        <v>130</v>
      </c>
      <c r="I13" s="46">
        <f t="shared" si="0"/>
        <v>33550</v>
      </c>
      <c r="J13" s="46">
        <f t="shared" si="0"/>
        <v>850</v>
      </c>
      <c r="K13" s="46"/>
      <c r="L13" s="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1"/>
      <c r="B14" s="13" t="s">
        <v>207</v>
      </c>
      <c r="C14" s="46">
        <v>321.5</v>
      </c>
      <c r="D14" s="46">
        <v>38743</v>
      </c>
      <c r="E14" s="46">
        <v>1366</v>
      </c>
      <c r="F14" s="46"/>
      <c r="G14" s="46"/>
      <c r="H14" s="46">
        <v>130</v>
      </c>
      <c r="I14" s="46">
        <v>33550</v>
      </c>
      <c r="J14" s="46">
        <v>850</v>
      </c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0.5" customHeight="1">
      <c r="A15" s="41"/>
      <c r="B15" s="13" t="s">
        <v>208</v>
      </c>
      <c r="C15" s="46">
        <v>137</v>
      </c>
      <c r="D15" s="46">
        <v>27072</v>
      </c>
      <c r="E15" s="46">
        <v>765</v>
      </c>
      <c r="F15" s="46"/>
      <c r="G15" s="46"/>
      <c r="H15" s="46"/>
      <c r="I15" s="46"/>
      <c r="J15" s="46"/>
      <c r="K15" s="46"/>
      <c r="L15" s="4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 customHeight="1">
      <c r="A16" s="41"/>
      <c r="B16" s="13" t="s">
        <v>253</v>
      </c>
      <c r="C16" s="46">
        <v>16.3</v>
      </c>
      <c r="D16" s="46">
        <v>9482</v>
      </c>
      <c r="E16" s="46">
        <v>95.3</v>
      </c>
      <c r="F16" s="46"/>
      <c r="G16" s="46"/>
      <c r="H16" s="46"/>
      <c r="I16" s="46"/>
      <c r="J16" s="46"/>
      <c r="K16" s="46"/>
      <c r="L16" s="4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3.25" customHeight="1">
      <c r="A17" s="41"/>
      <c r="B17" s="13" t="s">
        <v>230</v>
      </c>
      <c r="C17" s="46">
        <v>13.7</v>
      </c>
      <c r="D17" s="46">
        <v>2217</v>
      </c>
      <c r="E17" s="46">
        <v>43.4</v>
      </c>
      <c r="F17" s="46"/>
      <c r="G17" s="46"/>
      <c r="H17" s="46"/>
      <c r="I17" s="46"/>
      <c r="J17" s="46"/>
      <c r="K17" s="46"/>
      <c r="L17" s="4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1" t="s">
        <v>82</v>
      </c>
      <c r="B18" s="13" t="s">
        <v>209</v>
      </c>
      <c r="C18" s="46">
        <f>SUM(C19:C57)</f>
        <v>17489</v>
      </c>
      <c r="D18" s="46">
        <f aca="true" t="shared" si="1" ref="D18:I18">SUM(D19:D57)</f>
        <v>2177847</v>
      </c>
      <c r="E18" s="46">
        <f t="shared" si="1"/>
        <v>231723</v>
      </c>
      <c r="F18" s="46">
        <f t="shared" si="1"/>
        <v>340312</v>
      </c>
      <c r="G18" s="46">
        <f t="shared" si="1"/>
        <v>634.7</v>
      </c>
      <c r="H18" s="46">
        <f t="shared" si="1"/>
        <v>786.27</v>
      </c>
      <c r="I18" s="46">
        <f t="shared" si="1"/>
        <v>312977</v>
      </c>
      <c r="J18" s="46">
        <f>SUM(J19:J57)</f>
        <v>18818</v>
      </c>
      <c r="K18" s="46">
        <f>SUM(K19:K57)</f>
        <v>18547</v>
      </c>
      <c r="L18" s="46">
        <f>SUM(L19:L57)</f>
        <v>0.13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4.5">
      <c r="A19" s="41"/>
      <c r="B19" s="13" t="s">
        <v>389</v>
      </c>
      <c r="C19" s="46">
        <v>135</v>
      </c>
      <c r="D19" s="46">
        <f>61834+5736</f>
        <v>67570</v>
      </c>
      <c r="E19" s="46">
        <v>4712</v>
      </c>
      <c r="F19" s="46"/>
      <c r="G19" s="46"/>
      <c r="H19" s="46"/>
      <c r="I19" s="46"/>
      <c r="J19" s="46"/>
      <c r="K19" s="46"/>
      <c r="L19" s="4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1"/>
      <c r="B20" s="13" t="s">
        <v>390</v>
      </c>
      <c r="C20" s="46">
        <v>157</v>
      </c>
      <c r="D20" s="46">
        <f>36659+12913</f>
        <v>49572</v>
      </c>
      <c r="E20" s="46">
        <v>4256</v>
      </c>
      <c r="F20" s="46"/>
      <c r="G20" s="46"/>
      <c r="H20" s="46">
        <v>0.56</v>
      </c>
      <c r="I20" s="46">
        <v>38</v>
      </c>
      <c r="J20" s="46">
        <v>7</v>
      </c>
      <c r="K20" s="46"/>
      <c r="L20" s="4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63" customHeight="1">
      <c r="A21" s="41"/>
      <c r="B21" s="13" t="s">
        <v>391</v>
      </c>
      <c r="C21" s="46">
        <v>150</v>
      </c>
      <c r="D21" s="46">
        <f>61344+5551</f>
        <v>66895</v>
      </c>
      <c r="E21" s="46">
        <v>2193</v>
      </c>
      <c r="F21" s="46"/>
      <c r="G21" s="46"/>
      <c r="H21" s="46"/>
      <c r="I21" s="46"/>
      <c r="J21" s="46"/>
      <c r="K21" s="46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1"/>
      <c r="B22" s="13" t="s">
        <v>392</v>
      </c>
      <c r="C22" s="46">
        <v>480</v>
      </c>
      <c r="D22" s="46">
        <f>94741+1256</f>
        <v>95997</v>
      </c>
      <c r="E22" s="46">
        <v>6967</v>
      </c>
      <c r="F22" s="46"/>
      <c r="G22" s="46"/>
      <c r="H22" s="46">
        <v>0.86</v>
      </c>
      <c r="I22" s="46">
        <v>50</v>
      </c>
      <c r="J22" s="46">
        <v>6</v>
      </c>
      <c r="K22" s="46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1"/>
      <c r="B23" s="13" t="s">
        <v>393</v>
      </c>
      <c r="C23" s="46">
        <v>511</v>
      </c>
      <c r="D23" s="46">
        <v>66163</v>
      </c>
      <c r="E23" s="46">
        <v>4690</v>
      </c>
      <c r="F23" s="46"/>
      <c r="G23" s="46">
        <v>59.7</v>
      </c>
      <c r="H23" s="46"/>
      <c r="I23" s="46"/>
      <c r="J23" s="46"/>
      <c r="K23" s="46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1"/>
      <c r="B24" s="13" t="s">
        <v>394</v>
      </c>
      <c r="C24" s="46">
        <v>211</v>
      </c>
      <c r="D24" s="46">
        <v>71563</v>
      </c>
      <c r="E24" s="46">
        <v>4469</v>
      </c>
      <c r="F24" s="46"/>
      <c r="G24" s="46"/>
      <c r="H24" s="46"/>
      <c r="I24" s="46"/>
      <c r="J24" s="46"/>
      <c r="K24" s="46"/>
      <c r="L24" s="4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1"/>
      <c r="B25" s="13" t="s">
        <v>395</v>
      </c>
      <c r="C25" s="46">
        <v>139</v>
      </c>
      <c r="D25" s="46">
        <v>58144</v>
      </c>
      <c r="E25" s="46">
        <v>3504</v>
      </c>
      <c r="F25" s="46"/>
      <c r="G25" s="46"/>
      <c r="H25" s="46"/>
      <c r="I25" s="46"/>
      <c r="J25" s="46"/>
      <c r="K25" s="46"/>
      <c r="L25" s="4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1"/>
      <c r="B26" s="13" t="s">
        <v>396</v>
      </c>
      <c r="C26" s="46">
        <v>294</v>
      </c>
      <c r="D26" s="46">
        <v>76259</v>
      </c>
      <c r="E26" s="46">
        <v>4476</v>
      </c>
      <c r="F26" s="46"/>
      <c r="G26" s="46"/>
      <c r="H26" s="46"/>
      <c r="I26" s="46"/>
      <c r="J26" s="46"/>
      <c r="K26" s="46"/>
      <c r="L26" s="4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1"/>
      <c r="B27" s="13" t="s">
        <v>397</v>
      </c>
      <c r="C27" s="46">
        <v>236</v>
      </c>
      <c r="D27" s="46">
        <f>74597+12398</f>
        <v>86995</v>
      </c>
      <c r="E27" s="46">
        <v>6946</v>
      </c>
      <c r="F27" s="46"/>
      <c r="G27" s="46"/>
      <c r="H27" s="46">
        <v>2.5</v>
      </c>
      <c r="I27" s="46">
        <v>222</v>
      </c>
      <c r="J27" s="46">
        <v>36</v>
      </c>
      <c r="K27" s="46"/>
      <c r="L27" s="4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1"/>
      <c r="B28" s="13" t="s">
        <v>398</v>
      </c>
      <c r="C28" s="46">
        <v>52</v>
      </c>
      <c r="D28" s="46">
        <v>88319</v>
      </c>
      <c r="E28" s="46">
        <v>6054</v>
      </c>
      <c r="F28" s="46"/>
      <c r="G28" s="46"/>
      <c r="H28" s="46">
        <v>21</v>
      </c>
      <c r="I28" s="46">
        <v>4938</v>
      </c>
      <c r="J28" s="46">
        <v>956</v>
      </c>
      <c r="K28" s="46"/>
      <c r="L28" s="4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1"/>
      <c r="B29" s="13" t="s">
        <v>399</v>
      </c>
      <c r="C29" s="46">
        <v>435</v>
      </c>
      <c r="D29" s="46">
        <f>108475+15014</f>
        <v>123489</v>
      </c>
      <c r="E29" s="46">
        <v>9486</v>
      </c>
      <c r="F29" s="46"/>
      <c r="G29" s="46"/>
      <c r="H29" s="46">
        <v>0.4</v>
      </c>
      <c r="I29" s="46">
        <v>31</v>
      </c>
      <c r="J29" s="46">
        <v>4</v>
      </c>
      <c r="K29" s="46"/>
      <c r="L29" s="4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1"/>
      <c r="B30" s="13" t="s">
        <v>400</v>
      </c>
      <c r="C30" s="46">
        <v>359</v>
      </c>
      <c r="D30" s="46">
        <v>118050</v>
      </c>
      <c r="E30" s="46">
        <v>7756</v>
      </c>
      <c r="F30" s="46"/>
      <c r="G30" s="46"/>
      <c r="H30" s="46">
        <v>40</v>
      </c>
      <c r="I30" s="46">
        <v>1688</v>
      </c>
      <c r="J30" s="46">
        <v>965</v>
      </c>
      <c r="K30" s="46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">
      <c r="A31" s="41"/>
      <c r="B31" s="13" t="s">
        <v>330</v>
      </c>
      <c r="C31" s="46">
        <v>602</v>
      </c>
      <c r="D31" s="46">
        <v>25859</v>
      </c>
      <c r="E31" s="46">
        <v>7506</v>
      </c>
      <c r="F31" s="46"/>
      <c r="G31" s="46"/>
      <c r="H31" s="46"/>
      <c r="I31" s="46">
        <v>3906</v>
      </c>
      <c r="J31" s="46"/>
      <c r="K31" s="46"/>
      <c r="L31" s="4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41"/>
      <c r="B32" s="13" t="s">
        <v>331</v>
      </c>
      <c r="C32" s="46">
        <v>750</v>
      </c>
      <c r="D32" s="46">
        <v>52475</v>
      </c>
      <c r="E32" s="46">
        <v>10249</v>
      </c>
      <c r="F32" s="46"/>
      <c r="G32" s="46"/>
      <c r="H32" s="46">
        <v>2.5</v>
      </c>
      <c r="I32" s="46">
        <v>9219</v>
      </c>
      <c r="J32" s="46">
        <v>35</v>
      </c>
      <c r="K32" s="46"/>
      <c r="L32" s="4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0.75" customHeight="1" hidden="1">
      <c r="A33" s="41"/>
      <c r="B33" s="13" t="s">
        <v>210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86.25">
      <c r="A34" s="41"/>
      <c r="B34" s="13" t="s">
        <v>332</v>
      </c>
      <c r="C34" s="46">
        <v>407</v>
      </c>
      <c r="D34" s="46">
        <v>25338</v>
      </c>
      <c r="E34" s="46">
        <v>3731</v>
      </c>
      <c r="F34" s="46"/>
      <c r="G34" s="46"/>
      <c r="H34" s="46"/>
      <c r="I34" s="46">
        <v>1250</v>
      </c>
      <c r="J34" s="46"/>
      <c r="K34" s="46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1"/>
      <c r="B35" s="13" t="s">
        <v>333</v>
      </c>
      <c r="C35" s="46">
        <v>1302</v>
      </c>
      <c r="D35" s="46">
        <v>240688</v>
      </c>
      <c r="E35" s="46">
        <v>34682</v>
      </c>
      <c r="F35" s="46"/>
      <c r="G35" s="46"/>
      <c r="H35" s="46">
        <v>109</v>
      </c>
      <c r="I35" s="46">
        <v>16250</v>
      </c>
      <c r="J35" s="46">
        <v>176</v>
      </c>
      <c r="K35" s="46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>
      <c r="A36" s="41"/>
      <c r="B36" s="13" t="s">
        <v>334</v>
      </c>
      <c r="C36" s="46">
        <v>1036</v>
      </c>
      <c r="D36" s="46">
        <v>44488</v>
      </c>
      <c r="E36" s="46">
        <v>5614</v>
      </c>
      <c r="F36" s="46"/>
      <c r="G36" s="46"/>
      <c r="H36" s="46">
        <v>4.4</v>
      </c>
      <c r="I36" s="46">
        <v>11297</v>
      </c>
      <c r="J36" s="46">
        <v>25</v>
      </c>
      <c r="K36" s="46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69">
      <c r="A37" s="41"/>
      <c r="B37" s="13" t="s">
        <v>335</v>
      </c>
      <c r="C37" s="46">
        <v>629</v>
      </c>
      <c r="D37" s="46">
        <v>43128</v>
      </c>
      <c r="E37" s="46">
        <v>4974</v>
      </c>
      <c r="F37" s="46"/>
      <c r="G37" s="46"/>
      <c r="H37" s="46">
        <v>1.6</v>
      </c>
      <c r="I37" s="46">
        <v>11600</v>
      </c>
      <c r="J37" s="46">
        <v>8</v>
      </c>
      <c r="K37" s="46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1"/>
      <c r="B38" s="13" t="s">
        <v>336</v>
      </c>
      <c r="C38" s="46">
        <v>925</v>
      </c>
      <c r="D38" s="46">
        <v>44778</v>
      </c>
      <c r="E38" s="46">
        <v>6053</v>
      </c>
      <c r="F38" s="46"/>
      <c r="G38" s="46">
        <v>224</v>
      </c>
      <c r="H38" s="46">
        <v>23.7</v>
      </c>
      <c r="I38" s="46">
        <v>11891</v>
      </c>
      <c r="J38" s="46">
        <v>51</v>
      </c>
      <c r="K38" s="46"/>
      <c r="L38" s="46">
        <v>0.13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1"/>
      <c r="B39" s="13" t="s">
        <v>337</v>
      </c>
      <c r="C39" s="46"/>
      <c r="D39" s="46">
        <v>44753</v>
      </c>
      <c r="E39" s="46">
        <v>11195</v>
      </c>
      <c r="F39" s="46">
        <v>79300</v>
      </c>
      <c r="G39" s="46"/>
      <c r="H39" s="46">
        <v>4.4</v>
      </c>
      <c r="I39" s="46">
        <v>2050</v>
      </c>
      <c r="J39" s="46">
        <v>37</v>
      </c>
      <c r="K39" s="46">
        <v>192</v>
      </c>
      <c r="L39" s="4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1"/>
      <c r="B40" s="13" t="s">
        <v>338</v>
      </c>
      <c r="C40" s="46">
        <v>1049</v>
      </c>
      <c r="D40" s="46">
        <v>59891</v>
      </c>
      <c r="E40" s="46">
        <v>7774</v>
      </c>
      <c r="F40" s="46"/>
      <c r="G40" s="46">
        <v>241</v>
      </c>
      <c r="H40" s="46">
        <v>9.4</v>
      </c>
      <c r="I40" s="46">
        <v>8125</v>
      </c>
      <c r="J40" s="46">
        <v>47</v>
      </c>
      <c r="K40" s="46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1"/>
      <c r="B41" s="13" t="s">
        <v>339</v>
      </c>
      <c r="C41" s="46">
        <v>499</v>
      </c>
      <c r="D41" s="46">
        <v>28247</v>
      </c>
      <c r="E41" s="46">
        <v>375</v>
      </c>
      <c r="F41" s="46"/>
      <c r="G41" s="46">
        <v>110</v>
      </c>
      <c r="H41" s="46"/>
      <c r="I41" s="46">
        <v>2656</v>
      </c>
      <c r="J41" s="46"/>
      <c r="K41" s="46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1"/>
      <c r="B42" s="13" t="s">
        <v>340</v>
      </c>
      <c r="C42" s="46">
        <v>876</v>
      </c>
      <c r="D42" s="46">
        <v>44338</v>
      </c>
      <c r="E42" s="46">
        <v>3070</v>
      </c>
      <c r="F42" s="46">
        <v>114500</v>
      </c>
      <c r="G42" s="46"/>
      <c r="H42" s="46">
        <v>4</v>
      </c>
      <c r="I42" s="46">
        <v>2981</v>
      </c>
      <c r="J42" s="46">
        <v>53</v>
      </c>
      <c r="K42" s="46">
        <v>115</v>
      </c>
      <c r="L42" s="4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1"/>
      <c r="B43" s="13" t="s">
        <v>341</v>
      </c>
      <c r="C43" s="46">
        <v>955</v>
      </c>
      <c r="D43" s="46">
        <v>91303</v>
      </c>
      <c r="E43" s="46">
        <v>12496</v>
      </c>
      <c r="F43" s="46"/>
      <c r="G43" s="46"/>
      <c r="H43" s="46">
        <v>35.2</v>
      </c>
      <c r="I43" s="46">
        <v>6603</v>
      </c>
      <c r="J43" s="46">
        <v>299</v>
      </c>
      <c r="K43" s="46"/>
      <c r="L43" s="4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1"/>
      <c r="B44" s="13" t="s">
        <v>342</v>
      </c>
      <c r="C44" s="46">
        <v>302</v>
      </c>
      <c r="D44" s="46">
        <v>16863</v>
      </c>
      <c r="E44" s="46">
        <v>296</v>
      </c>
      <c r="F44" s="46">
        <v>34800</v>
      </c>
      <c r="G44" s="46"/>
      <c r="H44" s="46"/>
      <c r="I44" s="46">
        <v>3750</v>
      </c>
      <c r="J44" s="46"/>
      <c r="K44" s="46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1"/>
      <c r="B45" s="13" t="s">
        <v>343</v>
      </c>
      <c r="C45" s="46">
        <v>911</v>
      </c>
      <c r="D45" s="46">
        <v>51600</v>
      </c>
      <c r="E45" s="46">
        <v>3674</v>
      </c>
      <c r="F45" s="46"/>
      <c r="G45" s="46"/>
      <c r="H45" s="46">
        <v>2.6</v>
      </c>
      <c r="I45" s="46">
        <v>14094</v>
      </c>
      <c r="J45" s="46">
        <v>11</v>
      </c>
      <c r="K45" s="46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69">
      <c r="A46" s="41"/>
      <c r="B46" s="13" t="s">
        <v>345</v>
      </c>
      <c r="C46" s="46">
        <v>513</v>
      </c>
      <c r="D46" s="46">
        <v>26719</v>
      </c>
      <c r="E46" s="46">
        <v>3338</v>
      </c>
      <c r="F46" s="46"/>
      <c r="G46" s="46"/>
      <c r="H46" s="46">
        <v>1.95</v>
      </c>
      <c r="I46" s="46">
        <v>4219</v>
      </c>
      <c r="J46" s="46">
        <v>7</v>
      </c>
      <c r="K46" s="46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69">
      <c r="A47" s="41"/>
      <c r="B47" s="13" t="s">
        <v>346</v>
      </c>
      <c r="C47" s="46"/>
      <c r="D47" s="46">
        <v>64231</v>
      </c>
      <c r="E47" s="46">
        <v>9940</v>
      </c>
      <c r="F47" s="46">
        <v>111712</v>
      </c>
      <c r="G47" s="46"/>
      <c r="H47" s="46"/>
      <c r="I47" s="46">
        <v>1250</v>
      </c>
      <c r="J47" s="46"/>
      <c r="K47" s="46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>
      <c r="A48" s="41"/>
      <c r="B48" s="13" t="s">
        <v>347</v>
      </c>
      <c r="C48" s="46">
        <v>595</v>
      </c>
      <c r="D48" s="46">
        <v>36313</v>
      </c>
      <c r="E48" s="46">
        <v>5217</v>
      </c>
      <c r="F48" s="46"/>
      <c r="G48" s="46"/>
      <c r="H48" s="46"/>
      <c r="I48" s="46">
        <v>9688</v>
      </c>
      <c r="J48" s="46"/>
      <c r="K48" s="46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1"/>
      <c r="B49" s="13" t="s">
        <v>348</v>
      </c>
      <c r="C49" s="46">
        <v>615</v>
      </c>
      <c r="D49" s="46">
        <v>29384</v>
      </c>
      <c r="E49" s="46">
        <v>14659</v>
      </c>
      <c r="F49" s="46"/>
      <c r="G49" s="46"/>
      <c r="H49" s="46">
        <v>4.4</v>
      </c>
      <c r="I49" s="46">
        <v>14375</v>
      </c>
      <c r="J49" s="46">
        <v>78</v>
      </c>
      <c r="K49" s="46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1"/>
      <c r="B50" s="13" t="s">
        <v>349</v>
      </c>
      <c r="C50" s="46">
        <v>966</v>
      </c>
      <c r="D50" s="46">
        <v>80903</v>
      </c>
      <c r="E50" s="46">
        <v>9471</v>
      </c>
      <c r="F50" s="46"/>
      <c r="G50" s="46"/>
      <c r="H50" s="46">
        <v>16.3</v>
      </c>
      <c r="I50" s="46">
        <v>16541</v>
      </c>
      <c r="J50" s="46">
        <v>360</v>
      </c>
      <c r="K50" s="46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1"/>
      <c r="B51" s="13" t="s">
        <v>350</v>
      </c>
      <c r="C51" s="46">
        <v>803</v>
      </c>
      <c r="D51" s="46">
        <v>46672</v>
      </c>
      <c r="E51" s="46">
        <v>5770</v>
      </c>
      <c r="F51" s="46"/>
      <c r="G51" s="46"/>
      <c r="H51" s="46">
        <v>0.2</v>
      </c>
      <c r="I51" s="46">
        <v>6569</v>
      </c>
      <c r="J51" s="46">
        <v>1</v>
      </c>
      <c r="K51" s="46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51.75" hidden="1">
      <c r="A52" s="41"/>
      <c r="B52" s="13" t="s">
        <v>351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69" hidden="1">
      <c r="A53" s="41"/>
      <c r="B53" s="13" t="s">
        <v>352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86.25">
      <c r="A54" s="41"/>
      <c r="B54" s="13" t="s">
        <v>353</v>
      </c>
      <c r="C54" s="46">
        <v>418</v>
      </c>
      <c r="D54" s="46">
        <v>64669</v>
      </c>
      <c r="E54" s="46">
        <v>5476</v>
      </c>
      <c r="F54" s="46"/>
      <c r="G54" s="46"/>
      <c r="H54" s="46">
        <v>12.3</v>
      </c>
      <c r="I54" s="46">
        <v>638</v>
      </c>
      <c r="J54" s="46">
        <v>102</v>
      </c>
      <c r="K54" s="46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1"/>
      <c r="B55" s="13" t="s">
        <v>3</v>
      </c>
      <c r="C55" s="46"/>
      <c r="D55" s="46"/>
      <c r="E55" s="46"/>
      <c r="F55" s="46"/>
      <c r="G55" s="46"/>
      <c r="H55" s="46">
        <v>489</v>
      </c>
      <c r="I55" s="46">
        <v>147058</v>
      </c>
      <c r="J55" s="46">
        <v>15554</v>
      </c>
      <c r="K55" s="46">
        <v>18240</v>
      </c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7.25">
      <c r="A56" s="41"/>
      <c r="B56" s="13" t="s">
        <v>213</v>
      </c>
      <c r="C56" s="46">
        <v>177</v>
      </c>
      <c r="D56" s="46">
        <v>46191</v>
      </c>
      <c r="E56" s="46">
        <v>654</v>
      </c>
      <c r="F56" s="46"/>
      <c r="G56" s="46"/>
      <c r="H56" s="46"/>
      <c r="I56" s="46"/>
      <c r="J56" s="46"/>
      <c r="K56" s="46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4.5" hidden="1">
      <c r="A57" s="41"/>
      <c r="B57" s="13" t="s">
        <v>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49.5" customHeight="1">
      <c r="A58" s="41" t="s">
        <v>170</v>
      </c>
      <c r="B58" s="13" t="s">
        <v>212</v>
      </c>
      <c r="C58" s="46">
        <f>C59+C60+C61+C62+C63+C64+C65</f>
        <v>4560</v>
      </c>
      <c r="D58" s="46">
        <f>D59+D60+D61+D62+D63+D64+D65</f>
        <v>1125553</v>
      </c>
      <c r="E58" s="46">
        <f>E59+E60+E61+E62+E63+E64+E65</f>
        <v>169490</v>
      </c>
      <c r="F58" s="46">
        <f>F59+F60+F61+F62+F63+F64+F65</f>
        <v>262453</v>
      </c>
      <c r="G58" s="46">
        <v>0</v>
      </c>
      <c r="H58" s="46">
        <f>H59+H60+H61+H62+H63+H64+H65</f>
        <v>209</v>
      </c>
      <c r="I58" s="46">
        <f>I59+I60+I61+I62+I63+I64+I65</f>
        <v>41561</v>
      </c>
      <c r="J58" s="46">
        <f>J59+J60+J61+J62+J63+J64+J65</f>
        <v>6058</v>
      </c>
      <c r="K58" s="46">
        <f>K59+K60+K61+K62+K63+K64+K65</f>
        <v>8261</v>
      </c>
      <c r="L58" s="46"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1"/>
      <c r="B59" s="13" t="s">
        <v>467</v>
      </c>
      <c r="C59" s="46">
        <v>815</v>
      </c>
      <c r="D59" s="46">
        <v>159000</v>
      </c>
      <c r="E59" s="46">
        <v>36720</v>
      </c>
      <c r="F59" s="46"/>
      <c r="G59" s="46"/>
      <c r="H59" s="46">
        <v>7.5</v>
      </c>
      <c r="I59" s="46">
        <v>2187</v>
      </c>
      <c r="J59" s="46">
        <v>471</v>
      </c>
      <c r="K59" s="46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7.25">
      <c r="A60" s="41"/>
      <c r="B60" s="13" t="s">
        <v>50</v>
      </c>
      <c r="C60" s="46">
        <v>1036</v>
      </c>
      <c r="D60" s="46">
        <f>89700+2643</f>
        <v>92343</v>
      </c>
      <c r="E60" s="64">
        <v>14682</v>
      </c>
      <c r="F60" s="46">
        <v>1960</v>
      </c>
      <c r="G60" s="46"/>
      <c r="H60" s="46">
        <v>16</v>
      </c>
      <c r="I60" s="46">
        <v>4687</v>
      </c>
      <c r="J60" s="46">
        <v>176</v>
      </c>
      <c r="K60" s="46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1"/>
      <c r="B61" s="13" t="s">
        <v>51</v>
      </c>
      <c r="C61" s="46">
        <v>23</v>
      </c>
      <c r="D61" s="46">
        <v>258300</v>
      </c>
      <c r="E61" s="46">
        <v>45294</v>
      </c>
      <c r="F61" s="46">
        <f>184000+16035</f>
        <v>200035</v>
      </c>
      <c r="G61" s="46"/>
      <c r="H61" s="46"/>
      <c r="I61" s="46">
        <v>2500</v>
      </c>
      <c r="J61" s="46">
        <v>588</v>
      </c>
      <c r="K61" s="46">
        <v>3913</v>
      </c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1"/>
      <c r="B62" s="13" t="s">
        <v>52</v>
      </c>
      <c r="C62" s="46">
        <v>1271</v>
      </c>
      <c r="D62" s="46">
        <f>360000+39651</f>
        <v>399651</v>
      </c>
      <c r="E62" s="46">
        <v>63200</v>
      </c>
      <c r="F62" s="46">
        <f>56000+1458</f>
        <v>57458</v>
      </c>
      <c r="G62" s="46"/>
      <c r="H62" s="46">
        <v>62.5</v>
      </c>
      <c r="I62" s="46">
        <v>3125</v>
      </c>
      <c r="J62" s="46">
        <v>1176</v>
      </c>
      <c r="K62" s="46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1"/>
      <c r="B63" s="13" t="s">
        <v>53</v>
      </c>
      <c r="C63" s="46">
        <v>1396</v>
      </c>
      <c r="D63" s="46">
        <v>170804</v>
      </c>
      <c r="E63" s="46">
        <v>7165</v>
      </c>
      <c r="F63" s="46">
        <v>3000</v>
      </c>
      <c r="G63" s="46"/>
      <c r="H63" s="46">
        <v>35</v>
      </c>
      <c r="I63" s="46">
        <v>7187</v>
      </c>
      <c r="J63" s="46">
        <v>118</v>
      </c>
      <c r="K63" s="46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9.5" customHeight="1">
      <c r="A64" s="41"/>
      <c r="B64" s="68" t="s">
        <v>54</v>
      </c>
      <c r="C64" s="46">
        <v>19</v>
      </c>
      <c r="D64" s="46">
        <v>45455</v>
      </c>
      <c r="E64" s="46">
        <v>2429</v>
      </c>
      <c r="F64" s="46"/>
      <c r="G64" s="46"/>
      <c r="H64" s="46">
        <v>88</v>
      </c>
      <c r="I64" s="46">
        <v>21875</v>
      </c>
      <c r="J64" s="46">
        <v>3529</v>
      </c>
      <c r="K64" s="46">
        <v>4348</v>
      </c>
      <c r="L64" s="4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 hidden="1">
      <c r="A65" s="41"/>
      <c r="B65" s="13" t="s">
        <v>163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7.25">
      <c r="A66" s="45"/>
      <c r="B66" s="81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3:46" ht="17.25"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8">
      <c r="A68" s="53"/>
      <c r="B68" s="54" t="s">
        <v>184</v>
      </c>
      <c r="C68" s="55"/>
      <c r="D68" s="55"/>
      <c r="E68" s="55"/>
      <c r="F68" s="55"/>
      <c r="G68" s="55"/>
      <c r="H68" s="55"/>
      <c r="I68" s="55"/>
      <c r="J68" s="55" t="s">
        <v>470</v>
      </c>
      <c r="K68" s="55"/>
      <c r="L68" s="5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8">
      <c r="A69" s="53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8" hidden="1">
      <c r="A70" s="53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8" hidden="1">
      <c r="A71" s="53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8" hidden="1">
      <c r="A72" s="53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8" hidden="1">
      <c r="A73" s="53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8" hidden="1">
      <c r="A74" s="53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8" hidden="1">
      <c r="A75" s="53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8" hidden="1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8" hidden="1">
      <c r="A77" s="53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8" hidden="1">
      <c r="A78" s="5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8" hidden="1">
      <c r="A79" s="53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hidden="1">
      <c r="A80" s="53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hidden="1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hidden="1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hidden="1">
      <c r="A83" s="53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hidden="1">
      <c r="A84" s="53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hidden="1">
      <c r="A85" s="53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8" hidden="1">
      <c r="A86" s="53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8" hidden="1">
      <c r="A87" s="53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8" hidden="1">
      <c r="A88" s="53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8" hidden="1">
      <c r="A89" s="5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8" hidden="1">
      <c r="A90" s="53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8" hidden="1">
      <c r="A91" s="53"/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</sheetData>
  <mergeCells count="9">
    <mergeCell ref="H9:L9"/>
    <mergeCell ref="B10:B12"/>
    <mergeCell ref="A10:A12"/>
    <mergeCell ref="C10:G10"/>
    <mergeCell ref="H10:L10"/>
    <mergeCell ref="K5:L5"/>
    <mergeCell ref="C6:I8"/>
    <mergeCell ref="E5:G5"/>
    <mergeCell ref="J2:L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  <rowBreaks count="2" manualBreakCount="2">
    <brk id="50" max="11" man="1"/>
    <brk id="9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"/>
  <sheetViews>
    <sheetView zoomScale="75" zoomScaleNormal="75" zoomScaleSheetLayoutView="75" workbookViewId="0" topLeftCell="A23">
      <pane xSplit="2" ySplit="11" topLeftCell="F34" activePane="bottomRight" state="frozen"/>
      <selection pane="topLeft" activeCell="A23" sqref="A23"/>
      <selection pane="topRight" activeCell="C23" sqref="C23"/>
      <selection pane="bottomLeft" activeCell="A34" sqref="A34"/>
      <selection pane="bottomRight" activeCell="J26" sqref="J26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6.875" style="7" customWidth="1"/>
    <col min="5" max="5" width="15.75390625" style="7" customWidth="1"/>
    <col min="6" max="6" width="14.875" style="7" customWidth="1"/>
    <col min="7" max="7" width="9.875" style="7" customWidth="1"/>
    <col min="8" max="8" width="11.75390625" style="7" customWidth="1"/>
    <col min="9" max="9" width="14.875" style="7" customWidth="1"/>
    <col min="10" max="10" width="14.00390625" style="7" customWidth="1"/>
    <col min="11" max="11" width="13.00390625" style="7" customWidth="1"/>
    <col min="12" max="12" width="9.875" style="7" customWidth="1"/>
  </cols>
  <sheetData>
    <row r="1" spans="1:46" ht="18" hidden="1">
      <c r="A1" s="53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hidden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 hidden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" hidden="1">
      <c r="A4" s="53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" hidden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" hidden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hidden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8" hidden="1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8" hidden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8" hidden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8" hidden="1">
      <c r="A11" s="53"/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" hidden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hidden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hidden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8" hidden="1">
      <c r="A15" s="53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8" hidden="1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8" hidden="1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8" hidden="1">
      <c r="A18" s="53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8" hidden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hidden="1">
      <c r="A20" s="5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8" hidden="1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8" hidden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60" customFormat="1" ht="18">
      <c r="A23" s="53"/>
      <c r="B23" s="54"/>
      <c r="C23" s="55"/>
      <c r="D23" s="55"/>
      <c r="E23" s="55"/>
      <c r="F23" s="55"/>
      <c r="G23" s="55"/>
      <c r="H23" s="55"/>
      <c r="I23" s="55"/>
      <c r="J23" s="55" t="s">
        <v>41</v>
      </c>
      <c r="K23" s="55"/>
      <c r="L23" s="5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60" customFormat="1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100" t="s">
        <v>176</v>
      </c>
      <c r="K24" s="122"/>
      <c r="L24" s="12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60" customFormat="1" ht="18" hidden="1">
      <c r="A25" s="53"/>
      <c r="B25" s="54"/>
      <c r="C25" s="55"/>
      <c r="D25" s="55"/>
      <c r="E25" s="55"/>
      <c r="F25" s="55"/>
      <c r="G25" s="55"/>
      <c r="H25" s="55"/>
      <c r="I25" s="55"/>
      <c r="J25" s="122"/>
      <c r="K25" s="122"/>
      <c r="L25" s="12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60" customFormat="1" ht="18">
      <c r="A26" s="5"/>
      <c r="B26" s="58"/>
      <c r="C26" s="7"/>
      <c r="D26" s="7"/>
      <c r="E26" s="7"/>
      <c r="F26" s="7"/>
      <c r="G26" s="7"/>
      <c r="H26" s="7"/>
      <c r="I26" s="7"/>
      <c r="J26" s="55" t="s">
        <v>472</v>
      </c>
      <c r="K26" s="55"/>
      <c r="L26" s="5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60" customFormat="1" ht="17.25">
      <c r="A27" s="5"/>
      <c r="B27" s="43"/>
      <c r="C27" s="7"/>
      <c r="D27" s="99" t="s">
        <v>177</v>
      </c>
      <c r="E27" s="99"/>
      <c r="F27" s="99"/>
      <c r="G27" s="7"/>
      <c r="H27" s="7"/>
      <c r="I27" s="7"/>
      <c r="J27" s="7"/>
      <c r="K27" s="120"/>
      <c r="L27" s="1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12" s="60" customFormat="1" ht="17.25">
      <c r="A28" s="5"/>
      <c r="B28" s="43"/>
      <c r="C28" s="103" t="s">
        <v>461</v>
      </c>
      <c r="D28" s="103"/>
      <c r="E28" s="103"/>
      <c r="F28" s="103"/>
      <c r="G28" s="103"/>
      <c r="H28" s="103"/>
      <c r="I28" s="103"/>
      <c r="J28" s="6"/>
      <c r="K28" s="7"/>
      <c r="L28" s="7"/>
    </row>
    <row r="29" spans="1:12" s="60" customFormat="1" ht="17.25">
      <c r="A29" s="5"/>
      <c r="B29" s="43"/>
      <c r="C29" s="103"/>
      <c r="D29" s="103"/>
      <c r="E29" s="103"/>
      <c r="F29" s="103"/>
      <c r="G29" s="103"/>
      <c r="H29" s="103"/>
      <c r="I29" s="103"/>
      <c r="J29" s="7"/>
      <c r="K29" s="7"/>
      <c r="L29" s="7"/>
    </row>
    <row r="30" spans="1:12" s="60" customFormat="1" ht="17.25">
      <c r="A30" s="5"/>
      <c r="B30" s="43"/>
      <c r="C30" s="7"/>
      <c r="D30" s="7"/>
      <c r="E30" s="7"/>
      <c r="F30" s="7"/>
      <c r="G30" s="7"/>
      <c r="H30" s="102" t="s">
        <v>178</v>
      </c>
      <c r="I30" s="102"/>
      <c r="J30" s="102"/>
      <c r="K30" s="102"/>
      <c r="L30" s="102"/>
    </row>
    <row r="31" spans="1:12" s="60" customFormat="1" ht="17.25">
      <c r="A31" s="105" t="s">
        <v>77</v>
      </c>
      <c r="B31" s="108" t="s">
        <v>84</v>
      </c>
      <c r="C31" s="111" t="s">
        <v>78</v>
      </c>
      <c r="D31" s="112"/>
      <c r="E31" s="112"/>
      <c r="F31" s="112"/>
      <c r="G31" s="113"/>
      <c r="H31" s="111" t="s">
        <v>79</v>
      </c>
      <c r="I31" s="112"/>
      <c r="J31" s="112"/>
      <c r="K31" s="112"/>
      <c r="L31" s="113"/>
    </row>
    <row r="32" spans="1:12" s="60" customFormat="1" ht="69">
      <c r="A32" s="106"/>
      <c r="B32" s="118"/>
      <c r="C32" s="11" t="s">
        <v>172</v>
      </c>
      <c r="D32" s="11" t="s">
        <v>173</v>
      </c>
      <c r="E32" s="11" t="s">
        <v>228</v>
      </c>
      <c r="F32" s="11" t="s">
        <v>259</v>
      </c>
      <c r="G32" s="11" t="s">
        <v>83</v>
      </c>
      <c r="H32" s="11" t="s">
        <v>2</v>
      </c>
      <c r="I32" s="11" t="s">
        <v>174</v>
      </c>
      <c r="J32" s="11" t="s">
        <v>228</v>
      </c>
      <c r="K32" s="11" t="s">
        <v>259</v>
      </c>
      <c r="L32" s="11" t="s">
        <v>83</v>
      </c>
    </row>
    <row r="33" spans="1:12" s="60" customFormat="1" ht="17.25">
      <c r="A33" s="107"/>
      <c r="B33" s="119"/>
      <c r="C33" s="11" t="s">
        <v>80</v>
      </c>
      <c r="D33" s="11" t="s">
        <v>81</v>
      </c>
      <c r="E33" s="11" t="s">
        <v>85</v>
      </c>
      <c r="F33" s="11" t="s">
        <v>85</v>
      </c>
      <c r="G33" s="11" t="s">
        <v>86</v>
      </c>
      <c r="H33" s="11" t="s">
        <v>80</v>
      </c>
      <c r="I33" s="11" t="s">
        <v>81</v>
      </c>
      <c r="J33" s="11" t="s">
        <v>85</v>
      </c>
      <c r="K33" s="11" t="s">
        <v>85</v>
      </c>
      <c r="L33" s="11" t="s">
        <v>86</v>
      </c>
    </row>
    <row r="34" spans="1:12" s="60" customFormat="1" ht="34.5">
      <c r="A34" s="26" t="s">
        <v>106</v>
      </c>
      <c r="B34" s="27" t="s">
        <v>97</v>
      </c>
      <c r="C34" s="62">
        <f aca="true" t="shared" si="0" ref="C34:L34">SUM(C35:C38)</f>
        <v>717.6020000000001</v>
      </c>
      <c r="D34" s="62">
        <f t="shared" si="0"/>
        <v>86103.03</v>
      </c>
      <c r="E34" s="62">
        <f t="shared" si="0"/>
        <v>5990.371</v>
      </c>
      <c r="F34" s="47">
        <f t="shared" si="0"/>
        <v>0</v>
      </c>
      <c r="G34" s="47">
        <f t="shared" si="0"/>
        <v>0</v>
      </c>
      <c r="H34" s="62">
        <f t="shared" si="0"/>
        <v>90</v>
      </c>
      <c r="I34" s="62">
        <f t="shared" si="0"/>
        <v>11000</v>
      </c>
      <c r="J34" s="62">
        <f t="shared" si="0"/>
        <v>400</v>
      </c>
      <c r="K34" s="62">
        <f t="shared" si="0"/>
        <v>0</v>
      </c>
      <c r="L34" s="62">
        <f t="shared" si="0"/>
        <v>0</v>
      </c>
    </row>
    <row r="35" spans="1:12" s="60" customFormat="1" ht="17.25">
      <c r="A35" s="26"/>
      <c r="B35" s="27" t="s">
        <v>214</v>
      </c>
      <c r="C35" s="62">
        <v>371.66</v>
      </c>
      <c r="D35" s="62">
        <v>53413</v>
      </c>
      <c r="E35" s="62">
        <v>5336</v>
      </c>
      <c r="F35" s="47"/>
      <c r="G35" s="47"/>
      <c r="H35" s="62">
        <v>90</v>
      </c>
      <c r="I35" s="62">
        <v>11000</v>
      </c>
      <c r="J35" s="62">
        <v>400</v>
      </c>
      <c r="K35" s="62"/>
      <c r="L35" s="62"/>
    </row>
    <row r="36" spans="1:12" s="60" customFormat="1" ht="51.75">
      <c r="A36" s="26"/>
      <c r="B36" s="27" t="s">
        <v>250</v>
      </c>
      <c r="C36" s="62">
        <v>22.258</v>
      </c>
      <c r="D36" s="62">
        <v>4057.03</v>
      </c>
      <c r="E36" s="62">
        <v>234.171</v>
      </c>
      <c r="F36" s="47"/>
      <c r="G36" s="47"/>
      <c r="H36" s="47"/>
      <c r="I36" s="47"/>
      <c r="J36" s="47"/>
      <c r="K36" s="47"/>
      <c r="L36" s="47"/>
    </row>
    <row r="37" spans="1:12" s="60" customFormat="1" ht="69">
      <c r="A37" s="26"/>
      <c r="B37" s="27" t="s">
        <v>226</v>
      </c>
      <c r="C37" s="47">
        <v>267.22</v>
      </c>
      <c r="D37" s="62">
        <v>18504</v>
      </c>
      <c r="E37" s="47">
        <v>420.2</v>
      </c>
      <c r="F37" s="47"/>
      <c r="G37" s="47"/>
      <c r="H37" s="47"/>
      <c r="I37" s="47"/>
      <c r="J37" s="47"/>
      <c r="K37" s="47"/>
      <c r="L37" s="47"/>
    </row>
    <row r="38" spans="1:12" s="60" customFormat="1" ht="34.5">
      <c r="A38" s="26"/>
      <c r="B38" s="27" t="s">
        <v>215</v>
      </c>
      <c r="C38" s="62">
        <v>56.464</v>
      </c>
      <c r="D38" s="62">
        <v>10129</v>
      </c>
      <c r="E38" s="47"/>
      <c r="F38" s="47"/>
      <c r="G38" s="47"/>
      <c r="H38" s="47"/>
      <c r="I38" s="47"/>
      <c r="J38" s="47"/>
      <c r="K38" s="47"/>
      <c r="L38" s="47"/>
    </row>
    <row r="39" spans="1:12" s="60" customFormat="1" ht="51.75">
      <c r="A39" s="26" t="s">
        <v>82</v>
      </c>
      <c r="B39" s="27" t="s">
        <v>216</v>
      </c>
      <c r="C39" s="62">
        <f aca="true" t="shared" si="1" ref="C39:L39">SUM(C40:C65)</f>
        <v>6737.8891670600015</v>
      </c>
      <c r="D39" s="62">
        <f t="shared" si="1"/>
        <v>1018135</v>
      </c>
      <c r="E39" s="62">
        <f t="shared" si="1"/>
        <v>147722.501</v>
      </c>
      <c r="F39" s="62">
        <f t="shared" si="1"/>
        <v>0</v>
      </c>
      <c r="G39" s="62">
        <f t="shared" si="1"/>
        <v>0</v>
      </c>
      <c r="H39" s="62">
        <f t="shared" si="1"/>
        <v>0</v>
      </c>
      <c r="I39" s="62">
        <f t="shared" si="1"/>
        <v>5982</v>
      </c>
      <c r="J39" s="62">
        <f t="shared" si="1"/>
        <v>43.601</v>
      </c>
      <c r="K39" s="62">
        <f t="shared" si="1"/>
        <v>0</v>
      </c>
      <c r="L39" s="62">
        <f t="shared" si="1"/>
        <v>0</v>
      </c>
    </row>
    <row r="40" spans="1:12" s="60" customFormat="1" ht="51.75">
      <c r="A40" s="26"/>
      <c r="B40" s="27" t="s">
        <v>401</v>
      </c>
      <c r="C40" s="62">
        <v>192.9</v>
      </c>
      <c r="D40" s="62">
        <v>49638</v>
      </c>
      <c r="E40" s="62">
        <v>2549.89</v>
      </c>
      <c r="F40" s="62"/>
      <c r="G40" s="62"/>
      <c r="H40" s="62"/>
      <c r="I40" s="62"/>
      <c r="J40" s="62"/>
      <c r="K40" s="62"/>
      <c r="L40" s="62"/>
    </row>
    <row r="41" spans="1:12" s="60" customFormat="1" ht="51.75">
      <c r="A41" s="26"/>
      <c r="B41" s="27" t="s">
        <v>402</v>
      </c>
      <c r="C41" s="62">
        <v>120.983</v>
      </c>
      <c r="D41" s="62">
        <v>58817</v>
      </c>
      <c r="E41" s="62">
        <v>5485.48</v>
      </c>
      <c r="F41" s="62"/>
      <c r="G41" s="62"/>
      <c r="H41" s="62"/>
      <c r="I41" s="62"/>
      <c r="J41" s="62"/>
      <c r="K41" s="62"/>
      <c r="L41" s="62"/>
    </row>
    <row r="42" spans="1:12" s="60" customFormat="1" ht="51.75">
      <c r="A42" s="26"/>
      <c r="B42" s="27" t="s">
        <v>403</v>
      </c>
      <c r="C42" s="62">
        <v>369.4</v>
      </c>
      <c r="D42" s="62">
        <v>59290</v>
      </c>
      <c r="E42" s="62">
        <v>12349.443</v>
      </c>
      <c r="F42" s="62"/>
      <c r="G42" s="62"/>
      <c r="H42" s="62"/>
      <c r="I42" s="62"/>
      <c r="J42" s="62"/>
      <c r="K42" s="62"/>
      <c r="L42" s="62"/>
    </row>
    <row r="43" spans="1:12" s="60" customFormat="1" ht="51.75">
      <c r="A43" s="26"/>
      <c r="B43" s="27" t="s">
        <v>404</v>
      </c>
      <c r="C43" s="62">
        <v>248.73</v>
      </c>
      <c r="D43" s="62">
        <v>39450</v>
      </c>
      <c r="E43" s="62">
        <v>11664.508</v>
      </c>
      <c r="F43" s="62"/>
      <c r="G43" s="62"/>
      <c r="H43" s="62"/>
      <c r="I43" s="62"/>
      <c r="J43" s="62"/>
      <c r="K43" s="62"/>
      <c r="L43" s="62"/>
    </row>
    <row r="44" spans="1:12" s="60" customFormat="1" ht="51.75">
      <c r="A44" s="26"/>
      <c r="B44" s="27" t="s">
        <v>405</v>
      </c>
      <c r="C44" s="62">
        <v>151.35</v>
      </c>
      <c r="D44" s="62">
        <v>40553</v>
      </c>
      <c r="E44" s="62">
        <v>6859.827</v>
      </c>
      <c r="F44" s="62"/>
      <c r="G44" s="62"/>
      <c r="H44" s="62"/>
      <c r="I44" s="62"/>
      <c r="J44" s="62"/>
      <c r="K44" s="62"/>
      <c r="L44" s="62"/>
    </row>
    <row r="45" spans="1:12" s="60" customFormat="1" ht="51.75">
      <c r="A45" s="26"/>
      <c r="B45" s="27" t="s">
        <v>406</v>
      </c>
      <c r="C45" s="62">
        <v>220.53</v>
      </c>
      <c r="D45" s="62">
        <v>65242</v>
      </c>
      <c r="E45" s="62">
        <v>8472.744</v>
      </c>
      <c r="F45" s="62"/>
      <c r="G45" s="62"/>
      <c r="H45" s="62"/>
      <c r="I45" s="62"/>
      <c r="J45" s="62"/>
      <c r="K45" s="62"/>
      <c r="L45" s="62"/>
    </row>
    <row r="46" spans="1:12" s="60" customFormat="1" ht="51.75">
      <c r="A46" s="26"/>
      <c r="B46" s="27" t="s">
        <v>438</v>
      </c>
      <c r="C46" s="62">
        <v>105.15</v>
      </c>
      <c r="D46" s="62">
        <v>66375</v>
      </c>
      <c r="E46" s="62">
        <v>5736.049</v>
      </c>
      <c r="F46" s="62"/>
      <c r="G46" s="62"/>
      <c r="H46" s="62"/>
      <c r="I46" s="62"/>
      <c r="J46" s="62"/>
      <c r="K46" s="62"/>
      <c r="L46" s="62"/>
    </row>
    <row r="47" spans="1:12" s="60" customFormat="1" ht="51.75">
      <c r="A47" s="26"/>
      <c r="B47" s="27" t="s">
        <v>407</v>
      </c>
      <c r="C47" s="62">
        <v>190.6</v>
      </c>
      <c r="D47" s="62">
        <v>71565</v>
      </c>
      <c r="E47" s="62">
        <v>3609.07</v>
      </c>
      <c r="F47" s="62"/>
      <c r="G47" s="62"/>
      <c r="H47" s="62"/>
      <c r="I47" s="62"/>
      <c r="J47" s="62"/>
      <c r="K47" s="62"/>
      <c r="L47" s="62"/>
    </row>
    <row r="48" spans="1:12" s="60" customFormat="1" ht="51.75">
      <c r="A48" s="26"/>
      <c r="B48" s="27" t="s">
        <v>46</v>
      </c>
      <c r="C48" s="62">
        <v>256.747</v>
      </c>
      <c r="D48" s="62">
        <v>49373</v>
      </c>
      <c r="E48" s="62">
        <v>9757.087</v>
      </c>
      <c r="F48" s="62"/>
      <c r="G48" s="62"/>
      <c r="H48" s="62"/>
      <c r="I48" s="62"/>
      <c r="J48" s="62"/>
      <c r="K48" s="62"/>
      <c r="L48" s="62"/>
    </row>
    <row r="49" spans="1:12" s="60" customFormat="1" ht="69">
      <c r="A49" s="26"/>
      <c r="B49" s="27" t="s">
        <v>365</v>
      </c>
      <c r="C49" s="62">
        <v>385.44</v>
      </c>
      <c r="D49" s="62">
        <v>62670</v>
      </c>
      <c r="E49" s="62">
        <v>17838.343</v>
      </c>
      <c r="F49" s="62"/>
      <c r="G49" s="62"/>
      <c r="H49" s="62"/>
      <c r="I49" s="62">
        <v>286</v>
      </c>
      <c r="J49" s="62"/>
      <c r="K49" s="62"/>
      <c r="L49" s="62"/>
    </row>
    <row r="50" spans="1:12" s="60" customFormat="1" ht="69">
      <c r="A50" s="26"/>
      <c r="B50" s="27" t="s">
        <v>354</v>
      </c>
      <c r="C50" s="62">
        <v>115.16</v>
      </c>
      <c r="D50" s="62">
        <v>9644</v>
      </c>
      <c r="E50" s="62">
        <v>1024.221</v>
      </c>
      <c r="F50" s="62"/>
      <c r="G50" s="62"/>
      <c r="H50" s="62"/>
      <c r="I50" s="62"/>
      <c r="J50" s="62"/>
      <c r="K50" s="62"/>
      <c r="L50" s="62"/>
    </row>
    <row r="51" spans="1:12" s="60" customFormat="1" ht="69">
      <c r="A51" s="26"/>
      <c r="B51" s="27" t="s">
        <v>355</v>
      </c>
      <c r="C51" s="62">
        <v>225.38</v>
      </c>
      <c r="D51" s="62">
        <v>22781</v>
      </c>
      <c r="E51" s="62">
        <v>1031.552</v>
      </c>
      <c r="F51" s="62"/>
      <c r="G51" s="62"/>
      <c r="H51" s="62"/>
      <c r="I51" s="62"/>
      <c r="J51" s="62"/>
      <c r="K51" s="62"/>
      <c r="L51" s="62"/>
    </row>
    <row r="52" spans="1:12" s="60" customFormat="1" ht="69">
      <c r="A52" s="26"/>
      <c r="B52" s="27" t="s">
        <v>356</v>
      </c>
      <c r="C52" s="62">
        <v>350.91</v>
      </c>
      <c r="D52" s="62">
        <v>44300</v>
      </c>
      <c r="E52" s="62">
        <v>6214.957</v>
      </c>
      <c r="F52" s="62"/>
      <c r="G52" s="62"/>
      <c r="H52" s="62"/>
      <c r="I52" s="62">
        <v>857</v>
      </c>
      <c r="J52" s="62"/>
      <c r="K52" s="62"/>
      <c r="L52" s="62"/>
    </row>
    <row r="53" spans="1:12" s="60" customFormat="1" ht="69">
      <c r="A53" s="26"/>
      <c r="B53" s="27" t="s">
        <v>357</v>
      </c>
      <c r="C53" s="62">
        <v>349.73</v>
      </c>
      <c r="D53" s="62">
        <v>25090</v>
      </c>
      <c r="E53" s="62">
        <v>3989.42</v>
      </c>
      <c r="F53" s="62"/>
      <c r="G53" s="62"/>
      <c r="H53" s="62"/>
      <c r="I53" s="62"/>
      <c r="J53" s="62"/>
      <c r="K53" s="62"/>
      <c r="L53" s="62"/>
    </row>
    <row r="54" spans="1:12" s="60" customFormat="1" ht="51.75">
      <c r="A54" s="26"/>
      <c r="B54" s="27" t="s">
        <v>358</v>
      </c>
      <c r="C54" s="62">
        <v>956.28</v>
      </c>
      <c r="D54" s="62">
        <v>59985</v>
      </c>
      <c r="E54" s="62">
        <v>17652.525</v>
      </c>
      <c r="F54" s="62"/>
      <c r="G54" s="62"/>
      <c r="H54" s="62"/>
      <c r="I54" s="62">
        <v>1039</v>
      </c>
      <c r="J54" s="62"/>
      <c r="K54" s="62"/>
      <c r="L54" s="62"/>
    </row>
    <row r="55" spans="1:12" s="60" customFormat="1" ht="51.75">
      <c r="A55" s="26"/>
      <c r="B55" s="27" t="s">
        <v>359</v>
      </c>
      <c r="C55" s="62">
        <v>219.65</v>
      </c>
      <c r="D55" s="62">
        <v>58350</v>
      </c>
      <c r="E55" s="62">
        <v>6398.395</v>
      </c>
      <c r="F55" s="62"/>
      <c r="G55" s="62"/>
      <c r="H55" s="62"/>
      <c r="I55" s="62">
        <v>1641</v>
      </c>
      <c r="J55" s="62">
        <v>41.071</v>
      </c>
      <c r="K55" s="62"/>
      <c r="L55" s="62"/>
    </row>
    <row r="56" spans="1:12" s="60" customFormat="1" ht="69">
      <c r="A56" s="26"/>
      <c r="B56" s="27" t="s">
        <v>360</v>
      </c>
      <c r="C56" s="62">
        <v>155.03016706</v>
      </c>
      <c r="D56" s="62">
        <v>16706</v>
      </c>
      <c r="E56" s="62">
        <v>913.194</v>
      </c>
      <c r="F56" s="62"/>
      <c r="G56" s="62"/>
      <c r="H56" s="62"/>
      <c r="I56" s="62">
        <v>83</v>
      </c>
      <c r="J56" s="62"/>
      <c r="K56" s="62"/>
      <c r="L56" s="62"/>
    </row>
    <row r="57" spans="1:12" s="60" customFormat="1" ht="69">
      <c r="A57" s="26"/>
      <c r="B57" s="27" t="s">
        <v>361</v>
      </c>
      <c r="C57" s="62">
        <v>339.383</v>
      </c>
      <c r="D57" s="62">
        <v>28544</v>
      </c>
      <c r="E57" s="62">
        <v>5229.23</v>
      </c>
      <c r="F57" s="62"/>
      <c r="G57" s="62"/>
      <c r="H57" s="62"/>
      <c r="I57" s="62">
        <v>189</v>
      </c>
      <c r="J57" s="62"/>
      <c r="K57" s="62"/>
      <c r="L57" s="62"/>
    </row>
    <row r="58" spans="1:12" s="60" customFormat="1" ht="69">
      <c r="A58" s="26"/>
      <c r="B58" s="27" t="s">
        <v>362</v>
      </c>
      <c r="C58" s="62">
        <v>511.1</v>
      </c>
      <c r="D58" s="62">
        <v>35967</v>
      </c>
      <c r="E58" s="62">
        <v>5926.64</v>
      </c>
      <c r="F58" s="62"/>
      <c r="G58" s="62"/>
      <c r="H58" s="62"/>
      <c r="I58" s="62">
        <v>1598</v>
      </c>
      <c r="J58" s="62"/>
      <c r="K58" s="62"/>
      <c r="L58" s="62"/>
    </row>
    <row r="59" spans="1:12" s="60" customFormat="1" ht="69">
      <c r="A59" s="26"/>
      <c r="B59" s="27" t="s">
        <v>363</v>
      </c>
      <c r="C59" s="62">
        <v>625.89</v>
      </c>
      <c r="D59" s="62">
        <v>83738</v>
      </c>
      <c r="E59" s="62">
        <v>9881.986</v>
      </c>
      <c r="F59" s="62"/>
      <c r="G59" s="62"/>
      <c r="H59" s="62"/>
      <c r="I59" s="62">
        <v>271</v>
      </c>
      <c r="J59" s="62"/>
      <c r="K59" s="62"/>
      <c r="L59" s="62"/>
    </row>
    <row r="60" spans="1:12" s="60" customFormat="1" ht="69">
      <c r="A60" s="26"/>
      <c r="B60" s="27" t="s">
        <v>364</v>
      </c>
      <c r="C60" s="62">
        <v>251.72</v>
      </c>
      <c r="D60" s="62">
        <v>21927</v>
      </c>
      <c r="E60" s="62">
        <v>4221.71</v>
      </c>
      <c r="F60" s="62"/>
      <c r="G60" s="62"/>
      <c r="H60" s="62"/>
      <c r="I60" s="62"/>
      <c r="J60" s="62"/>
      <c r="K60" s="62"/>
      <c r="L60" s="62"/>
    </row>
    <row r="61" spans="1:12" s="60" customFormat="1" ht="17.25" hidden="1">
      <c r="A61" s="26"/>
      <c r="B61" s="27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60" customFormat="1" ht="20.25" customHeight="1">
      <c r="A62" s="26"/>
      <c r="B62" s="27" t="s">
        <v>47</v>
      </c>
      <c r="C62" s="62">
        <v>51.752</v>
      </c>
      <c r="D62" s="62">
        <v>10748</v>
      </c>
      <c r="E62" s="62"/>
      <c r="F62" s="62"/>
      <c r="G62" s="62"/>
      <c r="H62" s="62"/>
      <c r="I62" s="62"/>
      <c r="J62" s="62"/>
      <c r="K62" s="62"/>
      <c r="L62" s="62"/>
    </row>
    <row r="63" spans="1:12" s="60" customFormat="1" ht="17.25">
      <c r="A63" s="26"/>
      <c r="B63" s="27" t="s">
        <v>163</v>
      </c>
      <c r="C63" s="62">
        <v>51.752</v>
      </c>
      <c r="D63" s="62">
        <v>10747</v>
      </c>
      <c r="E63" s="62"/>
      <c r="F63" s="62"/>
      <c r="G63" s="62"/>
      <c r="H63" s="62"/>
      <c r="I63" s="62"/>
      <c r="J63" s="62"/>
      <c r="K63" s="62"/>
      <c r="L63" s="62"/>
    </row>
    <row r="64" spans="1:12" s="60" customFormat="1" ht="51.75">
      <c r="A64" s="26"/>
      <c r="B64" s="13" t="s">
        <v>229</v>
      </c>
      <c r="C64" s="62">
        <v>51.752</v>
      </c>
      <c r="D64" s="62">
        <v>10748</v>
      </c>
      <c r="E64" s="62">
        <v>346.56</v>
      </c>
      <c r="F64" s="62"/>
      <c r="G64" s="62"/>
      <c r="H64" s="62"/>
      <c r="I64" s="62"/>
      <c r="J64" s="62"/>
      <c r="K64" s="62"/>
      <c r="L64" s="62"/>
    </row>
    <row r="65" spans="1:12" s="60" customFormat="1" ht="34.5">
      <c r="A65" s="26"/>
      <c r="B65" s="27" t="s">
        <v>465</v>
      </c>
      <c r="C65" s="62">
        <v>240.57</v>
      </c>
      <c r="D65" s="62">
        <v>15887</v>
      </c>
      <c r="E65" s="62">
        <v>569.67</v>
      </c>
      <c r="F65" s="62"/>
      <c r="G65" s="62"/>
      <c r="H65" s="62"/>
      <c r="I65" s="62">
        <v>18</v>
      </c>
      <c r="J65" s="62">
        <v>2.53</v>
      </c>
      <c r="K65" s="62"/>
      <c r="L65" s="62"/>
    </row>
    <row r="66" spans="1:12" s="60" customFormat="1" ht="34.5">
      <c r="A66" s="26" t="s">
        <v>170</v>
      </c>
      <c r="B66" s="48" t="s">
        <v>217</v>
      </c>
      <c r="C66" s="62">
        <f>SUM(C67:C69)</f>
        <v>3494.79</v>
      </c>
      <c r="D66" s="62">
        <f>SUM(D67:D69)</f>
        <v>588203</v>
      </c>
      <c r="E66" s="62">
        <f>SUM(E67:E69)</f>
        <v>114503.78</v>
      </c>
      <c r="F66" s="62">
        <f>SUM(F67:F69)</f>
        <v>100000</v>
      </c>
      <c r="G66" s="62">
        <f>SUM(G67:G69)</f>
        <v>0</v>
      </c>
      <c r="H66" s="62">
        <f>SUM(H67:H74)</f>
        <v>932.41</v>
      </c>
      <c r="I66" s="62">
        <f>SUM(I67:I74)</f>
        <v>465126</v>
      </c>
      <c r="J66" s="62">
        <f>SUM(J67:J74)</f>
        <v>6593.5599999999995</v>
      </c>
      <c r="K66" s="62">
        <f>SUM(K67:K74)</f>
        <v>85.5</v>
      </c>
      <c r="L66" s="62">
        <f>SUM(L67:L74)</f>
        <v>0</v>
      </c>
    </row>
    <row r="67" spans="1:12" s="60" customFormat="1" ht="51.75">
      <c r="A67" s="26"/>
      <c r="B67" s="27" t="s">
        <v>48</v>
      </c>
      <c r="C67" s="62">
        <v>3450</v>
      </c>
      <c r="D67" s="62">
        <v>570000</v>
      </c>
      <c r="E67" s="62">
        <v>112774</v>
      </c>
      <c r="F67" s="62">
        <v>100000</v>
      </c>
      <c r="G67" s="62"/>
      <c r="H67" s="62">
        <v>68.3</v>
      </c>
      <c r="I67" s="62">
        <v>22526</v>
      </c>
      <c r="J67" s="62">
        <v>273.2</v>
      </c>
      <c r="K67" s="62">
        <v>85.5</v>
      </c>
      <c r="L67" s="62"/>
    </row>
    <row r="68" spans="1:12" s="60" customFormat="1" ht="69">
      <c r="A68" s="26"/>
      <c r="B68" s="27" t="s">
        <v>257</v>
      </c>
      <c r="C68" s="27"/>
      <c r="D68" s="27"/>
      <c r="E68" s="27"/>
      <c r="F68" s="62"/>
      <c r="G68" s="62"/>
      <c r="H68" s="62">
        <v>801.7</v>
      </c>
      <c r="I68" s="62">
        <v>414600</v>
      </c>
      <c r="J68" s="62">
        <v>4552.67</v>
      </c>
      <c r="K68" s="62"/>
      <c r="L68" s="62"/>
    </row>
    <row r="69" spans="1:12" s="60" customFormat="1" ht="51.75">
      <c r="A69" s="26"/>
      <c r="B69" s="33" t="s">
        <v>49</v>
      </c>
      <c r="C69" s="62">
        <f>39.59+5.2</f>
        <v>44.790000000000006</v>
      </c>
      <c r="D69" s="62">
        <v>18203</v>
      </c>
      <c r="E69" s="62">
        <v>1729.78</v>
      </c>
      <c r="F69" s="62"/>
      <c r="G69" s="62"/>
      <c r="H69" s="62">
        <v>62.41</v>
      </c>
      <c r="I69" s="62">
        <v>28000</v>
      </c>
      <c r="J69" s="62">
        <v>1767.69</v>
      </c>
      <c r="K69" s="62"/>
      <c r="L69" s="62"/>
    </row>
    <row r="70" spans="1:12" s="60" customFormat="1" ht="51.75">
      <c r="A70" s="26" t="s">
        <v>74</v>
      </c>
      <c r="B70" s="33" t="s">
        <v>344</v>
      </c>
      <c r="C70" s="62"/>
      <c r="D70" s="62">
        <v>3472</v>
      </c>
      <c r="E70" s="62">
        <v>1504.3</v>
      </c>
      <c r="F70" s="62"/>
      <c r="G70" s="62"/>
      <c r="H70" s="62"/>
      <c r="I70" s="62"/>
      <c r="J70" s="62"/>
      <c r="K70" s="62"/>
      <c r="L70" s="62"/>
    </row>
    <row r="71" spans="1:12" s="60" customFormat="1" ht="17.25">
      <c r="A71" s="3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60" customFormat="1" ht="17.25">
      <c r="A72" s="36"/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60" customFormat="1" ht="18">
      <c r="A73" s="53"/>
      <c r="B73" s="54" t="s">
        <v>184</v>
      </c>
      <c r="C73" s="55"/>
      <c r="D73" s="55"/>
      <c r="E73" s="55"/>
      <c r="F73" s="55"/>
      <c r="G73" s="55"/>
      <c r="H73" s="55"/>
      <c r="I73" s="55"/>
      <c r="J73" s="55" t="s">
        <v>470</v>
      </c>
      <c r="K73" s="55"/>
      <c r="L73" s="7"/>
    </row>
    <row r="74" spans="1:12" s="60" customFormat="1" ht="18">
      <c r="A74" s="53"/>
      <c r="C74" s="55"/>
      <c r="D74" s="55"/>
      <c r="E74" s="55"/>
      <c r="F74" s="55"/>
      <c r="G74" s="55"/>
      <c r="H74" s="55"/>
      <c r="I74" s="55"/>
      <c r="J74" s="55"/>
      <c r="K74" s="55"/>
      <c r="L74" s="7"/>
    </row>
  </sheetData>
  <mergeCells count="9">
    <mergeCell ref="C28:I29"/>
    <mergeCell ref="D27:F27"/>
    <mergeCell ref="J24:L25"/>
    <mergeCell ref="K27:L27"/>
    <mergeCell ref="H30:L30"/>
    <mergeCell ref="A31:A33"/>
    <mergeCell ref="C31:G31"/>
    <mergeCell ref="H31:L31"/>
    <mergeCell ref="B31:B3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1">
      <pane xSplit="2" ySplit="11" topLeftCell="C5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1" width="14.00390625" style="7" customWidth="1"/>
    <col min="12" max="12" width="9.875" style="7" customWidth="1"/>
  </cols>
  <sheetData>
    <row r="1" spans="1:12" ht="18">
      <c r="A1" s="5" t="s">
        <v>238</v>
      </c>
      <c r="B1" s="54"/>
      <c r="J1" s="55" t="s">
        <v>42</v>
      </c>
      <c r="K1" s="55"/>
      <c r="L1" s="52"/>
    </row>
    <row r="2" spans="10:12" ht="2.25" customHeight="1">
      <c r="J2" s="100" t="s">
        <v>176</v>
      </c>
      <c r="K2" s="101"/>
      <c r="L2" s="101"/>
    </row>
    <row r="3" spans="10:12" ht="17.25">
      <c r="J3" s="101"/>
      <c r="K3" s="101"/>
      <c r="L3" s="101"/>
    </row>
    <row r="4" spans="2:12" ht="18">
      <c r="B4" s="43"/>
      <c r="J4" s="55" t="s">
        <v>472</v>
      </c>
      <c r="K4" s="55"/>
      <c r="L4" s="52"/>
    </row>
    <row r="5" spans="2:12" ht="17.25">
      <c r="B5" s="43"/>
      <c r="F5" s="7" t="s">
        <v>177</v>
      </c>
      <c r="K5" s="120"/>
      <c r="L5" s="120"/>
    </row>
    <row r="6" spans="2:10" ht="39.75" customHeight="1">
      <c r="B6" s="43"/>
      <c r="C6" s="103" t="s">
        <v>462</v>
      </c>
      <c r="D6" s="104"/>
      <c r="E6" s="104"/>
      <c r="F6" s="104"/>
      <c r="G6" s="104"/>
      <c r="H6" s="104"/>
      <c r="I6" s="104"/>
      <c r="J6" s="6"/>
    </row>
    <row r="7" spans="2:8" ht="17.25">
      <c r="B7" s="43"/>
      <c r="D7" s="121"/>
      <c r="E7" s="121"/>
      <c r="F7" s="121"/>
      <c r="G7" s="121"/>
      <c r="H7" s="121"/>
    </row>
    <row r="8" spans="2:12" ht="17.25" hidden="1">
      <c r="B8" s="43"/>
      <c r="H8" s="102" t="s">
        <v>178</v>
      </c>
      <c r="I8" s="102"/>
      <c r="J8" s="102"/>
      <c r="K8" s="102"/>
      <c r="L8" s="102"/>
    </row>
    <row r="9" spans="1:12" ht="17.25">
      <c r="A9" s="105" t="s">
        <v>77</v>
      </c>
      <c r="B9" s="108" t="s">
        <v>84</v>
      </c>
      <c r="C9" s="111" t="s">
        <v>78</v>
      </c>
      <c r="D9" s="112"/>
      <c r="E9" s="112"/>
      <c r="F9" s="112"/>
      <c r="G9" s="113"/>
      <c r="H9" s="111" t="s">
        <v>79</v>
      </c>
      <c r="I9" s="112"/>
      <c r="J9" s="112"/>
      <c r="K9" s="112"/>
      <c r="L9" s="113"/>
    </row>
    <row r="10" spans="1:12" ht="69">
      <c r="A10" s="106"/>
      <c r="B10" s="118"/>
      <c r="C10" s="11" t="s">
        <v>172</v>
      </c>
      <c r="D10" s="11" t="s">
        <v>173</v>
      </c>
      <c r="E10" s="11" t="s">
        <v>228</v>
      </c>
      <c r="F10" s="11" t="s">
        <v>259</v>
      </c>
      <c r="G10" s="11" t="s">
        <v>83</v>
      </c>
      <c r="H10" s="11" t="s">
        <v>2</v>
      </c>
      <c r="I10" s="11" t="s">
        <v>174</v>
      </c>
      <c r="J10" s="11" t="s">
        <v>228</v>
      </c>
      <c r="K10" s="11" t="s">
        <v>259</v>
      </c>
      <c r="L10" s="11" t="s">
        <v>83</v>
      </c>
    </row>
    <row r="11" spans="1:12" ht="17.25">
      <c r="A11" s="106"/>
      <c r="B11" s="119"/>
      <c r="C11" s="10" t="s">
        <v>80</v>
      </c>
      <c r="D11" s="10" t="s">
        <v>81</v>
      </c>
      <c r="E11" s="10" t="s">
        <v>85</v>
      </c>
      <c r="F11" s="10" t="s">
        <v>85</v>
      </c>
      <c r="G11" s="10" t="s">
        <v>86</v>
      </c>
      <c r="H11" s="10" t="s">
        <v>80</v>
      </c>
      <c r="I11" s="10" t="s">
        <v>81</v>
      </c>
      <c r="J11" s="10" t="s">
        <v>85</v>
      </c>
      <c r="K11" s="10" t="s">
        <v>85</v>
      </c>
      <c r="L11" s="10" t="s">
        <v>86</v>
      </c>
    </row>
    <row r="12" spans="1:12" ht="34.5">
      <c r="A12" s="41" t="s">
        <v>106</v>
      </c>
      <c r="B12" s="13" t="s">
        <v>97</v>
      </c>
      <c r="C12" s="47">
        <f>C13+C14</f>
        <v>479.04</v>
      </c>
      <c r="D12" s="47">
        <f>SUM(D13:D13)</f>
        <v>33425</v>
      </c>
      <c r="E12" s="47">
        <f>SUM(E13:E13)</f>
        <v>4421.18</v>
      </c>
      <c r="F12" s="29"/>
      <c r="G12" s="29"/>
      <c r="H12" s="29">
        <f>SUM(H13:H13)</f>
        <v>76.27</v>
      </c>
      <c r="I12" s="29">
        <f>SUM(I13:I13)</f>
        <v>18750</v>
      </c>
      <c r="J12" s="29">
        <f>SUM(J13:J13)</f>
        <v>920.58</v>
      </c>
      <c r="K12" s="29"/>
      <c r="L12" s="29"/>
    </row>
    <row r="13" spans="1:12" ht="34.5">
      <c r="A13" s="41"/>
      <c r="B13" s="13" t="s">
        <v>218</v>
      </c>
      <c r="C13" s="47">
        <f>479.04</f>
        <v>479.04</v>
      </c>
      <c r="D13" s="47">
        <v>33425</v>
      </c>
      <c r="E13" s="47">
        <v>4421.18</v>
      </c>
      <c r="F13" s="29"/>
      <c r="G13" s="29"/>
      <c r="H13" s="47">
        <v>76.27</v>
      </c>
      <c r="I13" s="47">
        <v>18750</v>
      </c>
      <c r="J13" s="47">
        <v>920.58</v>
      </c>
      <c r="K13" s="29"/>
      <c r="L13" s="29"/>
    </row>
    <row r="14" spans="1:12" ht="34.5" hidden="1">
      <c r="A14" s="41"/>
      <c r="B14" s="13" t="s">
        <v>223</v>
      </c>
      <c r="C14" s="29"/>
      <c r="D14" s="49"/>
      <c r="E14" s="49"/>
      <c r="F14" s="29"/>
      <c r="G14" s="29"/>
      <c r="H14" s="49"/>
      <c r="I14" s="49"/>
      <c r="J14" s="49"/>
      <c r="K14" s="29"/>
      <c r="L14" s="29"/>
    </row>
    <row r="15" spans="1:12" ht="34.5">
      <c r="A15" s="41" t="s">
        <v>82</v>
      </c>
      <c r="B15" s="13" t="s">
        <v>223</v>
      </c>
      <c r="C15" s="29">
        <f aca="true" t="shared" si="0" ref="C15:L15">SUM(C16:C50)</f>
        <v>20739.428</v>
      </c>
      <c r="D15" s="29">
        <f t="shared" si="0"/>
        <v>2704548</v>
      </c>
      <c r="E15" s="29">
        <f t="shared" si="0"/>
        <v>319815</v>
      </c>
      <c r="F15" s="29">
        <f t="shared" si="0"/>
        <v>6917</v>
      </c>
      <c r="G15" s="29">
        <f t="shared" si="0"/>
        <v>0</v>
      </c>
      <c r="H15" s="29">
        <f t="shared" si="0"/>
        <v>201.18</v>
      </c>
      <c r="I15" s="29">
        <f t="shared" si="0"/>
        <v>49568</v>
      </c>
      <c r="J15" s="29">
        <f t="shared" si="0"/>
        <v>6127</v>
      </c>
      <c r="K15" s="29">
        <f t="shared" si="0"/>
        <v>0</v>
      </c>
      <c r="L15" s="29">
        <f t="shared" si="0"/>
        <v>0</v>
      </c>
    </row>
    <row r="16" spans="1:12" ht="51.75">
      <c r="A16" s="41"/>
      <c r="B16" s="13" t="s">
        <v>408</v>
      </c>
      <c r="C16" s="29">
        <v>328</v>
      </c>
      <c r="D16" s="29">
        <v>115592</v>
      </c>
      <c r="E16" s="29">
        <v>6107</v>
      </c>
      <c r="F16" s="29"/>
      <c r="G16" s="29"/>
      <c r="H16" s="29">
        <v>3.85</v>
      </c>
      <c r="I16" s="29">
        <v>637</v>
      </c>
      <c r="J16" s="29">
        <v>114</v>
      </c>
      <c r="K16" s="29"/>
      <c r="L16" s="29"/>
    </row>
    <row r="17" spans="1:12" ht="34.5">
      <c r="A17" s="41"/>
      <c r="B17" s="13" t="s">
        <v>409</v>
      </c>
      <c r="C17" s="29">
        <v>135</v>
      </c>
      <c r="D17" s="29">
        <v>42568</v>
      </c>
      <c r="E17" s="29">
        <v>3432</v>
      </c>
      <c r="F17" s="29">
        <f>5532+392</f>
        <v>5924</v>
      </c>
      <c r="G17" s="29"/>
      <c r="H17" s="29"/>
      <c r="I17" s="29"/>
      <c r="J17" s="29"/>
      <c r="K17" s="29"/>
      <c r="L17" s="29"/>
    </row>
    <row r="18" spans="1:12" ht="51.75">
      <c r="A18" s="41"/>
      <c r="B18" s="13" t="s">
        <v>410</v>
      </c>
      <c r="C18" s="29">
        <v>156</v>
      </c>
      <c r="D18" s="29">
        <v>70051</v>
      </c>
      <c r="E18" s="29">
        <v>2708</v>
      </c>
      <c r="F18" s="29"/>
      <c r="G18" s="29"/>
      <c r="H18" s="29"/>
      <c r="I18" s="29"/>
      <c r="J18" s="29"/>
      <c r="K18" s="29"/>
      <c r="L18" s="29"/>
    </row>
    <row r="19" spans="1:12" ht="51.75">
      <c r="A19" s="41"/>
      <c r="B19" s="13" t="s">
        <v>411</v>
      </c>
      <c r="C19" s="29">
        <v>148</v>
      </c>
      <c r="D19" s="29">
        <v>39562</v>
      </c>
      <c r="E19" s="29">
        <v>1909</v>
      </c>
      <c r="F19" s="29"/>
      <c r="G19" s="29"/>
      <c r="H19" s="29"/>
      <c r="I19" s="29"/>
      <c r="J19" s="29"/>
      <c r="K19" s="29"/>
      <c r="L19" s="29"/>
    </row>
    <row r="20" spans="1:12" ht="34.5">
      <c r="A20" s="41"/>
      <c r="B20" s="13" t="s">
        <v>412</v>
      </c>
      <c r="C20" s="29">
        <v>222</v>
      </c>
      <c r="D20" s="29">
        <v>42562</v>
      </c>
      <c r="E20" s="29">
        <v>3791</v>
      </c>
      <c r="F20" s="29"/>
      <c r="G20" s="29"/>
      <c r="H20" s="29"/>
      <c r="I20" s="29"/>
      <c r="J20" s="29"/>
      <c r="K20" s="29"/>
      <c r="L20" s="29"/>
    </row>
    <row r="21" spans="1:12" ht="51.75">
      <c r="A21" s="41"/>
      <c r="B21" s="13" t="s">
        <v>413</v>
      </c>
      <c r="C21" s="29">
        <v>328</v>
      </c>
      <c r="D21" s="29">
        <v>100859</v>
      </c>
      <c r="E21" s="29">
        <v>5124</v>
      </c>
      <c r="F21" s="29"/>
      <c r="G21" s="29"/>
      <c r="H21" s="29"/>
      <c r="I21" s="29"/>
      <c r="J21" s="29"/>
      <c r="K21" s="29"/>
      <c r="L21" s="29"/>
    </row>
    <row r="22" spans="1:12" ht="51.75">
      <c r="A22" s="41"/>
      <c r="B22" s="13" t="s">
        <v>414</v>
      </c>
      <c r="C22" s="29">
        <v>422</v>
      </c>
      <c r="D22" s="29">
        <v>68592</v>
      </c>
      <c r="E22" s="29">
        <v>8832</v>
      </c>
      <c r="F22" s="29"/>
      <c r="G22" s="29"/>
      <c r="H22" s="29"/>
      <c r="I22" s="29"/>
      <c r="J22" s="29"/>
      <c r="K22" s="29"/>
      <c r="L22" s="29"/>
    </row>
    <row r="23" spans="1:12" ht="51.75">
      <c r="A23" s="41"/>
      <c r="B23" s="13" t="s">
        <v>415</v>
      </c>
      <c r="C23" s="29">
        <v>460</v>
      </c>
      <c r="D23" s="29">
        <v>56897</v>
      </c>
      <c r="E23" s="29">
        <v>7118</v>
      </c>
      <c r="F23" s="29"/>
      <c r="G23" s="29"/>
      <c r="H23" s="29"/>
      <c r="I23" s="29"/>
      <c r="J23" s="29"/>
      <c r="K23" s="29"/>
      <c r="L23" s="29"/>
    </row>
    <row r="24" spans="1:12" ht="51.75">
      <c r="A24" s="41"/>
      <c r="B24" s="13" t="s">
        <v>416</v>
      </c>
      <c r="C24" s="29">
        <v>213</v>
      </c>
      <c r="D24" s="29">
        <v>61584</v>
      </c>
      <c r="E24" s="29">
        <v>3629</v>
      </c>
      <c r="F24" s="29"/>
      <c r="G24" s="29"/>
      <c r="H24" s="29"/>
      <c r="I24" s="29"/>
      <c r="J24" s="29"/>
      <c r="K24" s="29"/>
      <c r="L24" s="29"/>
    </row>
    <row r="25" spans="1:12" ht="51.75">
      <c r="A25" s="41"/>
      <c r="B25" s="13" t="s">
        <v>417</v>
      </c>
      <c r="C25" s="29">
        <v>516</v>
      </c>
      <c r="D25" s="29">
        <v>46897</v>
      </c>
      <c r="E25" s="29">
        <v>15409</v>
      </c>
      <c r="F25" s="29"/>
      <c r="G25" s="29"/>
      <c r="H25" s="29"/>
      <c r="I25" s="29"/>
      <c r="J25" s="29"/>
      <c r="K25" s="29"/>
      <c r="L25" s="29"/>
    </row>
    <row r="26" spans="1:12" ht="51.75">
      <c r="A26" s="41"/>
      <c r="B26" s="13" t="s">
        <v>418</v>
      </c>
      <c r="C26" s="29">
        <v>434</v>
      </c>
      <c r="D26" s="29">
        <v>42085</v>
      </c>
      <c r="E26" s="29">
        <v>7752</v>
      </c>
      <c r="F26" s="29"/>
      <c r="G26" s="29"/>
      <c r="H26" s="29"/>
      <c r="I26" s="29"/>
      <c r="J26" s="29"/>
      <c r="K26" s="29"/>
      <c r="L26" s="29"/>
    </row>
    <row r="27" spans="1:12" ht="51.75">
      <c r="A27" s="41"/>
      <c r="B27" s="13" t="s">
        <v>419</v>
      </c>
      <c r="C27" s="29">
        <v>406</v>
      </c>
      <c r="D27" s="29">
        <v>81450</v>
      </c>
      <c r="E27" s="29">
        <v>11648</v>
      </c>
      <c r="F27" s="29"/>
      <c r="G27" s="29"/>
      <c r="H27" s="29"/>
      <c r="I27" s="29"/>
      <c r="J27" s="29"/>
      <c r="K27" s="29"/>
      <c r="L27" s="29"/>
    </row>
    <row r="28" spans="1:12" ht="51.75" customHeight="1" hidden="1">
      <c r="A28" s="41"/>
      <c r="B28" s="13" t="s">
        <v>219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51.75">
      <c r="A29" s="41"/>
      <c r="B29" s="13" t="s">
        <v>420</v>
      </c>
      <c r="C29" s="29">
        <v>787</v>
      </c>
      <c r="D29" s="29">
        <v>100102</v>
      </c>
      <c r="E29" s="29">
        <v>28279</v>
      </c>
      <c r="F29" s="29"/>
      <c r="G29" s="29"/>
      <c r="H29" s="29"/>
      <c r="I29" s="29">
        <v>1997</v>
      </c>
      <c r="J29" s="29">
        <v>137</v>
      </c>
      <c r="K29" s="29"/>
      <c r="L29" s="29"/>
    </row>
    <row r="30" spans="1:12" ht="51.75">
      <c r="A30" s="41"/>
      <c r="B30" s="13" t="s">
        <v>421</v>
      </c>
      <c r="C30" s="29">
        <v>979</v>
      </c>
      <c r="D30" s="29">
        <v>58905</v>
      </c>
      <c r="E30" s="29">
        <v>24870</v>
      </c>
      <c r="F30" s="29"/>
      <c r="G30" s="29"/>
      <c r="H30" s="29"/>
      <c r="I30" s="29">
        <v>2687</v>
      </c>
      <c r="J30" s="29">
        <v>300</v>
      </c>
      <c r="K30" s="29"/>
      <c r="L30" s="29"/>
    </row>
    <row r="31" spans="1:12" ht="51.75">
      <c r="A31" s="41"/>
      <c r="B31" s="13" t="s">
        <v>422</v>
      </c>
      <c r="C31" s="29">
        <v>513.68</v>
      </c>
      <c r="D31" s="29">
        <v>100258</v>
      </c>
      <c r="E31" s="29">
        <v>13574</v>
      </c>
      <c r="F31" s="29"/>
      <c r="G31" s="29"/>
      <c r="H31" s="29"/>
      <c r="I31" s="29">
        <v>663</v>
      </c>
      <c r="J31" s="29">
        <v>362</v>
      </c>
      <c r="K31" s="29"/>
      <c r="L31" s="29"/>
    </row>
    <row r="32" spans="1:12" ht="51.75">
      <c r="A32" s="41"/>
      <c r="B32" s="13" t="s">
        <v>30</v>
      </c>
      <c r="C32" s="29">
        <v>825</v>
      </c>
      <c r="D32" s="29">
        <v>81450</v>
      </c>
      <c r="E32" s="29">
        <v>9936</v>
      </c>
      <c r="F32" s="29"/>
      <c r="G32" s="29"/>
      <c r="H32" s="29"/>
      <c r="I32" s="29">
        <v>1980</v>
      </c>
      <c r="J32" s="29">
        <v>951</v>
      </c>
      <c r="K32" s="29"/>
      <c r="L32" s="29"/>
    </row>
    <row r="33" spans="1:12" ht="69">
      <c r="A33" s="41"/>
      <c r="B33" s="13" t="s">
        <v>14</v>
      </c>
      <c r="C33" s="29">
        <v>987</v>
      </c>
      <c r="D33" s="29">
        <v>138620</v>
      </c>
      <c r="E33" s="29">
        <v>12917</v>
      </c>
      <c r="F33" s="29"/>
      <c r="G33" s="29"/>
      <c r="H33" s="29">
        <v>6.33</v>
      </c>
      <c r="I33" s="29">
        <v>560</v>
      </c>
      <c r="J33" s="29">
        <v>203</v>
      </c>
      <c r="K33" s="29"/>
      <c r="L33" s="29"/>
    </row>
    <row r="34" spans="1:12" ht="51.75">
      <c r="A34" s="41"/>
      <c r="B34" s="13" t="s">
        <v>15</v>
      </c>
      <c r="C34" s="29">
        <v>705</v>
      </c>
      <c r="D34" s="29">
        <v>69205</v>
      </c>
      <c r="E34" s="29">
        <v>5147</v>
      </c>
      <c r="F34" s="29"/>
      <c r="G34" s="29"/>
      <c r="H34" s="29"/>
      <c r="I34" s="29"/>
      <c r="J34" s="29"/>
      <c r="K34" s="29"/>
      <c r="L34" s="29"/>
    </row>
    <row r="35" spans="1:12" ht="69">
      <c r="A35" s="41"/>
      <c r="B35" s="13" t="s">
        <v>16</v>
      </c>
      <c r="C35" s="29">
        <v>418.72</v>
      </c>
      <c r="D35" s="29">
        <v>46500</v>
      </c>
      <c r="E35" s="29">
        <v>3764</v>
      </c>
      <c r="F35" s="29"/>
      <c r="G35" s="29"/>
      <c r="H35" s="29"/>
      <c r="I35" s="29"/>
      <c r="J35" s="29"/>
      <c r="K35" s="29"/>
      <c r="L35" s="29"/>
    </row>
    <row r="36" spans="1:12" ht="69">
      <c r="A36" s="41"/>
      <c r="B36" s="13" t="s">
        <v>17</v>
      </c>
      <c r="C36" s="29">
        <v>613.5</v>
      </c>
      <c r="D36" s="29">
        <v>25000</v>
      </c>
      <c r="E36" s="29">
        <v>1999</v>
      </c>
      <c r="F36" s="29"/>
      <c r="G36" s="29"/>
      <c r="H36" s="29"/>
      <c r="I36" s="29"/>
      <c r="J36" s="29"/>
      <c r="K36" s="29"/>
      <c r="L36" s="29"/>
    </row>
    <row r="37" spans="1:12" ht="69">
      <c r="A37" s="41"/>
      <c r="B37" s="13" t="s">
        <v>18</v>
      </c>
      <c r="C37" s="29">
        <v>1406</v>
      </c>
      <c r="D37" s="29">
        <v>125500</v>
      </c>
      <c r="E37" s="29">
        <v>24564</v>
      </c>
      <c r="F37" s="29"/>
      <c r="G37" s="29"/>
      <c r="H37" s="29">
        <v>2</v>
      </c>
      <c r="I37" s="29">
        <v>1933</v>
      </c>
      <c r="J37" s="29">
        <v>205</v>
      </c>
      <c r="K37" s="29"/>
      <c r="L37" s="29"/>
    </row>
    <row r="38" spans="1:12" ht="69">
      <c r="A38" s="41"/>
      <c r="B38" s="13" t="s">
        <v>19</v>
      </c>
      <c r="C38" s="29">
        <v>687</v>
      </c>
      <c r="D38" s="29">
        <v>59500</v>
      </c>
      <c r="E38" s="29">
        <v>4866</v>
      </c>
      <c r="F38" s="29"/>
      <c r="G38" s="29"/>
      <c r="H38" s="29"/>
      <c r="I38" s="29">
        <v>490</v>
      </c>
      <c r="J38" s="29"/>
      <c r="K38" s="29"/>
      <c r="L38" s="29"/>
    </row>
    <row r="39" spans="1:12" ht="34.5">
      <c r="A39" s="41"/>
      <c r="B39" s="13" t="s">
        <v>11</v>
      </c>
      <c r="C39" s="29">
        <v>205</v>
      </c>
      <c r="D39" s="29">
        <v>83800</v>
      </c>
      <c r="E39" s="29">
        <v>1381</v>
      </c>
      <c r="F39" s="29"/>
      <c r="G39" s="29"/>
      <c r="H39" s="29"/>
      <c r="I39" s="29"/>
      <c r="J39" s="29"/>
      <c r="K39" s="29"/>
      <c r="L39" s="29"/>
    </row>
    <row r="40" spans="1:12" ht="86.25">
      <c r="A40" s="41"/>
      <c r="B40" s="13" t="s">
        <v>20</v>
      </c>
      <c r="C40" s="29">
        <v>2138.05</v>
      </c>
      <c r="D40" s="29">
        <v>189930</v>
      </c>
      <c r="E40" s="29">
        <v>10061</v>
      </c>
      <c r="F40" s="29"/>
      <c r="G40" s="29"/>
      <c r="H40" s="29"/>
      <c r="I40" s="29">
        <v>97</v>
      </c>
      <c r="J40" s="29"/>
      <c r="K40" s="29"/>
      <c r="L40" s="29"/>
    </row>
    <row r="41" spans="1:12" ht="69">
      <c r="A41" s="41"/>
      <c r="B41" s="13" t="s">
        <v>21</v>
      </c>
      <c r="C41" s="29">
        <v>402</v>
      </c>
      <c r="D41" s="29">
        <v>35010</v>
      </c>
      <c r="E41" s="29">
        <v>6681</v>
      </c>
      <c r="F41" s="29">
        <f>851+142</f>
        <v>993</v>
      </c>
      <c r="G41" s="29"/>
      <c r="H41" s="29"/>
      <c r="I41" s="29"/>
      <c r="J41" s="29"/>
      <c r="K41" s="29"/>
      <c r="L41" s="29"/>
    </row>
    <row r="42" spans="1:12" ht="69">
      <c r="A42" s="41"/>
      <c r="B42" s="13" t="s">
        <v>22</v>
      </c>
      <c r="C42" s="29">
        <v>1275.2</v>
      </c>
      <c r="D42" s="29">
        <v>39800</v>
      </c>
      <c r="E42" s="29">
        <v>3613</v>
      </c>
      <c r="F42" s="29"/>
      <c r="G42" s="29"/>
      <c r="H42" s="29"/>
      <c r="I42" s="29">
        <v>9687</v>
      </c>
      <c r="J42" s="29">
        <v>397</v>
      </c>
      <c r="K42" s="29"/>
      <c r="L42" s="29"/>
    </row>
    <row r="43" spans="1:12" ht="69">
      <c r="A43" s="41"/>
      <c r="B43" s="13" t="s">
        <v>23</v>
      </c>
      <c r="C43" s="29">
        <v>604</v>
      </c>
      <c r="D43" s="29">
        <v>43350</v>
      </c>
      <c r="E43" s="29">
        <v>4768</v>
      </c>
      <c r="F43" s="29"/>
      <c r="G43" s="29"/>
      <c r="H43" s="29"/>
      <c r="I43" s="29"/>
      <c r="J43" s="29"/>
      <c r="K43" s="29"/>
      <c r="L43" s="29"/>
    </row>
    <row r="44" spans="1:12" ht="69">
      <c r="A44" s="41"/>
      <c r="B44" s="13" t="s">
        <v>24</v>
      </c>
      <c r="C44" s="29">
        <v>728</v>
      </c>
      <c r="D44" s="29">
        <v>190200</v>
      </c>
      <c r="E44" s="29">
        <v>15375</v>
      </c>
      <c r="F44" s="29"/>
      <c r="G44" s="29"/>
      <c r="H44" s="29"/>
      <c r="I44" s="29"/>
      <c r="J44" s="29"/>
      <c r="K44" s="29"/>
      <c r="L44" s="29"/>
    </row>
    <row r="45" spans="1:12" ht="69">
      <c r="A45" s="41"/>
      <c r="B45" s="13" t="s">
        <v>25</v>
      </c>
      <c r="C45" s="29">
        <v>659</v>
      </c>
      <c r="D45" s="29">
        <v>38250</v>
      </c>
      <c r="E45" s="29">
        <v>4574</v>
      </c>
      <c r="F45" s="29"/>
      <c r="G45" s="29"/>
      <c r="H45" s="29"/>
      <c r="I45" s="29"/>
      <c r="J45" s="29"/>
      <c r="K45" s="29"/>
      <c r="L45" s="29"/>
    </row>
    <row r="46" spans="1:12" ht="69">
      <c r="A46" s="41"/>
      <c r="B46" s="13" t="s">
        <v>26</v>
      </c>
      <c r="C46" s="29">
        <v>725</v>
      </c>
      <c r="D46" s="29">
        <v>84600</v>
      </c>
      <c r="E46" s="29">
        <v>14920</v>
      </c>
      <c r="F46" s="29"/>
      <c r="G46" s="29"/>
      <c r="H46" s="29">
        <v>187</v>
      </c>
      <c r="I46" s="29">
        <v>21793</v>
      </c>
      <c r="J46" s="29">
        <v>3458</v>
      </c>
      <c r="K46" s="29"/>
      <c r="L46" s="29"/>
    </row>
    <row r="47" spans="1:12" ht="86.25">
      <c r="A47" s="41"/>
      <c r="B47" s="13" t="s">
        <v>27</v>
      </c>
      <c r="C47" s="29">
        <v>755</v>
      </c>
      <c r="D47" s="29">
        <v>114800</v>
      </c>
      <c r="E47" s="29">
        <v>24443</v>
      </c>
      <c r="F47" s="29"/>
      <c r="G47" s="29"/>
      <c r="H47" s="29"/>
      <c r="I47" s="29">
        <v>2367</v>
      </c>
      <c r="J47" s="29"/>
      <c r="K47" s="29"/>
      <c r="L47" s="29"/>
    </row>
    <row r="48" spans="1:12" ht="51.75">
      <c r="A48" s="41"/>
      <c r="B48" s="13" t="s">
        <v>28</v>
      </c>
      <c r="C48" s="29">
        <v>428</v>
      </c>
      <c r="D48" s="29">
        <v>141167</v>
      </c>
      <c r="E48" s="29">
        <v>8283</v>
      </c>
      <c r="F48" s="29"/>
      <c r="G48" s="29"/>
      <c r="H48" s="29"/>
      <c r="I48" s="29"/>
      <c r="J48" s="29"/>
      <c r="K48" s="29"/>
      <c r="L48" s="29"/>
    </row>
    <row r="49" spans="1:12" ht="86.25">
      <c r="A49" s="41"/>
      <c r="B49" s="13" t="s">
        <v>29</v>
      </c>
      <c r="C49" s="29">
        <v>856</v>
      </c>
      <c r="D49" s="29">
        <v>122568</v>
      </c>
      <c r="E49" s="29">
        <v>17318</v>
      </c>
      <c r="F49" s="29"/>
      <c r="G49" s="29"/>
      <c r="H49" s="29">
        <v>2</v>
      </c>
      <c r="I49" s="29">
        <v>4677</v>
      </c>
      <c r="J49" s="29"/>
      <c r="K49" s="29"/>
      <c r="L49" s="29"/>
    </row>
    <row r="50" spans="1:12" ht="51.75">
      <c r="A50" s="41"/>
      <c r="B50" s="13" t="s">
        <v>211</v>
      </c>
      <c r="C50" s="29">
        <v>274.278</v>
      </c>
      <c r="D50" s="29">
        <v>47334</v>
      </c>
      <c r="E50" s="29">
        <v>1023</v>
      </c>
      <c r="F50" s="29"/>
      <c r="G50" s="29"/>
      <c r="H50" s="29"/>
      <c r="I50" s="29"/>
      <c r="J50" s="29"/>
      <c r="K50" s="29"/>
      <c r="L50" s="29"/>
    </row>
    <row r="51" spans="1:12" ht="34.5">
      <c r="A51" s="41" t="s">
        <v>170</v>
      </c>
      <c r="B51" s="13" t="s">
        <v>224</v>
      </c>
      <c r="C51" s="47">
        <f aca="true" t="shared" si="1" ref="C51:L51">C52+C53+C54+C55+C56</f>
        <v>5191.2</v>
      </c>
      <c r="D51" s="47">
        <f>D52+D53+D54+D55+D56</f>
        <v>1215346</v>
      </c>
      <c r="E51" s="47">
        <f t="shared" si="1"/>
        <v>198498.25</v>
      </c>
      <c r="F51" s="47">
        <f t="shared" si="1"/>
        <v>0</v>
      </c>
      <c r="G51" s="47">
        <f t="shared" si="1"/>
        <v>0</v>
      </c>
      <c r="H51" s="47">
        <f t="shared" si="1"/>
        <v>91.27000000000001</v>
      </c>
      <c r="I51" s="47">
        <f t="shared" si="1"/>
        <v>58334</v>
      </c>
      <c r="J51" s="47">
        <f t="shared" si="1"/>
        <v>4427.33</v>
      </c>
      <c r="K51" s="47">
        <f t="shared" si="1"/>
        <v>0</v>
      </c>
      <c r="L51" s="47">
        <f t="shared" si="1"/>
        <v>0</v>
      </c>
    </row>
    <row r="52" spans="1:12" ht="34.5">
      <c r="A52" s="41"/>
      <c r="B52" s="13" t="s">
        <v>221</v>
      </c>
      <c r="C52" s="29">
        <v>1037.76</v>
      </c>
      <c r="D52" s="29">
        <v>298438</v>
      </c>
      <c r="E52" s="29">
        <v>52188.14</v>
      </c>
      <c r="F52" s="29"/>
      <c r="G52" s="29"/>
      <c r="H52" s="29"/>
      <c r="I52" s="29"/>
      <c r="J52" s="29"/>
      <c r="K52" s="29"/>
      <c r="L52" s="29"/>
    </row>
    <row r="53" spans="1:12" ht="34.5">
      <c r="A53" s="41"/>
      <c r="B53" s="13" t="s">
        <v>222</v>
      </c>
      <c r="C53" s="47">
        <v>1995.39</v>
      </c>
      <c r="D53" s="47">
        <v>307620</v>
      </c>
      <c r="E53" s="47">
        <v>78478.39</v>
      </c>
      <c r="F53" s="47"/>
      <c r="G53" s="47"/>
      <c r="H53" s="47">
        <v>25</v>
      </c>
      <c r="I53" s="47">
        <v>33333</v>
      </c>
      <c r="J53" s="47">
        <v>1234.56</v>
      </c>
      <c r="K53" s="29"/>
      <c r="L53" s="29"/>
    </row>
    <row r="54" spans="1:12" ht="17.25">
      <c r="A54" s="41"/>
      <c r="B54" s="13" t="s">
        <v>12</v>
      </c>
      <c r="C54" s="47">
        <v>1386.6</v>
      </c>
      <c r="D54" s="47">
        <v>408350</v>
      </c>
      <c r="E54" s="47">
        <v>48494</v>
      </c>
      <c r="F54" s="47"/>
      <c r="G54" s="47"/>
      <c r="H54" s="47"/>
      <c r="I54" s="47"/>
      <c r="J54" s="47"/>
      <c r="K54" s="29"/>
      <c r="L54" s="29"/>
    </row>
    <row r="55" spans="1:12" ht="17.25">
      <c r="A55" s="41"/>
      <c r="B55" s="13" t="s">
        <v>231</v>
      </c>
      <c r="C55" s="47">
        <v>670.17</v>
      </c>
      <c r="D55" s="47">
        <v>160625</v>
      </c>
      <c r="E55" s="47">
        <v>15180.72</v>
      </c>
      <c r="F55" s="47"/>
      <c r="G55" s="47"/>
      <c r="H55" s="47">
        <v>6.25</v>
      </c>
      <c r="I55" s="47">
        <v>1563</v>
      </c>
      <c r="J55" s="47">
        <v>180.72</v>
      </c>
      <c r="K55" s="29"/>
      <c r="L55" s="29"/>
    </row>
    <row r="56" spans="1:12" ht="17.25">
      <c r="A56" s="41"/>
      <c r="B56" s="13" t="s">
        <v>13</v>
      </c>
      <c r="C56" s="47">
        <v>101.28</v>
      </c>
      <c r="D56" s="47">
        <v>40313</v>
      </c>
      <c r="E56" s="47">
        <v>4157</v>
      </c>
      <c r="F56" s="47"/>
      <c r="G56" s="47"/>
      <c r="H56" s="47">
        <v>60.02</v>
      </c>
      <c r="I56" s="47">
        <v>23438</v>
      </c>
      <c r="J56" s="47">
        <v>3012.05</v>
      </c>
      <c r="K56" s="29"/>
      <c r="L56" s="29"/>
    </row>
    <row r="58" ht="17.25" customHeight="1" hidden="1"/>
    <row r="59" spans="2:10" ht="18">
      <c r="B59" s="54" t="s">
        <v>184</v>
      </c>
      <c r="C59" s="55"/>
      <c r="D59" s="55"/>
      <c r="E59" s="55"/>
      <c r="F59" s="55"/>
      <c r="G59" s="55"/>
      <c r="H59" s="55"/>
      <c r="I59" s="55"/>
      <c r="J59" s="55" t="s">
        <v>470</v>
      </c>
    </row>
  </sheetData>
  <mergeCells count="9">
    <mergeCell ref="J2:L3"/>
    <mergeCell ref="A9:A11"/>
    <mergeCell ref="C9:G9"/>
    <mergeCell ref="H9:L9"/>
    <mergeCell ref="D7:H7"/>
    <mergeCell ref="B9:B11"/>
    <mergeCell ref="H8:L8"/>
    <mergeCell ref="K5:L5"/>
    <mergeCell ref="C6:I6"/>
  </mergeCells>
  <printOptions/>
  <pageMargins left="0.7874015748031497" right="0.3937007874015748" top="0.5118110236220472" bottom="0.2755905511811024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оргонизейшен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Шулунова</dc:creator>
  <cp:keywords/>
  <dc:description/>
  <cp:lastModifiedBy>Ткачук С.В.</cp:lastModifiedBy>
  <cp:lastPrinted>2006-10-12T07:54:15Z</cp:lastPrinted>
  <dcterms:created xsi:type="dcterms:W3CDTF">2002-12-27T10:13:05Z</dcterms:created>
  <dcterms:modified xsi:type="dcterms:W3CDTF">2006-10-24T09:54:25Z</dcterms:modified>
  <cp:category/>
  <cp:version/>
  <cp:contentType/>
  <cp:contentStatus/>
</cp:coreProperties>
</file>