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325" windowHeight="3870"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definedNames>
    <definedName name="_xlnm.Print_Area" localSheetId="4">'ж'!$A$1:$N$86</definedName>
    <definedName name="_xlnm.Print_Area" localSheetId="6">'З'!$A$1:$N$83</definedName>
    <definedName name="_xlnm.Print_Area" localSheetId="7">'К'!$A$1:$N$81</definedName>
    <definedName name="_xlnm.Print_Area" localSheetId="1">'Л'!$A$1:$N$79</definedName>
    <definedName name="_xlnm.Print_Area" localSheetId="0">'Місто'!$A$1:$N$243</definedName>
    <definedName name="_xlnm.Print_Area" localSheetId="3">'О'!$A$1:$N$83</definedName>
    <definedName name="_xlnm.Print_Area" localSheetId="2">'Х'!$A$1:$N$87</definedName>
    <definedName name="_xlnm.Print_Area" localSheetId="5">'Ш'!$A$1:$N$87</definedName>
  </definedNames>
  <calcPr fullCalcOnLoad="1"/>
</workbook>
</file>

<file path=xl/sharedStrings.xml><?xml version="1.0" encoding="utf-8"?>
<sst xmlns="http://schemas.openxmlformats.org/spreadsheetml/2006/main" count="1496" uniqueCount="452">
  <si>
    <t>Відділ по роботі з документами дозвільного характеру міської ради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</si>
  <si>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</si>
  <si>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</si>
  <si>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Розподіл видатків Комунарського району  на 2006 рік за головними розпорядниками коштів</t>
  </si>
  <si>
    <t>Розподіл видатків Заводського району  на 2006 рік за головними розпорядниками коштів</t>
  </si>
  <si>
    <t>Розподіл видатків Шевченківського району  на 2006 рік за головними розпорядниками коштів</t>
  </si>
  <si>
    <t>Розподіл видатків Жовтневого району  на 2006 рік за головними розпорядникамикоштів</t>
  </si>
  <si>
    <t>Розподіл видатків Орджонікідзевського району на 2006 рік за головними розпорядниками коштів</t>
  </si>
  <si>
    <t>Розподіл видатків Хортицького району на 2006 рік за головними розпорядниками коштів</t>
  </si>
  <si>
    <t>Розподіл видатків Ленінського району на 2006 рік за головними розпорядниками коштів</t>
  </si>
  <si>
    <t>Проведення виборів народних депутатів Верховної Ради Автономної Республіки Крим, місцевих рад та сільських, селищних, міських голів</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</si>
  <si>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</si>
  <si>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 xml:space="preserve">Охорона здоров'я </t>
  </si>
  <si>
    <t>Групи по центральному господарскому обслуговування</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</si>
  <si>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</si>
  <si>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</si>
  <si>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</si>
  <si>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</si>
  <si>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</si>
  <si>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</si>
  <si>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</si>
  <si>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</si>
  <si>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</si>
  <si>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</si>
  <si>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</si>
  <si>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</si>
  <si>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</si>
  <si>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</si>
  <si>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</si>
  <si>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</si>
  <si>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</si>
  <si>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</si>
  <si>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</si>
  <si>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</si>
  <si>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</si>
  <si>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</si>
  <si>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</si>
  <si>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</si>
  <si>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</si>
  <si>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</si>
  <si>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</si>
  <si>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</si>
  <si>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</si>
  <si>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</si>
  <si>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</si>
  <si>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</si>
  <si>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</si>
  <si>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</si>
  <si>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090412</t>
  </si>
  <si>
    <t>091103</t>
  </si>
  <si>
    <t>091204</t>
  </si>
  <si>
    <t>Територіальні центри і відділення соціальної допомоги на дому</t>
  </si>
  <si>
    <t>Капітальний ремонт житлового фонду комунальної власності</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</si>
  <si>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</si>
  <si>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</si>
  <si>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</si>
  <si>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</si>
  <si>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</si>
  <si>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</si>
  <si>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</si>
  <si>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</si>
  <si>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</si>
  <si>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</si>
  <si>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</si>
  <si>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</si>
  <si>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</si>
  <si>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Підтримка малого та середнього підприємництва</t>
  </si>
  <si>
    <t>210105</t>
  </si>
  <si>
    <t xml:space="preserve">Заходи з організації рятування на водах </t>
  </si>
  <si>
    <t>240900</t>
  </si>
  <si>
    <t>Різні виплати</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</si>
  <si>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</si>
  <si>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</si>
  <si>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</si>
  <si>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</si>
  <si>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</si>
  <si>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</si>
  <si>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</si>
  <si>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</si>
  <si>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</si>
  <si>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</si>
  <si>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</si>
  <si>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</si>
  <si>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</si>
  <si>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</si>
  <si>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Хортицька райадміністрація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</si>
  <si>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</si>
  <si>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</si>
  <si>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</si>
  <si>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</si>
  <si>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</si>
  <si>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</si>
  <si>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</si>
  <si>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</si>
  <si>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</si>
  <si>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</si>
  <si>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</si>
  <si>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</si>
  <si>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</si>
  <si>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</si>
  <si>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</si>
  <si>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</si>
  <si>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</si>
  <si>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</si>
  <si>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</si>
  <si>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</si>
  <si>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</si>
  <si>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</si>
  <si>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</si>
  <si>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</si>
  <si>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</si>
  <si>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</si>
  <si>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 до рішення міської ради</t>
  </si>
  <si>
    <t xml:space="preserve">Охорона здоров'я             </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</si>
  <si>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</si>
  <si>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</si>
  <si>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</si>
  <si>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</si>
  <si>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</si>
  <si>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</si>
  <si>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</si>
  <si>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</si>
  <si>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</si>
  <si>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</si>
  <si>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</si>
  <si>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090300</t>
  </si>
  <si>
    <t>090301</t>
  </si>
  <si>
    <t>090302</t>
  </si>
  <si>
    <t>090303</t>
  </si>
  <si>
    <t>090304</t>
  </si>
  <si>
    <t>Виконавчий комітет міської ради</t>
  </si>
  <si>
    <t>Головне управління архітектури та містобудування міської ради</t>
  </si>
  <si>
    <t>Управління житлового господарства міської ради</t>
  </si>
  <si>
    <t>Управління комунального господарства міської ради</t>
  </si>
  <si>
    <t>Управління з питань екології міської ради</t>
  </si>
  <si>
    <t>Управління праці та соціального захисту населення міської ради</t>
  </si>
  <si>
    <t>Управління культури міської ради</t>
  </si>
  <si>
    <t>Управління охорони здоров'я міської ради</t>
  </si>
  <si>
    <t>Управління з питань фізичної культури, спорту та туризму міської ради</t>
  </si>
  <si>
    <t>Комітет у справах сім'ї та молоді міської ради</t>
  </si>
  <si>
    <t>Управління комунальної власності міської ради</t>
  </si>
  <si>
    <t>Відділ реєстрації та єдиного реєстру міської ради</t>
  </si>
  <si>
    <t>Управління у справах приватизації міської ради</t>
  </si>
  <si>
    <t>Управління з питань надзвичайних ситуацій та цивільного захисту населення міської ради</t>
  </si>
  <si>
    <t>Фінансове управління міської ради</t>
  </si>
  <si>
    <t>у тому числі</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</si>
  <si>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</si>
  <si>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</si>
  <si>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</si>
  <si>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</si>
  <si>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 xml:space="preserve">Державна соціальна допомога інвалідам з дитинства та дітям-інвалідам </t>
  </si>
  <si>
    <t xml:space="preserve">Освіта                                                      </t>
  </si>
  <si>
    <t>Преса</t>
  </si>
  <si>
    <t>Управління транспорту та зв'язку міської ради</t>
  </si>
  <si>
    <t xml:space="preserve">      до рішення міської ради</t>
  </si>
  <si>
    <t xml:space="preserve">  до рішення міської ради    </t>
  </si>
  <si>
    <t xml:space="preserve"> Додаток 3.1.                           </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</si>
  <si>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</si>
  <si>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</si>
  <si>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</si>
  <si>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</si>
  <si>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</si>
  <si>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</si>
  <si>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</si>
  <si>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</si>
  <si>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</si>
  <si>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</si>
  <si>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</si>
  <si>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</si>
  <si>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</si>
  <si>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</si>
  <si>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</si>
  <si>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</si>
  <si>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</si>
  <si>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</si>
  <si>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</si>
  <si>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прибання твердого та рідкого пічного побутового палива і скрапленого газу</t>
  </si>
  <si>
    <t xml:space="preserve">Інші видатки на соціальний захист населення </t>
  </si>
  <si>
    <t xml:space="preserve">Програма фінансової підтримки квартальних , будинкових та  вуличних  комітетів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</si>
  <si>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</si>
  <si>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</si>
  <si>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</si>
  <si>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</si>
  <si>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</si>
  <si>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</si>
  <si>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</si>
  <si>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капіталь-ні            (Код 2000)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</si>
  <si>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</si>
  <si>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</si>
  <si>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</si>
  <si>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</si>
  <si>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</si>
  <si>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</si>
  <si>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</si>
  <si>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у тому числі:</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</si>
  <si>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</si>
  <si>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придбання твердого та рідкого пічного побутового палива і скрапленого газу</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</si>
  <si>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</si>
  <si>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</si>
  <si>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</si>
  <si>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</si>
  <si>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ВСЬОГО  ВИДАТКІВ</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</si>
  <si>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</si>
  <si>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</si>
  <si>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Допомога у зв`язку з вагітністю і пологами </t>
  </si>
  <si>
    <t xml:space="preserve">Державнв соціальна допомога малозабеспеченим сім"ям </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</si>
  <si>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</si>
  <si>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Фінансова підтримка громадських організацій інвалідів і ветеранів</t>
  </si>
  <si>
    <t>Державна соціальна допомога інвалідам з дитинства та дітям - інвалідам -</t>
  </si>
  <si>
    <t xml:space="preserve">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</si>
  <si>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</si>
  <si>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</si>
  <si>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</si>
  <si>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</si>
  <si>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на сплату електроенергії,природного газу, послуг тепло-водопостачання і водовідведення, квартирної плати , вивезення побутового сміття та рідких нечистот </t>
  </si>
  <si>
    <t>Допомога на  догляд за дитиною віком до 3-х років незастрахованим матерям</t>
  </si>
  <si>
    <t>на оплату електроенергії, природного газу, послуг тепло-, водопостачання і водовідведення, квартирної  плати,вивезення побутового сміття та рідких нечистот</t>
  </si>
  <si>
    <t xml:space="preserve"> на придбання твердого  та рідкого пічного побутового палива і  скрапленого газу</t>
  </si>
  <si>
    <t>Цільові фонди, утворені органами місцевого самоврядування</t>
  </si>
  <si>
    <t xml:space="preserve">Інші видатки   </t>
  </si>
  <si>
    <t>Державна допомога сім`ям з дітьми-Управління праці та соціального захисту  населення Жовтневої райадміністраціі</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</si>
  <si>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</si>
  <si>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</si>
  <si>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</si>
  <si>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в тому числі</t>
  </si>
  <si>
    <t xml:space="preserve"> Додаток 3.3.                           </t>
  </si>
  <si>
    <t>Видатки на поховання безрідних та невідомих громадян міста</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</si>
  <si>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</si>
  <si>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</si>
  <si>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</si>
  <si>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Групи по ценралізованому господарському обслуговуванню</t>
  </si>
  <si>
    <t>081009</t>
  </si>
  <si>
    <t>Програма "Спеціалізований депутатський фонд"</t>
  </si>
  <si>
    <t>090306</t>
  </si>
  <si>
    <t>Допомога малозабезпеченим сім'ям з дітьми</t>
  </si>
  <si>
    <t>Допомога на  дітей одиноким матерям</t>
  </si>
  <si>
    <t>Програма фінансування заходів на ліквідацію епідситуації з лептоспірозом та малярією</t>
  </si>
  <si>
    <t>Обслуговування внутрішнього боргу</t>
  </si>
  <si>
    <t xml:space="preserve"> до рішення  міської ради</t>
  </si>
  <si>
    <t>Секретар ради</t>
  </si>
  <si>
    <t>008</t>
  </si>
  <si>
    <t>Міська цільова програма "Призовна дільниця"</t>
  </si>
  <si>
    <t xml:space="preserve">Програма фінансової підтримки квартальних та будинкових  комітетів </t>
  </si>
  <si>
    <t xml:space="preserve">Допомога малозабезпеченим сім'ям з дітьми </t>
  </si>
  <si>
    <t>081</t>
  </si>
  <si>
    <t>241</t>
  </si>
  <si>
    <t>Програма фінансової підтримки громадських організацій інвалідів і ветеранів</t>
  </si>
  <si>
    <t>240601</t>
  </si>
  <si>
    <t>150101</t>
  </si>
  <si>
    <t>Капітальні вкладення</t>
  </si>
  <si>
    <t>250311</t>
  </si>
  <si>
    <t>250306</t>
  </si>
  <si>
    <t>130112</t>
  </si>
  <si>
    <t>Головне економічне управління міської ради</t>
  </si>
  <si>
    <t>капітальні       (Код 2000)</t>
  </si>
  <si>
    <t>Програма компенсації пільгового проїзду окремих категорій громадян залізничним транспортом</t>
  </si>
  <si>
    <t>Програма на фінансування видатків на погашення витрат, пов'язаних з оформленням кредиту комунальним підприємтсвом "Експлуатаційне лінійне управління автомобільних шляхів"</t>
  </si>
  <si>
    <t>230100</t>
  </si>
  <si>
    <t>Програма по забезпеченню безпеки руху на вулично-шляховій мережі та залізничних переїздах м.Запоріжжя</t>
  </si>
  <si>
    <t>Міська комплексна програма соціального захисту населення м.Запоріжжя</t>
  </si>
  <si>
    <t>Утримання  комунальної спеціальної воєнізованої аварійно-рятувальної служби</t>
  </si>
  <si>
    <t>250315</t>
  </si>
  <si>
    <t>006</t>
  </si>
  <si>
    <t>190</t>
  </si>
  <si>
    <t>100</t>
  </si>
  <si>
    <t>211</t>
  </si>
  <si>
    <t>020</t>
  </si>
  <si>
    <t>050</t>
  </si>
  <si>
    <t>030</t>
  </si>
  <si>
    <t>150</t>
  </si>
  <si>
    <t>060</t>
  </si>
  <si>
    <t>240</t>
  </si>
  <si>
    <t>070</t>
  </si>
  <si>
    <t>160</t>
  </si>
  <si>
    <t>220</t>
  </si>
  <si>
    <t>230</t>
  </si>
  <si>
    <t>091101</t>
  </si>
  <si>
    <t>091102</t>
  </si>
  <si>
    <t>250908</t>
  </si>
  <si>
    <t>Надання пільгового довгострокового кредиту громадянам на будівництво (реконструкцію) та придбання житла</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</si>
  <si>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</si>
  <si>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</si>
  <si>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</si>
  <si>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</si>
  <si>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</si>
  <si>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</si>
  <si>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</si>
  <si>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</si>
  <si>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</si>
  <si>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</si>
  <si>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</si>
  <si>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</si>
  <si>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</si>
  <si>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</si>
  <si>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</si>
  <si>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</si>
  <si>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</si>
  <si>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</si>
  <si>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</si>
  <si>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</si>
  <si>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</si>
  <si>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Програма на погашення заборгованості по компенсації пільгового проїзду окремих категорій громадян річковим транспортом в навігацію 2003 року</t>
  </si>
  <si>
    <t>Програма компенсації пільгового проїзду учнів середніх загальноосвітніх навчальних закладів, учнів професійно-технічних навчальних закладів та студентів вищих навчальних закладів І-ІV рівнів акредитації денної форми навчання у міському електротранспорті</t>
  </si>
  <si>
    <t>Програма матеріальної допомоги почесним громадянам міста Запоріжжя</t>
  </si>
  <si>
    <t>Управління освіти і науки міської ради</t>
  </si>
  <si>
    <t>Програма матеріальної підтримки обдарованої молоді</t>
  </si>
  <si>
    <t>Програма забезпечення громадської безпеки і профілактики злочинності у м.Запоріжжі, матеріально-технічної бази органів та підрозділів ЗМУ УМВС України в Запорізькій області</t>
  </si>
  <si>
    <t>180409</t>
  </si>
  <si>
    <t>Внески органів місцевого самоврядування у статутні фонди суб'єктів підприємницької діяльності</t>
  </si>
  <si>
    <t>091108</t>
  </si>
  <si>
    <t>Програма ремонту внутрішньоквартальних шляхів</t>
  </si>
  <si>
    <t xml:space="preserve">      Додаток  3.2                         </t>
  </si>
  <si>
    <t xml:space="preserve">Додаток  3.4                </t>
  </si>
  <si>
    <t xml:space="preserve">Додаток  3.5                </t>
  </si>
  <si>
    <t xml:space="preserve">Додаток   3.6                 </t>
  </si>
  <si>
    <t xml:space="preserve">  Додаток   3.8          </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</si>
  <si>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</si>
  <si>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</si>
  <si>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</si>
  <si>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</si>
  <si>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</si>
  <si>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</si>
  <si>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</si>
  <si>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Забезпечення діяльності депутатів міської ради</t>
  </si>
  <si>
    <t xml:space="preserve">                                                               Назва головного розпорядника              Назва підрозділу бюджетної класифікації</t>
  </si>
  <si>
    <t>КВК/      КФКВ</t>
  </si>
  <si>
    <t xml:space="preserve">                                                    Назва головного розпорядника                    Назва підрозділу бюджетної класифікації</t>
  </si>
  <si>
    <t>Жовтнева райадміністрація міської ради</t>
  </si>
  <si>
    <t>Відділ освіти Жовтневої райадміністрації міської ради</t>
  </si>
  <si>
    <t>Управління праці та соціального захисту населення Жовтневої райадміністрації міської ради</t>
  </si>
  <si>
    <t>Віддділ комунального господарства  Жовтневої райадміністрації міської ради</t>
  </si>
  <si>
    <t>Фінансове управління Жовтневої райадміністрації міської ради</t>
  </si>
  <si>
    <t>Орджонікідзевська райадміністрація міської ради</t>
  </si>
  <si>
    <t>Відділ освіти Орджонікідзевської райадміністрації міської ради</t>
  </si>
  <si>
    <t>Управління праці та соціального захисту населення Орджонікідзев-ської райадміністрації міської ради</t>
  </si>
  <si>
    <t>Відділ комунального господарства Орджонікідзевської райадміністрації міської ради</t>
  </si>
  <si>
    <t>Фінансове управління Орджонікідзевської райадміністрації міської ради</t>
  </si>
  <si>
    <t>Заводська райадміністрація міської ради</t>
  </si>
  <si>
    <t>Відділ освіти Заводської райадміністрації міської ради</t>
  </si>
  <si>
    <t>Управління праці та соціального захисту населення Заводської райадміністрації міської ради</t>
  </si>
  <si>
    <t>Відділ комунального господарства Заводської райадміністрації міської ради</t>
  </si>
  <si>
    <t>Фінансове управління Заводської райадміністрації міської ради</t>
  </si>
  <si>
    <t>Шевченківська райадміністрація міської ради</t>
  </si>
  <si>
    <t>Відділ освіти Шевченківської райадміністрації міської ради</t>
  </si>
  <si>
    <t>Управління праці та соціального захисту населення Шевченківської райадміністрації міської ради</t>
  </si>
  <si>
    <t>Відділ комунального господарства Шевченківської райадміністрації міської ради</t>
  </si>
  <si>
    <t>Фінансове управління Шевченківської райадміністрації міської ради</t>
  </si>
  <si>
    <t>Комунарська райадміністрація міської ради</t>
  </si>
  <si>
    <t>Відділ освіти Комунарської райадміністрації міської ради</t>
  </si>
  <si>
    <t>Управління праці та соціального захисту населення Комунарської райадміністрації міської ради</t>
  </si>
  <si>
    <t>Відділ комунального господарства Комунарської райадміністрації міської ради</t>
  </si>
  <si>
    <t>Фінансове управління Комунарської райадміністрації міської ради</t>
  </si>
  <si>
    <t>Ленінська райадміністрація міської ради</t>
  </si>
  <si>
    <t>Відділ освіти Ленінської райадміністрації міської ради</t>
  </si>
  <si>
    <t>Управління праці та соціального захисту населення Ленінської райадміністрації міської ради</t>
  </si>
  <si>
    <t>Відділ комунального господарства Ленінської райадміністрації міської ради</t>
  </si>
  <si>
    <t>Фінансове управління Ленінської райадміністрації міської ради</t>
  </si>
  <si>
    <t xml:space="preserve"> Хортицька райадміністрація міської ради</t>
  </si>
  <si>
    <t xml:space="preserve"> Відділ освіти Хортицької райадміністрації міської ради</t>
  </si>
  <si>
    <t xml:space="preserve"> Управління праці та соціального захисту населення Хортицької райадміністрації міської ради</t>
  </si>
  <si>
    <t>Фінансове управління Хортицької райадміністрації міської ради</t>
  </si>
  <si>
    <t xml:space="preserve"> Відділ комунального господарства Хортицької райадміністрації міської ради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</si>
  <si>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</si>
  <si>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</si>
  <si>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Програма погашення заборгованості управління комунального господарства міської ради перед управлінням житлового господарства міської ради, яка виникла внаслідок передачи векселя</t>
  </si>
  <si>
    <t>(грн.)</t>
  </si>
  <si>
    <t>Капітальний ремонт житлового фонду об'єднань співвласників багатоквартирних будинків</t>
  </si>
  <si>
    <t xml:space="preserve">Додаток   3.7             </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</si>
  <si>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</si>
  <si>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</si>
  <si>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Соціальні програми і заходи державних органів у справах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</si>
  <si>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</si>
  <si>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</si>
  <si>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</si>
  <si>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 (крім заходів з реалізації регіональних програм відпочинку та оздоровлення дітей)</t>
  </si>
  <si>
    <t>Програма компенсації пільгового проїзду студентів вищих навчальних закладів І-ІV рівнів акредитації денної форми навчання та учнів професійно-технічних навчальних закладів у міському електротранспорті</t>
  </si>
  <si>
    <t>083</t>
  </si>
  <si>
    <t>Капітальний ремонт житлового фонду ЖБК</t>
  </si>
  <si>
    <t>170302</t>
  </si>
  <si>
    <t>Компенсаційні виплати за пільговий проїзд окремих категорій громадян на залізничному транспорті</t>
  </si>
  <si>
    <t>090210</t>
  </si>
  <si>
    <t>100202</t>
  </si>
  <si>
    <t>200700</t>
  </si>
  <si>
    <t>170203</t>
  </si>
  <si>
    <t>Програма про посилення контролю за дотриманням природоохоронного законодавства</t>
  </si>
  <si>
    <t>Управління розвитку підприємництва, торгівлі та послуг міської ради</t>
  </si>
  <si>
    <t>Програми і заходи центрів соціальних служб для сім'ї, дітей та молоді</t>
  </si>
  <si>
    <t>250344</t>
  </si>
  <si>
    <t>Субвенція до державного бюджету на виконання програм соціально-економічного та культурного розвитку регіонів</t>
  </si>
  <si>
    <t>Програма участі депутатів міської ради, як представників інтересів жителів виборчих округів, у поліпшенні житлового фонду, зовнішнього вигляду міста та у розвитку соціально-культурної інфраструктури міста</t>
  </si>
  <si>
    <t>090413</t>
  </si>
  <si>
    <t xml:space="preserve">Допомога на догляд за інвалідом I чи ІІ групи внаслідок психічного розладу </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</si>
  <si>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</si>
  <si>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</si>
  <si>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</si>
  <si>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 xml:space="preserve">Капітальний ремонт зливової каналізації по вул. 40 Років Радянської України </t>
  </si>
  <si>
    <t>150115</t>
  </si>
  <si>
    <t>Завершення проектів газифікації сільських населених пунктів з високим ступенем готовності</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</si>
  <si>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</si>
  <si>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</si>
  <si>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</si>
  <si>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</si>
  <si>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</si>
  <si>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170603</t>
  </si>
  <si>
    <t>Інші заходи у сфері електротранспорту</t>
  </si>
  <si>
    <t>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</si>
  <si>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</si>
  <si>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</si>
  <si>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Розподіл видатків міського бюджету на 2006 рік за головними розпорядниками коштів"</t>
  </si>
  <si>
    <t>Програма висвітлення діяльності виконавчих органів рад</t>
  </si>
  <si>
    <t>070803</t>
  </si>
  <si>
    <t>Сужби технічного нагляду за будівництвом і капітальним ремонтом</t>
  </si>
  <si>
    <t>Фінансування заходів по програмі зайнятості населення м.Запоріжжя на 2006 рік</t>
  </si>
  <si>
    <t>Програма освітлення архітектурно-декоративного обладнання на баштах будинків м.Запоріжжя</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</si>
  <si>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</si>
  <si>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</si>
  <si>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забезпечення участі Запорізької міської ради в Асоціації міст України та громад</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</si>
  <si>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</si>
  <si>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</si>
  <si>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</si>
  <si>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</si>
  <si>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250203</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</si>
  <si>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</si>
  <si>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</si>
  <si>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державному бюджету на виконання програм соціально-економічного та культурного розвитку регіонів</t>
  </si>
  <si>
    <t xml:space="preserve">Програма "Спеціалізований депутатський фонд " на 2006 рік </t>
  </si>
  <si>
    <t>110</t>
  </si>
  <si>
    <t>080</t>
  </si>
  <si>
    <t>Компенсаційні виплати за пільговий проїзд окремих категорій громадян на водному транспорті</t>
  </si>
  <si>
    <t>Пільги ветеранам війни, особам, на які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</si>
  <si>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</si>
  <si>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</si>
  <si>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</si>
  <si>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</si>
  <si>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</si>
  <si>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</si>
  <si>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</si>
  <si>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Програма земельної реформи в місті Запоріжжя на 2006 рік</t>
  </si>
  <si>
    <t>100101</t>
  </si>
  <si>
    <t>Житлово-експлуатаційне господарство</t>
  </si>
  <si>
    <t>100601</t>
  </si>
  <si>
    <t>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</si>
  <si>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</si>
  <si>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 xml:space="preserve">Ю.В.Каптюх </t>
  </si>
  <si>
    <t>Програма з енергозбереження</t>
  </si>
  <si>
    <t>Програма "Підговока до зимового періоду житлового фонду міста"</t>
  </si>
  <si>
    <t>Програма "Благоустрій міста, соціальна допомога мешканцям та вирішення нагальних потреб бюджетних установ"</t>
  </si>
  <si>
    <t>100102</t>
  </si>
  <si>
    <t>Прграма фінансування демонстраційно-показового проекту "Теплий під'їзд" в житлових будинках м.Запоріжжя на 2006 рік</t>
  </si>
  <si>
    <t>100105</t>
  </si>
  <si>
    <t>Видатки на утримання об'єктів соціальної сфери підприємств, що передаються до комунальної власності</t>
  </si>
  <si>
    <t>06.12.2006 №8</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</si>
</sst>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s>
  <fonts count="14">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sz val="10"/>
      <name val="Times New Roman Cyr"/>
      <family val="1"/>
    </font>
    <font>
      <u val="single"/>
      <sz val="10"/>
      <color indexed="12"/>
      <name val="Arial Cyr"/>
      <family val="0"/>
    </font>
    <font>
      <u val="single"/>
      <sz val="10"/>
      <color indexed="36"/>
      <name val="Arial Cyr"/>
      <family val="0"/>
    </font>
    <font>
      <sz val="9"/>
      <name val="Arial Cyr"/>
      <family val="2"/>
    </font>
    <font>
      <i/>
      <sz val="10"/>
      <name val="Arial Cyr"/>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49" fontId="0" fillId="0" borderId="3" xfId="0" applyNumberFormat="1" applyFont="1" applyBorder="1" applyAlignment="1">
      <alignment horizontal="center" wrapText="1"/>
    </xf>
    <xf numFmtId="0" fontId="1" fillId="0" borderId="0" xfId="0" applyFont="1" applyAlignment="1">
      <alignment/>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6" fillId="0" borderId="0" xfId="0" applyFont="1" applyAlignment="1">
      <alignment/>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49" fontId="0" fillId="0" borderId="0" xfId="0" applyNumberFormat="1" applyFont="1" applyAlignment="1">
      <alignment/>
    </xf>
    <xf numFmtId="49" fontId="0" fillId="0" borderId="4" xfId="0" applyNumberFormat="1" applyFont="1" applyBorder="1" applyAlignment="1">
      <alignment horizontal="center" vertical="top"/>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49" fontId="8" fillId="0" borderId="3" xfId="0" applyNumberFormat="1" applyFont="1" applyBorder="1" applyAlignment="1">
      <alignment horizontal="center" vertical="center"/>
    </xf>
    <xf numFmtId="172"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9" fillId="0" borderId="0" xfId="0" applyFont="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183" fontId="8" fillId="0" borderId="0" xfId="0" applyNumberFormat="1" applyFont="1" applyAlignment="1">
      <alignment/>
    </xf>
    <xf numFmtId="0" fontId="8" fillId="0" borderId="1"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Fill="1" applyBorder="1" applyAlignment="1">
      <alignment horizontal="left" wrapText="1"/>
    </xf>
    <xf numFmtId="0" fontId="8" fillId="0" borderId="1" xfId="0" applyFont="1" applyFill="1" applyBorder="1" applyAlignment="1">
      <alignment horizontal="left" wrapText="1"/>
    </xf>
    <xf numFmtId="0" fontId="8" fillId="0" borderId="6" xfId="0" applyFont="1" applyFill="1" applyBorder="1" applyAlignment="1">
      <alignment horizontal="left" wrapText="1"/>
    </xf>
    <xf numFmtId="0" fontId="0" fillId="0" borderId="0" xfId="0" applyAlignment="1">
      <alignment/>
    </xf>
    <xf numFmtId="49" fontId="2" fillId="0" borderId="2" xfId="0" applyNumberFormat="1" applyFont="1" applyBorder="1" applyAlignment="1">
      <alignment horizontal="center"/>
    </xf>
    <xf numFmtId="0" fontId="2" fillId="0" borderId="2" xfId="0" applyFont="1" applyBorder="1" applyAlignment="1">
      <alignment horizontal="left" wrapText="1"/>
    </xf>
    <xf numFmtId="49" fontId="2" fillId="0" borderId="3" xfId="0" applyNumberFormat="1" applyFont="1" applyBorder="1" applyAlignment="1">
      <alignment horizontal="center"/>
    </xf>
    <xf numFmtId="0" fontId="2" fillId="0" borderId="3" xfId="0" applyFont="1" applyBorder="1" applyAlignment="1">
      <alignment horizontal="left" vertical="top" wrapText="1"/>
    </xf>
    <xf numFmtId="49" fontId="2" fillId="0" borderId="3" xfId="0" applyNumberFormat="1" applyFont="1" applyFill="1" applyBorder="1" applyAlignment="1">
      <alignment horizontal="center"/>
    </xf>
    <xf numFmtId="0" fontId="2" fillId="0" borderId="1" xfId="0" applyFont="1" applyBorder="1" applyAlignment="1">
      <alignment wrapText="1"/>
    </xf>
    <xf numFmtId="49" fontId="0" fillId="0" borderId="3" xfId="0" applyNumberFormat="1" applyFont="1" applyFill="1" applyBorder="1" applyAlignment="1">
      <alignment horizontal="center"/>
    </xf>
    <xf numFmtId="0" fontId="2" fillId="0" borderId="3" xfId="0" applyFont="1" applyBorder="1" applyAlignment="1">
      <alignment wrapText="1"/>
    </xf>
    <xf numFmtId="49" fontId="0" fillId="0" borderId="6" xfId="0" applyNumberFormat="1" applyFont="1" applyBorder="1" applyAlignment="1">
      <alignment horizontal="center"/>
    </xf>
    <xf numFmtId="0" fontId="0" fillId="0" borderId="6" xfId="0" applyFont="1" applyFill="1" applyBorder="1" applyAlignment="1">
      <alignment wrapText="1"/>
    </xf>
    <xf numFmtId="0" fontId="5" fillId="0" borderId="3" xfId="0" applyFont="1" applyBorder="1" applyAlignment="1">
      <alignment horizontal="center" vertical="top" wrapText="1"/>
    </xf>
    <xf numFmtId="49" fontId="0" fillId="2" borderId="1" xfId="0" applyNumberFormat="1" applyFont="1" applyFill="1" applyBorder="1" applyAlignment="1">
      <alignment horizontal="center"/>
    </xf>
    <xf numFmtId="0" fontId="0" fillId="2" borderId="0" xfId="0" applyFont="1" applyFill="1" applyAlignment="1">
      <alignment/>
    </xf>
    <xf numFmtId="0" fontId="0" fillId="2" borderId="1" xfId="0" applyFont="1" applyFill="1" applyBorder="1" applyAlignment="1">
      <alignment horizontal="left"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183" fontId="0" fillId="2" borderId="0" xfId="0" applyNumberFormat="1" applyFont="1" applyFill="1" applyAlignment="1">
      <alignment/>
    </xf>
    <xf numFmtId="49" fontId="0" fillId="2" borderId="1" xfId="0" applyNumberFormat="1" applyFont="1" applyFill="1" applyBorder="1" applyAlignment="1">
      <alignment horizontal="center" vertical="center"/>
    </xf>
    <xf numFmtId="49" fontId="0" fillId="0" borderId="0" xfId="0" applyNumberFormat="1" applyAlignment="1">
      <alignment/>
    </xf>
    <xf numFmtId="0" fontId="0" fillId="2" borderId="3" xfId="0" applyFont="1" applyFill="1" applyBorder="1" applyAlignment="1">
      <alignment horizontal="left" wrapText="1"/>
    </xf>
    <xf numFmtId="0" fontId="0" fillId="2" borderId="0" xfId="0" applyFont="1" applyFill="1" applyAlignment="1">
      <alignment/>
    </xf>
    <xf numFmtId="49" fontId="8" fillId="2" borderId="3" xfId="0" applyNumberFormat="1" applyFont="1" applyFill="1" applyBorder="1" applyAlignment="1">
      <alignment horizontal="center" vertical="center"/>
    </xf>
    <xf numFmtId="0" fontId="8" fillId="2" borderId="0" xfId="0" applyFont="1" applyFill="1" applyAlignment="1">
      <alignment/>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left" wrapText="1"/>
    </xf>
    <xf numFmtId="0" fontId="0" fillId="2" borderId="3" xfId="0" applyFont="1" applyFill="1" applyBorder="1" applyAlignment="1">
      <alignment horizontal="left" vertical="center" wrapText="1"/>
    </xf>
    <xf numFmtId="49" fontId="0" fillId="2" borderId="4" xfId="0" applyNumberFormat="1" applyFont="1" applyFill="1" applyBorder="1" applyAlignment="1">
      <alignment horizontal="center" vertical="top"/>
    </xf>
    <xf numFmtId="0" fontId="0" fillId="2" borderId="3" xfId="0" applyFont="1" applyFill="1" applyBorder="1" applyAlignment="1">
      <alignment horizontal="left" vertical="top" wrapText="1"/>
    </xf>
    <xf numFmtId="1" fontId="0" fillId="0" borderId="1" xfId="0" applyNumberFormat="1" applyFont="1" applyBorder="1" applyAlignment="1">
      <alignment/>
    </xf>
    <xf numFmtId="1" fontId="0" fillId="0" borderId="1" xfId="0" applyNumberFormat="1" applyFont="1" applyBorder="1" applyAlignment="1">
      <alignment horizontal="right"/>
    </xf>
    <xf numFmtId="1" fontId="0" fillId="0" borderId="0" xfId="0" applyNumberFormat="1" applyFont="1" applyAlignment="1">
      <alignment/>
    </xf>
    <xf numFmtId="1" fontId="0" fillId="0" borderId="0" xfId="0" applyNumberFormat="1" applyAlignment="1">
      <alignment/>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ont="1" applyFill="1" applyBorder="1" applyAlignment="1">
      <alignment/>
    </xf>
    <xf numFmtId="1" fontId="0" fillId="0" borderId="0" xfId="0" applyNumberFormat="1" applyFont="1" applyFill="1" applyAlignment="1">
      <alignment/>
    </xf>
    <xf numFmtId="1" fontId="0" fillId="0" borderId="0" xfId="0" applyNumberFormat="1" applyFont="1" applyBorder="1" applyAlignment="1">
      <alignment horizontal="right"/>
    </xf>
    <xf numFmtId="1" fontId="0" fillId="0" borderId="1" xfId="0" applyNumberFormat="1" applyFont="1" applyFill="1" applyBorder="1" applyAlignment="1">
      <alignment horizontal="center"/>
    </xf>
    <xf numFmtId="1" fontId="0" fillId="0" borderId="1" xfId="20" applyNumberFormat="1" applyFont="1" applyFill="1" applyBorder="1" applyAlignment="1">
      <alignment horizontal="righ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 fontId="2" fillId="0" borderId="1" xfId="0" applyNumberFormat="1" applyFont="1" applyFill="1" applyBorder="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horizontal="right"/>
    </xf>
    <xf numFmtId="1" fontId="13" fillId="0" borderId="1" xfId="0" applyNumberFormat="1" applyFont="1" applyFill="1" applyBorder="1" applyAlignment="1">
      <alignment horizontal="right"/>
    </xf>
    <xf numFmtId="0" fontId="0" fillId="0" borderId="3" xfId="0" applyFont="1" applyFill="1" applyBorder="1" applyAlignment="1">
      <alignment vertical="top"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wrapText="1"/>
    </xf>
    <xf numFmtId="49" fontId="0" fillId="0" borderId="1" xfId="0" applyNumberFormat="1" applyFont="1" applyFill="1" applyBorder="1" applyAlignment="1">
      <alignment horizontal="center" wrapText="1"/>
    </xf>
    <xf numFmtId="0" fontId="0" fillId="0" borderId="3" xfId="0" applyFont="1" applyFill="1" applyBorder="1" applyAlignment="1">
      <alignment horizontal="left" vertical="top" wrapText="1"/>
    </xf>
    <xf numFmtId="49" fontId="0" fillId="0" borderId="1" xfId="0" applyNumberFormat="1" applyFont="1" applyFill="1" applyBorder="1" applyAlignment="1" quotePrefix="1">
      <alignment horizontal="center"/>
    </xf>
    <xf numFmtId="1" fontId="0" fillId="2" borderId="0" xfId="0" applyNumberFormat="1" applyFont="1" applyFill="1" applyAlignment="1">
      <alignment/>
    </xf>
    <xf numFmtId="49" fontId="0" fillId="2" borderId="3" xfId="0" applyNumberFormat="1" applyFont="1" applyFill="1" applyBorder="1" applyAlignment="1">
      <alignment horizontal="center"/>
    </xf>
    <xf numFmtId="0" fontId="0" fillId="2" borderId="1" xfId="0" applyFont="1" applyFill="1" applyBorder="1" applyAlignment="1">
      <alignment horizontal="justify" wrapText="1"/>
    </xf>
    <xf numFmtId="1" fontId="0" fillId="2" borderId="1" xfId="0" applyNumberFormat="1" applyFont="1" applyFill="1" applyBorder="1" applyAlignment="1">
      <alignment horizontal="right" wrapText="1"/>
    </xf>
    <xf numFmtId="1" fontId="8" fillId="2" borderId="1" xfId="0" applyNumberFormat="1" applyFont="1" applyFill="1" applyBorder="1" applyAlignment="1">
      <alignment horizontal="right"/>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1" fontId="7" fillId="0" borderId="1" xfId="0" applyNumberFormat="1" applyFont="1" applyBorder="1" applyAlignment="1">
      <alignment horizontal="right"/>
    </xf>
    <xf numFmtId="1" fontId="7" fillId="0" borderId="0" xfId="0" applyNumberFormat="1" applyFont="1" applyAlignment="1">
      <alignment/>
    </xf>
    <xf numFmtId="0" fontId="0" fillId="0" borderId="1" xfId="0" applyFont="1" applyBorder="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2" borderId="1" xfId="0" applyNumberFormat="1" applyFont="1" applyFill="1" applyBorder="1" applyAlignment="1">
      <alignment horizontal="right"/>
    </xf>
    <xf numFmtId="2" fontId="0" fillId="2" borderId="1" xfId="0" applyNumberFormat="1" applyFont="1" applyFill="1" applyBorder="1" applyAlignment="1">
      <alignment/>
    </xf>
    <xf numFmtId="2" fontId="0"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49" fontId="0" fillId="0" borderId="3" xfId="0" applyNumberFormat="1" applyFont="1" applyBorder="1" applyAlignment="1">
      <alignment horizontal="left"/>
    </xf>
    <xf numFmtId="0" fontId="0" fillId="0" borderId="3" xfId="0" applyFont="1" applyFill="1" applyBorder="1" applyAlignment="1">
      <alignment horizontal="left" vertical="center" wrapText="1"/>
    </xf>
    <xf numFmtId="2" fontId="0" fillId="0" borderId="1" xfId="0" applyNumberFormat="1" applyFont="1" applyFill="1" applyBorder="1" applyAlignment="1">
      <alignment horizontal="right" wrapText="1"/>
    </xf>
    <xf numFmtId="2" fontId="0" fillId="0" borderId="1" xfId="0" applyNumberFormat="1" applyFont="1" applyBorder="1" applyAlignment="1">
      <alignment horizontal="right"/>
    </xf>
    <xf numFmtId="2" fontId="0" fillId="0" borderId="1" xfId="0" applyNumberFormat="1" applyFont="1" applyBorder="1" applyAlignment="1">
      <alignment/>
    </xf>
    <xf numFmtId="2" fontId="8" fillId="0" borderId="1" xfId="0" applyNumberFormat="1" applyFont="1" applyFill="1" applyBorder="1" applyAlignment="1">
      <alignment horizontal="right"/>
    </xf>
    <xf numFmtId="0" fontId="12" fillId="0" borderId="3" xfId="0" applyFont="1" applyFill="1" applyBorder="1" applyAlignment="1">
      <alignment horizontal="left" wrapText="1"/>
    </xf>
    <xf numFmtId="183" fontId="6" fillId="0" borderId="0" xfId="0" applyNumberFormat="1" applyFont="1" applyBorder="1" applyAlignment="1">
      <alignment/>
    </xf>
    <xf numFmtId="172" fontId="2" fillId="0" borderId="1" xfId="0" applyNumberFormat="1" applyFont="1" applyFill="1" applyBorder="1" applyAlignment="1">
      <alignment horizontal="right"/>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Alignment="1">
      <alignment horizontal="left" wrapText="1"/>
    </xf>
    <xf numFmtId="0" fontId="4" fillId="0" borderId="0" xfId="0" applyFont="1" applyAlignment="1">
      <alignment horizontal="center"/>
    </xf>
    <xf numFmtId="0" fontId="6" fillId="0" borderId="0" xfId="0" applyFont="1" applyFill="1" applyAlignment="1">
      <alignment horizontal="left" wrapText="1"/>
    </xf>
    <xf numFmtId="0" fontId="4" fillId="0" borderId="0" xfId="0" applyFont="1" applyFill="1" applyAlignment="1">
      <alignment horizontal="center"/>
    </xf>
    <xf numFmtId="0" fontId="0" fillId="0"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xf>
    <xf numFmtId="0" fontId="0" fillId="0" borderId="0"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62"/>
  <sheetViews>
    <sheetView showZeros="0" tabSelected="1" view="pageBreakPreview" zoomScale="75" zoomScaleNormal="75" zoomScaleSheetLayoutView="75" workbookViewId="0" topLeftCell="A1">
      <pane xSplit="2" ySplit="8" topLeftCell="K9" activePane="bottomRight" state="frozen"/>
      <selection pane="topLeft" activeCell="A1" sqref="A1"/>
      <selection pane="topRight" activeCell="C1" sqref="C1"/>
      <selection pane="bottomLeft" activeCell="A9" sqref="A9"/>
      <selection pane="bottomRight" activeCell="L3" sqref="L3:M3"/>
    </sheetView>
  </sheetViews>
  <sheetFormatPr defaultColWidth="9.00390625" defaultRowHeight="12.75"/>
  <cols>
    <col min="1" max="1" width="8.625" style="1" customWidth="1"/>
    <col min="2" max="2" width="33.75390625" style="0" customWidth="1"/>
    <col min="3" max="4" width="14.375" style="0" customWidth="1"/>
    <col min="5" max="5" width="11.125" style="0" customWidth="1"/>
    <col min="6" max="6" width="10.625" style="0" customWidth="1"/>
    <col min="7" max="7" width="10.875" style="0" customWidth="1"/>
    <col min="8" max="8" width="14.375" style="0" bestFit="1" customWidth="1"/>
    <col min="9" max="9" width="13.25390625" style="0" bestFit="1" customWidth="1"/>
    <col min="10" max="10" width="9.25390625" style="0" customWidth="1"/>
    <col min="11" max="11" width="9.375" style="0" customWidth="1"/>
    <col min="12" max="12" width="11.375" style="0" customWidth="1"/>
    <col min="13" max="13" width="11.125" style="0" customWidth="1"/>
    <col min="14" max="14" width="15.125" style="0" customWidth="1"/>
    <col min="15" max="15" width="9.375" style="0" customWidth="1"/>
  </cols>
  <sheetData>
    <row r="1" spans="7:14" ht="18">
      <c r="G1" s="197"/>
      <c r="H1" s="197"/>
      <c r="I1" s="197"/>
      <c r="L1" s="197" t="s">
        <v>156</v>
      </c>
      <c r="M1" s="197"/>
      <c r="N1" s="197"/>
    </row>
    <row r="2" spans="7:14" ht="18">
      <c r="G2" s="197"/>
      <c r="H2" s="197"/>
      <c r="I2" s="197"/>
      <c r="L2" s="197" t="s">
        <v>238</v>
      </c>
      <c r="M2" s="197"/>
      <c r="N2" s="197"/>
    </row>
    <row r="3" spans="7:14" ht="26.25" customHeight="1">
      <c r="G3" s="197"/>
      <c r="H3" s="197"/>
      <c r="I3" s="197"/>
      <c r="L3" s="32" t="s">
        <v>451</v>
      </c>
      <c r="M3" s="32"/>
      <c r="N3" s="22"/>
    </row>
    <row r="4" spans="1:13" ht="18">
      <c r="A4" s="198" t="s">
        <v>408</v>
      </c>
      <c r="B4" s="198"/>
      <c r="C4" s="198"/>
      <c r="D4" s="198"/>
      <c r="E4" s="198"/>
      <c r="F4" s="198"/>
      <c r="G4" s="198"/>
      <c r="H4" s="198"/>
      <c r="I4" s="198"/>
      <c r="J4" s="198"/>
      <c r="K4" s="198"/>
      <c r="L4" s="198"/>
      <c r="M4" s="198"/>
    </row>
    <row r="5" spans="3:14" ht="15.75" customHeight="1">
      <c r="C5" s="86"/>
      <c r="D5" s="86"/>
      <c r="E5" s="86"/>
      <c r="F5" s="86"/>
      <c r="G5" s="86"/>
      <c r="H5" s="86"/>
      <c r="I5" s="86"/>
      <c r="J5" s="86"/>
      <c r="K5" s="2"/>
      <c r="L5" s="2"/>
      <c r="M5" s="192" t="s">
        <v>365</v>
      </c>
      <c r="N5" s="192"/>
    </row>
    <row r="6" spans="1:14" s="22" customFormat="1" ht="12.75">
      <c r="A6" s="193" t="s">
        <v>325</v>
      </c>
      <c r="B6" s="194" t="s">
        <v>324</v>
      </c>
      <c r="C6" s="196" t="s">
        <v>14</v>
      </c>
      <c r="D6" s="196"/>
      <c r="E6" s="196"/>
      <c r="F6" s="196"/>
      <c r="G6" s="196"/>
      <c r="H6" s="196" t="s">
        <v>15</v>
      </c>
      <c r="I6" s="196"/>
      <c r="J6" s="196"/>
      <c r="K6" s="196"/>
      <c r="L6" s="196"/>
      <c r="M6" s="196"/>
      <c r="N6" s="196" t="s">
        <v>95</v>
      </c>
    </row>
    <row r="7" spans="1:14" s="22" customFormat="1" ht="60.75" customHeight="1">
      <c r="A7" s="193"/>
      <c r="B7" s="195"/>
      <c r="C7" s="23" t="s">
        <v>16</v>
      </c>
      <c r="D7" s="6" t="s">
        <v>17</v>
      </c>
      <c r="E7" s="6" t="s">
        <v>18</v>
      </c>
      <c r="F7" s="6" t="s">
        <v>19</v>
      </c>
      <c r="G7" s="6" t="s">
        <v>20</v>
      </c>
      <c r="H7" s="23" t="s">
        <v>16</v>
      </c>
      <c r="I7" s="6" t="s">
        <v>17</v>
      </c>
      <c r="J7" s="6" t="s">
        <v>18</v>
      </c>
      <c r="K7" s="6" t="s">
        <v>19</v>
      </c>
      <c r="L7" s="6" t="s">
        <v>20</v>
      </c>
      <c r="M7" s="6" t="s">
        <v>21</v>
      </c>
      <c r="N7" s="196"/>
    </row>
    <row r="8" spans="1:14" s="22" customFormat="1" ht="12.75">
      <c r="A8" s="45">
        <v>1</v>
      </c>
      <c r="B8" s="31">
        <v>2</v>
      </c>
      <c r="C8" s="31">
        <v>3</v>
      </c>
      <c r="D8" s="31">
        <v>4</v>
      </c>
      <c r="E8" s="31">
        <v>5</v>
      </c>
      <c r="F8" s="31">
        <v>6</v>
      </c>
      <c r="G8" s="31">
        <v>7</v>
      </c>
      <c r="H8" s="31">
        <v>8</v>
      </c>
      <c r="I8" s="31">
        <v>9</v>
      </c>
      <c r="J8" s="31">
        <v>10</v>
      </c>
      <c r="K8" s="31">
        <v>11</v>
      </c>
      <c r="L8" s="31">
        <v>12</v>
      </c>
      <c r="M8" s="31">
        <v>13</v>
      </c>
      <c r="N8" s="31">
        <v>14</v>
      </c>
    </row>
    <row r="9" spans="1:16" s="124" customFormat="1" ht="12.75">
      <c r="A9" s="123" t="s">
        <v>262</v>
      </c>
      <c r="B9" s="125" t="s">
        <v>130</v>
      </c>
      <c r="C9" s="159">
        <f aca="true" t="shared" si="0" ref="C9:M9">C10+C11+C12+C13+C14+C17+C21+C15+C25+C16</f>
        <v>19007628</v>
      </c>
      <c r="D9" s="159">
        <f t="shared" si="0"/>
        <v>18488528</v>
      </c>
      <c r="E9" s="159">
        <f t="shared" si="0"/>
        <v>2973391.04</v>
      </c>
      <c r="F9" s="159">
        <f t="shared" si="0"/>
        <v>399144</v>
      </c>
      <c r="G9" s="159">
        <f t="shared" si="0"/>
        <v>519100</v>
      </c>
      <c r="H9" s="159">
        <f t="shared" si="0"/>
        <v>3706078</v>
      </c>
      <c r="I9" s="159">
        <f t="shared" si="0"/>
        <v>3335078</v>
      </c>
      <c r="J9" s="159">
        <f t="shared" si="0"/>
        <v>0</v>
      </c>
      <c r="K9" s="159">
        <f t="shared" si="0"/>
        <v>33900</v>
      </c>
      <c r="L9" s="159">
        <f t="shared" si="0"/>
        <v>371000</v>
      </c>
      <c r="M9" s="159">
        <f t="shared" si="0"/>
        <v>0</v>
      </c>
      <c r="N9" s="158">
        <f aca="true" t="shared" si="1" ref="N9:N115">C9+H9</f>
        <v>22713706</v>
      </c>
      <c r="O9" s="167"/>
      <c r="P9" s="167"/>
    </row>
    <row r="10" spans="1:16" s="22" customFormat="1" ht="12.75">
      <c r="A10" s="45" t="s">
        <v>22</v>
      </c>
      <c r="B10" s="51" t="s">
        <v>23</v>
      </c>
      <c r="C10" s="143">
        <f>D10+G10</f>
        <v>6933678</v>
      </c>
      <c r="D10" s="143">
        <f>4332498-50+60-3300-1240+27-32+195330+200825+16500+1498448+49000+11338+24000+10521+199790+52123-8010+8767+167250+10000+733</f>
        <v>6764578</v>
      </c>
      <c r="E10" s="143">
        <f>1599568-4530+147449+1100182+8325+119182-5881</f>
        <v>2964295</v>
      </c>
      <c r="F10" s="143">
        <f>176096+23258+199790</f>
        <v>399144</v>
      </c>
      <c r="G10" s="143">
        <f>2000000+90000-2000000-16500+106000-24000+117000-45000-40400-18000+65360-11343-25000-20250-8767</f>
        <v>169100</v>
      </c>
      <c r="H10" s="143">
        <f>I10+L10</f>
        <v>47900</v>
      </c>
      <c r="I10" s="143">
        <v>47900</v>
      </c>
      <c r="J10" s="143"/>
      <c r="K10" s="143">
        <v>33900</v>
      </c>
      <c r="L10" s="143"/>
      <c r="M10" s="143"/>
      <c r="N10" s="142">
        <f t="shared" si="1"/>
        <v>6981578</v>
      </c>
      <c r="O10" s="144"/>
      <c r="P10" s="144"/>
    </row>
    <row r="11" spans="1:16" s="22" customFormat="1" ht="25.5" hidden="1">
      <c r="A11" s="45" t="s">
        <v>22</v>
      </c>
      <c r="B11" s="51" t="s">
        <v>323</v>
      </c>
      <c r="C11" s="143">
        <f aca="true" t="shared" si="2" ref="C11:C22">D11+G11</f>
        <v>0</v>
      </c>
      <c r="D11" s="143"/>
      <c r="E11" s="143"/>
      <c r="F11" s="143"/>
      <c r="G11" s="143"/>
      <c r="H11" s="143">
        <f aca="true" t="shared" si="3" ref="H11:H22">I11+L11</f>
        <v>0</v>
      </c>
      <c r="I11" s="143"/>
      <c r="J11" s="143"/>
      <c r="K11" s="143"/>
      <c r="L11" s="143"/>
      <c r="M11" s="143"/>
      <c r="N11" s="142">
        <f t="shared" si="1"/>
        <v>0</v>
      </c>
      <c r="O11" s="144"/>
      <c r="P11" s="144"/>
    </row>
    <row r="12" spans="1:16" s="22" customFormat="1" ht="38.25">
      <c r="A12" s="45" t="s">
        <v>48</v>
      </c>
      <c r="B12" s="26" t="s">
        <v>303</v>
      </c>
      <c r="C12" s="143">
        <f t="shared" si="2"/>
        <v>233100</v>
      </c>
      <c r="D12" s="143">
        <f>223125+9975</f>
        <v>233100</v>
      </c>
      <c r="E12" s="143"/>
      <c r="F12" s="143"/>
      <c r="G12" s="143"/>
      <c r="H12" s="143">
        <f t="shared" si="3"/>
        <v>0</v>
      </c>
      <c r="I12" s="143"/>
      <c r="J12" s="143"/>
      <c r="K12" s="143"/>
      <c r="L12" s="143"/>
      <c r="M12" s="143"/>
      <c r="N12" s="142">
        <f t="shared" si="1"/>
        <v>233100</v>
      </c>
      <c r="O12" s="144"/>
      <c r="P12" s="144"/>
    </row>
    <row r="13" spans="1:16" s="22" customFormat="1" ht="18.75" customHeight="1">
      <c r="A13" s="45">
        <v>120201</v>
      </c>
      <c r="B13" s="104" t="s">
        <v>289</v>
      </c>
      <c r="C13" s="143">
        <f t="shared" si="2"/>
        <v>350000</v>
      </c>
      <c r="D13" s="143">
        <v>350000</v>
      </c>
      <c r="E13" s="143"/>
      <c r="F13" s="143"/>
      <c r="G13" s="143"/>
      <c r="H13" s="143">
        <f t="shared" si="3"/>
        <v>0</v>
      </c>
      <c r="I13" s="143"/>
      <c r="J13" s="143"/>
      <c r="K13" s="143"/>
      <c r="L13" s="143"/>
      <c r="M13" s="143"/>
      <c r="N13" s="142">
        <f t="shared" si="1"/>
        <v>350000</v>
      </c>
      <c r="O13" s="144"/>
      <c r="P13" s="144"/>
    </row>
    <row r="14" spans="1:16" s="22" customFormat="1" ht="12.75" hidden="1">
      <c r="A14" s="45" t="s">
        <v>248</v>
      </c>
      <c r="B14" s="27" t="s">
        <v>249</v>
      </c>
      <c r="C14" s="143">
        <f t="shared" si="2"/>
        <v>0</v>
      </c>
      <c r="D14" s="143"/>
      <c r="E14" s="143"/>
      <c r="F14" s="143"/>
      <c r="G14" s="143"/>
      <c r="H14" s="143">
        <f t="shared" si="3"/>
        <v>0</v>
      </c>
      <c r="I14" s="143"/>
      <c r="J14" s="143"/>
      <c r="K14" s="143"/>
      <c r="L14" s="143"/>
      <c r="M14" s="143"/>
      <c r="N14" s="142">
        <f t="shared" si="1"/>
        <v>0</v>
      </c>
      <c r="O14" s="144"/>
      <c r="P14" s="144"/>
    </row>
    <row r="15" spans="1:16" s="22" customFormat="1" ht="25.5">
      <c r="A15" s="45" t="s">
        <v>403</v>
      </c>
      <c r="B15" s="26" t="s">
        <v>404</v>
      </c>
      <c r="C15" s="143">
        <f t="shared" si="2"/>
        <v>8750000</v>
      </c>
      <c r="D15" s="143">
        <f>3000000+1000000-350000+4500000-200000+800000</f>
        <v>8750000</v>
      </c>
      <c r="E15" s="143"/>
      <c r="F15" s="143"/>
      <c r="G15" s="143"/>
      <c r="H15" s="143">
        <f t="shared" si="3"/>
        <v>0</v>
      </c>
      <c r="I15" s="143"/>
      <c r="J15" s="143"/>
      <c r="K15" s="143"/>
      <c r="L15" s="143"/>
      <c r="M15" s="143"/>
      <c r="N15" s="142">
        <f>C15+H15</f>
        <v>8750000</v>
      </c>
      <c r="O15" s="144"/>
      <c r="P15" s="144"/>
    </row>
    <row r="16" spans="1:16" s="22" customFormat="1" ht="63.75">
      <c r="A16" s="45" t="s">
        <v>421</v>
      </c>
      <c r="B16" s="26" t="s">
        <v>10</v>
      </c>
      <c r="C16" s="143">
        <f t="shared" si="2"/>
        <v>294240</v>
      </c>
      <c r="D16" s="143">
        <f>304493-10253</f>
        <v>294240</v>
      </c>
      <c r="E16" s="186">
        <f>9117-20.96</f>
        <v>9096.04</v>
      </c>
      <c r="F16" s="143"/>
      <c r="G16" s="143"/>
      <c r="H16" s="143"/>
      <c r="I16" s="143"/>
      <c r="J16" s="143"/>
      <c r="K16" s="143"/>
      <c r="L16" s="143"/>
      <c r="M16" s="143"/>
      <c r="N16" s="142">
        <f>C16+H16</f>
        <v>294240</v>
      </c>
      <c r="O16" s="144"/>
      <c r="P16" s="144"/>
    </row>
    <row r="17" spans="1:16" s="22" customFormat="1" ht="25.5">
      <c r="A17" s="45" t="s">
        <v>69</v>
      </c>
      <c r="B17" s="104" t="s">
        <v>218</v>
      </c>
      <c r="C17" s="143">
        <f t="shared" si="2"/>
        <v>0</v>
      </c>
      <c r="D17" s="143"/>
      <c r="E17" s="143"/>
      <c r="F17" s="143"/>
      <c r="G17" s="143"/>
      <c r="H17" s="143">
        <f t="shared" si="3"/>
        <v>3658178</v>
      </c>
      <c r="I17" s="143">
        <f>3298019+I19+I20-290000-350000-417000-50000-130000-11000+1326216+20543-60000-100000</f>
        <v>3287178</v>
      </c>
      <c r="J17" s="143"/>
      <c r="K17" s="143"/>
      <c r="L17" s="143">
        <f>L19+L20+300000-50000+11000+100000</f>
        <v>371000</v>
      </c>
      <c r="M17" s="143"/>
      <c r="N17" s="142">
        <f t="shared" si="1"/>
        <v>3658178</v>
      </c>
      <c r="O17" s="144"/>
      <c r="P17" s="144"/>
    </row>
    <row r="18" spans="1:16" s="22" customFormat="1" ht="12.75">
      <c r="A18" s="25"/>
      <c r="B18" s="103" t="s">
        <v>224</v>
      </c>
      <c r="C18" s="143"/>
      <c r="D18" s="143"/>
      <c r="E18" s="143"/>
      <c r="F18" s="143"/>
      <c r="G18" s="143"/>
      <c r="H18" s="143"/>
      <c r="I18" s="143"/>
      <c r="J18" s="143"/>
      <c r="K18" s="143"/>
      <c r="L18" s="143"/>
      <c r="M18" s="143"/>
      <c r="N18" s="142"/>
      <c r="O18" s="144"/>
      <c r="P18" s="144"/>
    </row>
    <row r="19" spans="1:16" s="22" customFormat="1" ht="83.25" customHeight="1">
      <c r="A19" s="25"/>
      <c r="B19" s="103" t="s">
        <v>389</v>
      </c>
      <c r="C19" s="143">
        <f t="shared" si="2"/>
        <v>0</v>
      </c>
      <c r="D19" s="143"/>
      <c r="E19" s="143"/>
      <c r="F19" s="143"/>
      <c r="G19" s="143"/>
      <c r="H19" s="143">
        <f t="shared" si="3"/>
        <v>44400</v>
      </c>
      <c r="I19" s="143">
        <f>44000-9600</f>
        <v>34400</v>
      </c>
      <c r="J19" s="143"/>
      <c r="K19" s="143"/>
      <c r="L19" s="143">
        <v>10000</v>
      </c>
      <c r="M19" s="143"/>
      <c r="N19" s="142">
        <f t="shared" si="1"/>
        <v>44400</v>
      </c>
      <c r="O19" s="144"/>
      <c r="P19" s="144"/>
    </row>
    <row r="20" spans="1:16" s="22" customFormat="1" ht="25.5">
      <c r="A20" s="25"/>
      <c r="B20" s="103" t="s">
        <v>425</v>
      </c>
      <c r="C20" s="143"/>
      <c r="D20" s="143"/>
      <c r="E20" s="143"/>
      <c r="F20" s="143"/>
      <c r="G20" s="143"/>
      <c r="H20" s="143">
        <f t="shared" si="3"/>
        <v>16000</v>
      </c>
      <c r="I20" s="143">
        <v>16000</v>
      </c>
      <c r="J20" s="143"/>
      <c r="K20" s="143"/>
      <c r="L20" s="143"/>
      <c r="M20" s="143"/>
      <c r="N20" s="142"/>
      <c r="O20" s="144"/>
      <c r="P20" s="144"/>
    </row>
    <row r="21" spans="1:16" s="22" customFormat="1" ht="12.75">
      <c r="A21" s="25" t="s">
        <v>71</v>
      </c>
      <c r="B21" s="26" t="s">
        <v>146</v>
      </c>
      <c r="C21" s="143">
        <f t="shared" si="2"/>
        <v>344610</v>
      </c>
      <c r="D21" s="143">
        <f>D23+D22+D24</f>
        <v>344610</v>
      </c>
      <c r="E21" s="143">
        <f>E23+E22+E24</f>
        <v>0</v>
      </c>
      <c r="F21" s="143">
        <f>F23+F22+F24</f>
        <v>0</v>
      </c>
      <c r="G21" s="143">
        <f>G23+G22+G24</f>
        <v>0</v>
      </c>
      <c r="H21" s="143">
        <f t="shared" si="3"/>
        <v>0</v>
      </c>
      <c r="I21" s="143">
        <f>I23</f>
        <v>0</v>
      </c>
      <c r="J21" s="143">
        <f>J23</f>
        <v>0</v>
      </c>
      <c r="K21" s="143">
        <f>K23</f>
        <v>0</v>
      </c>
      <c r="L21" s="143">
        <f>L23</f>
        <v>0</v>
      </c>
      <c r="M21" s="143"/>
      <c r="N21" s="142">
        <f t="shared" si="1"/>
        <v>344610</v>
      </c>
      <c r="O21" s="144"/>
      <c r="P21" s="144"/>
    </row>
    <row r="22" spans="1:16" s="22" customFormat="1" ht="25.5">
      <c r="A22" s="45"/>
      <c r="B22" s="26" t="s">
        <v>409</v>
      </c>
      <c r="C22" s="143">
        <f t="shared" si="2"/>
        <v>200000</v>
      </c>
      <c r="D22" s="143">
        <v>200000</v>
      </c>
      <c r="E22" s="143"/>
      <c r="F22" s="143"/>
      <c r="G22" s="143"/>
      <c r="H22" s="143">
        <f t="shared" si="3"/>
        <v>0</v>
      </c>
      <c r="I22" s="143"/>
      <c r="J22" s="143"/>
      <c r="K22" s="143"/>
      <c r="L22" s="143"/>
      <c r="M22" s="143"/>
      <c r="N22" s="142">
        <f t="shared" si="1"/>
        <v>200000</v>
      </c>
      <c r="O22" s="144"/>
      <c r="P22" s="144"/>
    </row>
    <row r="23" spans="1:16" s="22" customFormat="1" ht="38.25">
      <c r="A23" s="45"/>
      <c r="B23" s="26" t="s">
        <v>416</v>
      </c>
      <c r="C23" s="143">
        <f aca="true" t="shared" si="4" ref="C23:C29">D23+G23</f>
        <v>144610</v>
      </c>
      <c r="D23" s="143">
        <v>144610</v>
      </c>
      <c r="E23" s="143"/>
      <c r="F23" s="143"/>
      <c r="G23" s="143"/>
      <c r="H23" s="143">
        <f aca="true" t="shared" si="5" ref="H23:H29">I23+L23</f>
        <v>0</v>
      </c>
      <c r="I23" s="143"/>
      <c r="J23" s="143"/>
      <c r="K23" s="143"/>
      <c r="L23" s="143"/>
      <c r="M23" s="143"/>
      <c r="N23" s="142">
        <f t="shared" si="1"/>
        <v>144610</v>
      </c>
      <c r="O23" s="144"/>
      <c r="P23" s="144"/>
    </row>
    <row r="24" spans="1:16" s="22" customFormat="1" ht="51" hidden="1">
      <c r="A24" s="45"/>
      <c r="B24" s="26" t="s">
        <v>446</v>
      </c>
      <c r="C24" s="143">
        <f t="shared" si="4"/>
        <v>0</v>
      </c>
      <c r="D24" s="143"/>
      <c r="E24" s="143"/>
      <c r="F24" s="143"/>
      <c r="G24" s="143">
        <f>10000-10000</f>
        <v>0</v>
      </c>
      <c r="H24" s="143"/>
      <c r="I24" s="143"/>
      <c r="J24" s="143"/>
      <c r="K24" s="143"/>
      <c r="L24" s="143"/>
      <c r="M24" s="143"/>
      <c r="N24" s="142">
        <f t="shared" si="1"/>
        <v>0</v>
      </c>
      <c r="O24" s="144"/>
      <c r="P24" s="144"/>
    </row>
    <row r="25" spans="1:16" s="22" customFormat="1" ht="51">
      <c r="A25" s="45" t="s">
        <v>387</v>
      </c>
      <c r="B25" s="26" t="s">
        <v>388</v>
      </c>
      <c r="C25" s="143">
        <f t="shared" si="4"/>
        <v>2102000</v>
      </c>
      <c r="D25" s="143">
        <f>D27+D28+D29</f>
        <v>1752000</v>
      </c>
      <c r="E25" s="143">
        <f>E27+E28+E29</f>
        <v>0</v>
      </c>
      <c r="F25" s="143">
        <f>F27+F28+F29</f>
        <v>0</v>
      </c>
      <c r="G25" s="143">
        <f>G27+G28+G29</f>
        <v>350000</v>
      </c>
      <c r="H25" s="143">
        <f t="shared" si="5"/>
        <v>0</v>
      </c>
      <c r="I25" s="143">
        <f>I27+I29+I28</f>
        <v>0</v>
      </c>
      <c r="J25" s="143">
        <f>J27+J29+J28</f>
        <v>0</v>
      </c>
      <c r="K25" s="143">
        <f>K27+K29+K28</f>
        <v>0</v>
      </c>
      <c r="L25" s="143">
        <f>L27+L29+L28</f>
        <v>0</v>
      </c>
      <c r="M25" s="143"/>
      <c r="N25" s="142">
        <f t="shared" si="1"/>
        <v>2102000</v>
      </c>
      <c r="O25" s="144"/>
      <c r="P25" s="144"/>
    </row>
    <row r="26" spans="1:16" s="22" customFormat="1" ht="114.75" hidden="1">
      <c r="A26" s="45"/>
      <c r="B26" s="26" t="s">
        <v>302</v>
      </c>
      <c r="C26" s="143">
        <f t="shared" si="4"/>
        <v>0</v>
      </c>
      <c r="D26" s="143"/>
      <c r="E26" s="143"/>
      <c r="F26" s="143"/>
      <c r="G26" s="143"/>
      <c r="H26" s="143">
        <f t="shared" si="5"/>
        <v>0</v>
      </c>
      <c r="I26" s="143"/>
      <c r="J26" s="143"/>
      <c r="K26" s="143"/>
      <c r="L26" s="143"/>
      <c r="M26" s="143"/>
      <c r="N26" s="142">
        <f t="shared" si="1"/>
        <v>0</v>
      </c>
      <c r="O26" s="144"/>
      <c r="P26" s="144"/>
    </row>
    <row r="27" spans="1:16" s="22" customFormat="1" ht="63.75">
      <c r="A27" s="45"/>
      <c r="B27" s="26" t="s">
        <v>306</v>
      </c>
      <c r="C27" s="143">
        <f t="shared" si="4"/>
        <v>500000</v>
      </c>
      <c r="D27" s="143">
        <f>100000+50000</f>
        <v>150000</v>
      </c>
      <c r="E27" s="143"/>
      <c r="F27" s="143"/>
      <c r="G27" s="143">
        <f>150000+200000</f>
        <v>350000</v>
      </c>
      <c r="H27" s="143">
        <f t="shared" si="5"/>
        <v>0</v>
      </c>
      <c r="I27" s="143"/>
      <c r="J27" s="143"/>
      <c r="K27" s="143"/>
      <c r="L27" s="143"/>
      <c r="M27" s="143"/>
      <c r="N27" s="142">
        <f t="shared" si="1"/>
        <v>500000</v>
      </c>
      <c r="O27" s="144"/>
      <c r="P27" s="144"/>
    </row>
    <row r="28" spans="1:16" s="64" customFormat="1" ht="25.5">
      <c r="A28" s="173"/>
      <c r="B28" s="26" t="s">
        <v>437</v>
      </c>
      <c r="C28" s="143">
        <f t="shared" si="4"/>
        <v>1352000</v>
      </c>
      <c r="D28" s="143">
        <f>652000+900000-200000</f>
        <v>1352000</v>
      </c>
      <c r="E28" s="174"/>
      <c r="F28" s="174"/>
      <c r="G28" s="174"/>
      <c r="H28" s="174">
        <f t="shared" si="5"/>
        <v>0</v>
      </c>
      <c r="I28" s="174"/>
      <c r="J28" s="174"/>
      <c r="K28" s="174"/>
      <c r="L28" s="174"/>
      <c r="M28" s="174"/>
      <c r="N28" s="142">
        <f>C28+H28</f>
        <v>1352000</v>
      </c>
      <c r="O28" s="175"/>
      <c r="P28" s="175"/>
    </row>
    <row r="29" spans="1:16" s="22" customFormat="1" ht="38.25">
      <c r="A29" s="45"/>
      <c r="B29" s="26" t="s">
        <v>258</v>
      </c>
      <c r="C29" s="143">
        <f t="shared" si="4"/>
        <v>250000</v>
      </c>
      <c r="D29" s="143">
        <v>250000</v>
      </c>
      <c r="E29" s="143"/>
      <c r="F29" s="143"/>
      <c r="G29" s="143"/>
      <c r="H29" s="143">
        <f t="shared" si="5"/>
        <v>0</v>
      </c>
      <c r="I29" s="143"/>
      <c r="J29" s="143"/>
      <c r="K29" s="143"/>
      <c r="L29" s="143"/>
      <c r="M29" s="143"/>
      <c r="N29" s="142">
        <f t="shared" si="1"/>
        <v>250000</v>
      </c>
      <c r="O29" s="144"/>
      <c r="P29" s="144"/>
    </row>
    <row r="30" spans="1:16" s="124" customFormat="1" ht="25.5">
      <c r="A30" s="168" t="s">
        <v>263</v>
      </c>
      <c r="B30" s="131" t="s">
        <v>131</v>
      </c>
      <c r="C30" s="159">
        <f>C31+C33</f>
        <v>2023398</v>
      </c>
      <c r="D30" s="159">
        <f>D31+D33</f>
        <v>2019898</v>
      </c>
      <c r="E30" s="159">
        <f>E31+E33</f>
        <v>770336</v>
      </c>
      <c r="F30" s="159">
        <f>F31+F33</f>
        <v>0</v>
      </c>
      <c r="G30" s="159">
        <f>G31+G33</f>
        <v>3500</v>
      </c>
      <c r="H30" s="159">
        <f aca="true" t="shared" si="6" ref="H30:M30">H31+H33+H32</f>
        <v>0</v>
      </c>
      <c r="I30" s="159">
        <f t="shared" si="6"/>
        <v>0</v>
      </c>
      <c r="J30" s="159">
        <f t="shared" si="6"/>
        <v>0</v>
      </c>
      <c r="K30" s="159">
        <f t="shared" si="6"/>
        <v>0</v>
      </c>
      <c r="L30" s="159">
        <f t="shared" si="6"/>
        <v>0</v>
      </c>
      <c r="M30" s="159">
        <f t="shared" si="6"/>
        <v>0</v>
      </c>
      <c r="N30" s="158">
        <f t="shared" si="1"/>
        <v>2023398</v>
      </c>
      <c r="O30" s="167"/>
      <c r="P30" s="167"/>
    </row>
    <row r="31" spans="1:16" s="22" customFormat="1" ht="12.75">
      <c r="A31" s="25" t="s">
        <v>22</v>
      </c>
      <c r="B31" s="16" t="s">
        <v>23</v>
      </c>
      <c r="C31" s="143">
        <f>D31+G31</f>
        <v>1102841</v>
      </c>
      <c r="D31" s="143">
        <f>625526+500+47639+366700+58976</f>
        <v>1099341</v>
      </c>
      <c r="E31" s="143">
        <f>422820+34978+269237+43301</f>
        <v>770336</v>
      </c>
      <c r="F31" s="143"/>
      <c r="G31" s="143">
        <v>3500</v>
      </c>
      <c r="H31" s="143">
        <f>I31+L31</f>
        <v>0</v>
      </c>
      <c r="I31" s="143"/>
      <c r="J31" s="143"/>
      <c r="K31" s="143"/>
      <c r="L31" s="143"/>
      <c r="M31" s="143"/>
      <c r="N31" s="142">
        <f t="shared" si="1"/>
        <v>1102841</v>
      </c>
      <c r="O31" s="144"/>
      <c r="P31" s="144"/>
    </row>
    <row r="32" spans="1:16" s="22" customFormat="1" ht="25.5" hidden="1">
      <c r="A32" s="45" t="s">
        <v>69</v>
      </c>
      <c r="B32" s="104" t="s">
        <v>218</v>
      </c>
      <c r="C32" s="143"/>
      <c r="D32" s="143"/>
      <c r="E32" s="143"/>
      <c r="F32" s="143"/>
      <c r="G32" s="143"/>
      <c r="H32" s="143">
        <f>I32+L32</f>
        <v>0</v>
      </c>
      <c r="I32" s="143"/>
      <c r="J32" s="143"/>
      <c r="K32" s="143"/>
      <c r="L32" s="143"/>
      <c r="M32" s="143"/>
      <c r="N32" s="142">
        <f t="shared" si="1"/>
        <v>0</v>
      </c>
      <c r="O32" s="144"/>
      <c r="P32" s="144"/>
    </row>
    <row r="33" spans="1:16" s="22" customFormat="1" ht="12.75">
      <c r="A33" s="25" t="s">
        <v>71</v>
      </c>
      <c r="B33" s="26" t="s">
        <v>146</v>
      </c>
      <c r="C33" s="143">
        <f>D33+G33</f>
        <v>920557</v>
      </c>
      <c r="D33" s="143">
        <f>D34</f>
        <v>920557</v>
      </c>
      <c r="E33" s="143"/>
      <c r="F33" s="143"/>
      <c r="G33" s="143"/>
      <c r="H33" s="143">
        <f>I33+L33</f>
        <v>0</v>
      </c>
      <c r="I33" s="143"/>
      <c r="J33" s="143"/>
      <c r="K33" s="143"/>
      <c r="L33" s="143"/>
      <c r="M33" s="143"/>
      <c r="N33" s="142">
        <f t="shared" si="1"/>
        <v>920557</v>
      </c>
      <c r="O33" s="144"/>
      <c r="P33" s="144"/>
    </row>
    <row r="34" spans="1:16" s="22" customFormat="1" ht="51">
      <c r="A34" s="45"/>
      <c r="B34" s="27" t="s">
        <v>368</v>
      </c>
      <c r="C34" s="143">
        <f>D34+G34</f>
        <v>920557</v>
      </c>
      <c r="D34" s="143">
        <f>1000000+110000-222324+120000-87119</f>
        <v>920557</v>
      </c>
      <c r="E34" s="143"/>
      <c r="F34" s="143"/>
      <c r="G34" s="143"/>
      <c r="H34" s="143">
        <f>I34+L34</f>
        <v>0</v>
      </c>
      <c r="I34" s="143"/>
      <c r="J34" s="143"/>
      <c r="K34" s="143"/>
      <c r="L34" s="143"/>
      <c r="M34" s="143"/>
      <c r="N34" s="142">
        <f t="shared" si="1"/>
        <v>920557</v>
      </c>
      <c r="O34" s="144"/>
      <c r="P34" s="144"/>
    </row>
    <row r="35" spans="1:16" s="124" customFormat="1" ht="25.5">
      <c r="A35" s="168" t="s">
        <v>427</v>
      </c>
      <c r="B35" s="131" t="s">
        <v>132</v>
      </c>
      <c r="C35" s="159">
        <f aca="true" t="shared" si="7" ref="C35:M35">C36+C38+C39+C40+C44+C49+C53+C37+C43+C41+C42+C48</f>
        <v>19872027</v>
      </c>
      <c r="D35" s="159">
        <f t="shared" si="7"/>
        <v>1981095</v>
      </c>
      <c r="E35" s="159">
        <f t="shared" si="7"/>
        <v>564470</v>
      </c>
      <c r="F35" s="159">
        <f t="shared" si="7"/>
        <v>28510</v>
      </c>
      <c r="G35" s="159">
        <f t="shared" si="7"/>
        <v>17890932</v>
      </c>
      <c r="H35" s="159">
        <f t="shared" si="7"/>
        <v>35986584.94</v>
      </c>
      <c r="I35" s="159">
        <f t="shared" si="7"/>
        <v>14110047.94</v>
      </c>
      <c r="J35" s="159">
        <f t="shared" si="7"/>
        <v>0</v>
      </c>
      <c r="K35" s="159">
        <f t="shared" si="7"/>
        <v>0</v>
      </c>
      <c r="L35" s="159">
        <f t="shared" si="7"/>
        <v>21876537</v>
      </c>
      <c r="M35" s="159">
        <f t="shared" si="7"/>
        <v>14912357</v>
      </c>
      <c r="N35" s="158">
        <f t="shared" si="1"/>
        <v>55858611.94</v>
      </c>
      <c r="O35" s="167"/>
      <c r="P35" s="167"/>
    </row>
    <row r="36" spans="1:16" s="22" customFormat="1" ht="12.75">
      <c r="A36" s="25" t="s">
        <v>22</v>
      </c>
      <c r="B36" s="16" t="s">
        <v>23</v>
      </c>
      <c r="C36" s="143">
        <f aca="true" t="shared" si="8" ref="C36:C57">D36+G36</f>
        <v>888227</v>
      </c>
      <c r="D36" s="143">
        <f>552750+35584+216888+35646+8145+821+11343+20250</f>
        <v>881427</v>
      </c>
      <c r="E36" s="143">
        <f>333402+26127+159243+26172+19526</f>
        <v>564470</v>
      </c>
      <c r="F36" s="143">
        <f>19544+8145+821</f>
        <v>28510</v>
      </c>
      <c r="G36" s="143">
        <v>6800</v>
      </c>
      <c r="H36" s="143">
        <f aca="true" t="shared" si="9" ref="H36:H56">I36+L36</f>
        <v>0</v>
      </c>
      <c r="I36" s="143"/>
      <c r="J36" s="143"/>
      <c r="K36" s="143"/>
      <c r="L36" s="143"/>
      <c r="M36" s="143"/>
      <c r="N36" s="142">
        <f t="shared" si="1"/>
        <v>888227</v>
      </c>
      <c r="O36" s="144"/>
      <c r="P36" s="144"/>
    </row>
    <row r="37" spans="1:16" s="22" customFormat="1" ht="25.5" hidden="1">
      <c r="A37" s="25" t="s">
        <v>438</v>
      </c>
      <c r="B37" s="16" t="s">
        <v>439</v>
      </c>
      <c r="C37" s="143">
        <f t="shared" si="8"/>
        <v>0</v>
      </c>
      <c r="D37" s="143">
        <f>100000-100000</f>
        <v>0</v>
      </c>
      <c r="E37" s="143"/>
      <c r="F37" s="143"/>
      <c r="G37" s="143"/>
      <c r="H37" s="143"/>
      <c r="I37" s="143"/>
      <c r="J37" s="143"/>
      <c r="K37" s="143"/>
      <c r="L37" s="143"/>
      <c r="M37" s="143"/>
      <c r="N37" s="142">
        <f t="shared" si="1"/>
        <v>0</v>
      </c>
      <c r="O37" s="144"/>
      <c r="P37" s="144"/>
    </row>
    <row r="38" spans="1:16" s="22" customFormat="1" ht="25.5">
      <c r="A38" s="25">
        <v>100102</v>
      </c>
      <c r="B38" s="26" t="s">
        <v>52</v>
      </c>
      <c r="C38" s="143">
        <f t="shared" si="8"/>
        <v>13935000</v>
      </c>
      <c r="D38" s="143"/>
      <c r="E38" s="143"/>
      <c r="F38" s="143"/>
      <c r="G38" s="143">
        <f>11200000+1000000+1855000-120000</f>
        <v>13935000</v>
      </c>
      <c r="H38" s="143">
        <f t="shared" si="9"/>
        <v>0</v>
      </c>
      <c r="I38" s="143"/>
      <c r="J38" s="143"/>
      <c r="K38" s="143"/>
      <c r="L38" s="143"/>
      <c r="M38" s="143"/>
      <c r="N38" s="142">
        <f t="shared" si="1"/>
        <v>13935000</v>
      </c>
      <c r="O38" s="144"/>
      <c r="P38" s="144"/>
    </row>
    <row r="39" spans="1:16" s="22" customFormat="1" ht="25.5">
      <c r="A39" s="25">
        <v>100102</v>
      </c>
      <c r="B39" s="26" t="s">
        <v>377</v>
      </c>
      <c r="C39" s="143">
        <f t="shared" si="8"/>
        <v>1700000</v>
      </c>
      <c r="D39" s="143"/>
      <c r="E39" s="143"/>
      <c r="F39" s="143"/>
      <c r="G39" s="143">
        <v>1700000</v>
      </c>
      <c r="H39" s="143">
        <f t="shared" si="9"/>
        <v>0</v>
      </c>
      <c r="I39" s="143"/>
      <c r="J39" s="143"/>
      <c r="K39" s="143"/>
      <c r="L39" s="143"/>
      <c r="M39" s="143"/>
      <c r="N39" s="142">
        <f t="shared" si="1"/>
        <v>1700000</v>
      </c>
      <c r="O39" s="144"/>
      <c r="P39" s="144"/>
    </row>
    <row r="40" spans="1:16" s="22" customFormat="1" ht="38.25">
      <c r="A40" s="25">
        <v>100102</v>
      </c>
      <c r="B40" s="26" t="s">
        <v>366</v>
      </c>
      <c r="C40" s="143">
        <f t="shared" si="8"/>
        <v>400000</v>
      </c>
      <c r="D40" s="143"/>
      <c r="E40" s="143"/>
      <c r="F40" s="143"/>
      <c r="G40" s="143">
        <v>400000</v>
      </c>
      <c r="H40" s="143">
        <f t="shared" si="9"/>
        <v>0</v>
      </c>
      <c r="I40" s="143"/>
      <c r="J40" s="143"/>
      <c r="K40" s="143"/>
      <c r="L40" s="143"/>
      <c r="M40" s="143"/>
      <c r="N40" s="142">
        <f t="shared" si="1"/>
        <v>400000</v>
      </c>
      <c r="O40" s="144"/>
      <c r="P40" s="144"/>
    </row>
    <row r="41" spans="1:16" s="22" customFormat="1" ht="51">
      <c r="A41" s="25" t="s">
        <v>447</v>
      </c>
      <c r="B41" s="26" t="s">
        <v>448</v>
      </c>
      <c r="C41" s="143">
        <f t="shared" si="8"/>
        <v>236000</v>
      </c>
      <c r="D41" s="143"/>
      <c r="E41" s="143"/>
      <c r="F41" s="143"/>
      <c r="G41" s="143">
        <v>236000</v>
      </c>
      <c r="H41" s="143"/>
      <c r="I41" s="143"/>
      <c r="J41" s="143"/>
      <c r="K41" s="143"/>
      <c r="L41" s="143"/>
      <c r="M41" s="143"/>
      <c r="N41" s="142">
        <f t="shared" si="1"/>
        <v>236000</v>
      </c>
      <c r="O41" s="144"/>
      <c r="P41" s="144"/>
    </row>
    <row r="42" spans="1:16" s="22" customFormat="1" ht="51">
      <c r="A42" s="25" t="s">
        <v>449</v>
      </c>
      <c r="B42" s="26" t="s">
        <v>450</v>
      </c>
      <c r="C42" s="143">
        <f t="shared" si="8"/>
        <v>1158100</v>
      </c>
      <c r="D42" s="143"/>
      <c r="E42" s="143"/>
      <c r="F42" s="143"/>
      <c r="G42" s="143">
        <v>1158100</v>
      </c>
      <c r="H42" s="143"/>
      <c r="I42" s="143"/>
      <c r="J42" s="143"/>
      <c r="K42" s="143"/>
      <c r="L42" s="143"/>
      <c r="M42" s="143"/>
      <c r="N42" s="142">
        <f t="shared" si="1"/>
        <v>1158100</v>
      </c>
      <c r="O42" s="144"/>
      <c r="P42" s="144"/>
    </row>
    <row r="43" spans="1:16" s="22" customFormat="1" ht="140.25">
      <c r="A43" s="25" t="s">
        <v>440</v>
      </c>
      <c r="B43" s="26" t="s">
        <v>441</v>
      </c>
      <c r="C43" s="143">
        <f t="shared" si="8"/>
        <v>0</v>
      </c>
      <c r="D43" s="143"/>
      <c r="E43" s="143"/>
      <c r="F43" s="143"/>
      <c r="G43" s="143"/>
      <c r="H43" s="186">
        <f t="shared" si="9"/>
        <v>11519727.94</v>
      </c>
      <c r="I43" s="186">
        <v>11519727.94</v>
      </c>
      <c r="J43" s="143"/>
      <c r="K43" s="143"/>
      <c r="L43" s="143"/>
      <c r="M43" s="143"/>
      <c r="N43" s="187">
        <f t="shared" si="1"/>
        <v>11519727.94</v>
      </c>
      <c r="O43" s="144"/>
      <c r="P43" s="144"/>
    </row>
    <row r="44" spans="1:16" s="22" customFormat="1" ht="12.75">
      <c r="A44" s="25" t="s">
        <v>248</v>
      </c>
      <c r="B44" s="26" t="s">
        <v>249</v>
      </c>
      <c r="C44" s="143">
        <f t="shared" si="8"/>
        <v>0</v>
      </c>
      <c r="D44" s="143"/>
      <c r="E44" s="143"/>
      <c r="F44" s="143"/>
      <c r="G44" s="143"/>
      <c r="H44" s="143">
        <f t="shared" si="9"/>
        <v>14912357</v>
      </c>
      <c r="I44" s="143"/>
      <c r="J44" s="143"/>
      <c r="K44" s="143"/>
      <c r="L44" s="143">
        <f>M44</f>
        <v>14912357</v>
      </c>
      <c r="M44" s="143">
        <f>15121100+296000-504743</f>
        <v>14912357</v>
      </c>
      <c r="N44" s="142">
        <f t="shared" si="1"/>
        <v>14912357</v>
      </c>
      <c r="O44" s="144"/>
      <c r="P44" s="144"/>
    </row>
    <row r="45" spans="1:16" s="22" customFormat="1" ht="63.75" hidden="1">
      <c r="A45" s="45" t="s">
        <v>299</v>
      </c>
      <c r="B45" s="16" t="s">
        <v>300</v>
      </c>
      <c r="C45" s="143">
        <f t="shared" si="8"/>
        <v>0</v>
      </c>
      <c r="D45" s="143"/>
      <c r="E45" s="143"/>
      <c r="F45" s="143"/>
      <c r="G45" s="143"/>
      <c r="H45" s="143">
        <f t="shared" si="9"/>
        <v>0</v>
      </c>
      <c r="I45" s="143"/>
      <c r="J45" s="143"/>
      <c r="K45" s="143"/>
      <c r="L45" s="143"/>
      <c r="M45" s="143"/>
      <c r="N45" s="142">
        <f t="shared" si="1"/>
        <v>0</v>
      </c>
      <c r="O45" s="144"/>
      <c r="P45" s="144"/>
    </row>
    <row r="46" spans="1:16" s="22" customFormat="1" ht="12.75" hidden="1">
      <c r="A46" s="45" t="s">
        <v>316</v>
      </c>
      <c r="B46" s="16" t="s">
        <v>317</v>
      </c>
      <c r="C46" s="143">
        <f t="shared" si="8"/>
        <v>0</v>
      </c>
      <c r="D46" s="143"/>
      <c r="E46" s="143"/>
      <c r="F46" s="143"/>
      <c r="G46" s="143"/>
      <c r="H46" s="143">
        <f t="shared" si="9"/>
        <v>0</v>
      </c>
      <c r="I46" s="143"/>
      <c r="J46" s="143"/>
      <c r="K46" s="143"/>
      <c r="L46" s="143"/>
      <c r="M46" s="143"/>
      <c r="N46" s="142">
        <f t="shared" si="1"/>
        <v>0</v>
      </c>
      <c r="O46" s="144"/>
      <c r="P46" s="144"/>
    </row>
    <row r="47" spans="1:16" s="22" customFormat="1" ht="51" customHeight="1" hidden="1">
      <c r="A47" s="45" t="s">
        <v>307</v>
      </c>
      <c r="B47" s="27" t="s">
        <v>308</v>
      </c>
      <c r="C47" s="143">
        <f>D47+G47</f>
        <v>0</v>
      </c>
      <c r="D47" s="143"/>
      <c r="E47" s="143"/>
      <c r="F47" s="143"/>
      <c r="G47" s="143"/>
      <c r="H47" s="143">
        <f>I47+L47</f>
        <v>0</v>
      </c>
      <c r="I47" s="143"/>
      <c r="J47" s="143"/>
      <c r="K47" s="143"/>
      <c r="L47" s="143"/>
      <c r="M47" s="143"/>
      <c r="N47" s="142">
        <f>C47+H47</f>
        <v>0</v>
      </c>
      <c r="O47" s="144"/>
      <c r="P47" s="144"/>
    </row>
    <row r="48" spans="1:16" s="22" customFormat="1" ht="25.5">
      <c r="A48" s="45" t="s">
        <v>247</v>
      </c>
      <c r="B48" s="104" t="s">
        <v>295</v>
      </c>
      <c r="C48" s="143"/>
      <c r="D48" s="143"/>
      <c r="E48" s="143"/>
      <c r="F48" s="143"/>
      <c r="G48" s="143"/>
      <c r="H48" s="143">
        <f t="shared" si="9"/>
        <v>1300000</v>
      </c>
      <c r="I48" s="143"/>
      <c r="J48" s="143"/>
      <c r="K48" s="143"/>
      <c r="L48" s="143">
        <v>1300000</v>
      </c>
      <c r="M48" s="143"/>
      <c r="N48" s="142">
        <f t="shared" si="1"/>
        <v>1300000</v>
      </c>
      <c r="O48" s="144"/>
      <c r="P48" s="144"/>
    </row>
    <row r="49" spans="1:16" s="22" customFormat="1" ht="25.5">
      <c r="A49" s="45" t="s">
        <v>69</v>
      </c>
      <c r="B49" s="104" t="s">
        <v>218</v>
      </c>
      <c r="C49" s="143">
        <f t="shared" si="8"/>
        <v>0</v>
      </c>
      <c r="D49" s="143"/>
      <c r="E49" s="143"/>
      <c r="F49" s="143"/>
      <c r="G49" s="143"/>
      <c r="H49" s="143">
        <f t="shared" si="9"/>
        <v>8254500</v>
      </c>
      <c r="I49" s="143">
        <f>1300000+I51+I52+130000+100000+2820</f>
        <v>2590320</v>
      </c>
      <c r="J49" s="143"/>
      <c r="K49" s="143"/>
      <c r="L49" s="143">
        <f>5000000+L51+L52+370000-2820+60000</f>
        <v>5664180</v>
      </c>
      <c r="M49" s="143"/>
      <c r="N49" s="142">
        <f t="shared" si="1"/>
        <v>8254500</v>
      </c>
      <c r="O49" s="144"/>
      <c r="P49" s="144"/>
    </row>
    <row r="50" spans="1:16" s="22" customFormat="1" ht="12.75">
      <c r="A50" s="45"/>
      <c r="B50" s="103" t="s">
        <v>224</v>
      </c>
      <c r="C50" s="143"/>
      <c r="D50" s="143"/>
      <c r="E50" s="143"/>
      <c r="F50" s="143"/>
      <c r="G50" s="143"/>
      <c r="H50" s="143"/>
      <c r="I50" s="143"/>
      <c r="J50" s="143"/>
      <c r="K50" s="143"/>
      <c r="L50" s="143"/>
      <c r="M50" s="143"/>
      <c r="N50" s="142"/>
      <c r="O50" s="144"/>
      <c r="P50" s="144"/>
    </row>
    <row r="51" spans="1:16" s="22" customFormat="1" ht="89.25">
      <c r="A51" s="45"/>
      <c r="B51" s="103" t="s">
        <v>389</v>
      </c>
      <c r="C51" s="143">
        <f t="shared" si="8"/>
        <v>0</v>
      </c>
      <c r="D51" s="143"/>
      <c r="E51" s="143"/>
      <c r="F51" s="143"/>
      <c r="G51" s="143"/>
      <c r="H51" s="143">
        <f t="shared" si="9"/>
        <v>1074500</v>
      </c>
      <c r="I51" s="143">
        <v>896000</v>
      </c>
      <c r="J51" s="143"/>
      <c r="K51" s="143"/>
      <c r="L51" s="143">
        <v>178500</v>
      </c>
      <c r="M51" s="143"/>
      <c r="N51" s="142">
        <f t="shared" si="1"/>
        <v>1074500</v>
      </c>
      <c r="O51" s="144"/>
      <c r="P51" s="144"/>
    </row>
    <row r="52" spans="1:16" s="22" customFormat="1" ht="25.5">
      <c r="A52" s="45"/>
      <c r="B52" s="103" t="s">
        <v>425</v>
      </c>
      <c r="C52" s="143"/>
      <c r="D52" s="143"/>
      <c r="E52" s="143"/>
      <c r="F52" s="143"/>
      <c r="G52" s="143"/>
      <c r="H52" s="143">
        <f t="shared" si="9"/>
        <v>220000</v>
      </c>
      <c r="I52" s="143">
        <v>161500</v>
      </c>
      <c r="J52" s="143"/>
      <c r="K52" s="143"/>
      <c r="L52" s="143">
        <v>58500</v>
      </c>
      <c r="M52" s="143"/>
      <c r="N52" s="142">
        <f t="shared" si="1"/>
        <v>220000</v>
      </c>
      <c r="O52" s="144"/>
      <c r="P52" s="144"/>
    </row>
    <row r="53" spans="1:16" s="22" customFormat="1" ht="12.75">
      <c r="A53" s="45" t="s">
        <v>71</v>
      </c>
      <c r="B53" s="27" t="s">
        <v>146</v>
      </c>
      <c r="C53" s="143">
        <f t="shared" si="8"/>
        <v>1554700</v>
      </c>
      <c r="D53" s="143">
        <f>D55+D54+D56+D57</f>
        <v>1099668</v>
      </c>
      <c r="E53" s="143">
        <f>E55+E54+E56+E57</f>
        <v>0</v>
      </c>
      <c r="F53" s="143">
        <f>F55+F54+F56+F57</f>
        <v>0</v>
      </c>
      <c r="G53" s="143">
        <f>G55+G54+G56+G57</f>
        <v>455032</v>
      </c>
      <c r="H53" s="143">
        <f t="shared" si="9"/>
        <v>0</v>
      </c>
      <c r="I53" s="143">
        <f>I55</f>
        <v>0</v>
      </c>
      <c r="J53" s="143">
        <f>J55</f>
        <v>0</v>
      </c>
      <c r="K53" s="143">
        <f>K55</f>
        <v>0</v>
      </c>
      <c r="L53" s="143">
        <f>L55</f>
        <v>0</v>
      </c>
      <c r="M53" s="143"/>
      <c r="N53" s="142">
        <f t="shared" si="1"/>
        <v>1554700</v>
      </c>
      <c r="O53" s="144"/>
      <c r="P53" s="144"/>
    </row>
    <row r="54" spans="1:16" s="22" customFormat="1" ht="38.25">
      <c r="A54" s="45"/>
      <c r="B54" s="27" t="s">
        <v>412</v>
      </c>
      <c r="C54" s="143">
        <f t="shared" si="8"/>
        <v>20000</v>
      </c>
      <c r="D54" s="143">
        <v>20000</v>
      </c>
      <c r="E54" s="143"/>
      <c r="F54" s="143"/>
      <c r="G54" s="143"/>
      <c r="H54" s="143">
        <f t="shared" si="9"/>
        <v>0</v>
      </c>
      <c r="I54" s="143"/>
      <c r="J54" s="143"/>
      <c r="K54" s="143"/>
      <c r="L54" s="143"/>
      <c r="M54" s="143"/>
      <c r="N54" s="142">
        <f t="shared" si="1"/>
        <v>20000</v>
      </c>
      <c r="O54" s="144"/>
      <c r="P54" s="144"/>
    </row>
    <row r="55" spans="1:16" s="22" customFormat="1" ht="38.25">
      <c r="A55" s="45"/>
      <c r="B55" s="27" t="s">
        <v>413</v>
      </c>
      <c r="C55" s="143">
        <f t="shared" si="8"/>
        <v>214700</v>
      </c>
      <c r="D55" s="143">
        <v>214700</v>
      </c>
      <c r="E55" s="143"/>
      <c r="F55" s="143"/>
      <c r="G55" s="143"/>
      <c r="H55" s="143">
        <f t="shared" si="9"/>
        <v>0</v>
      </c>
      <c r="I55" s="143"/>
      <c r="J55" s="143"/>
      <c r="K55" s="143"/>
      <c r="L55" s="143"/>
      <c r="M55" s="143"/>
      <c r="N55" s="142">
        <f t="shared" si="1"/>
        <v>214700</v>
      </c>
      <c r="O55" s="144"/>
      <c r="P55" s="144"/>
    </row>
    <row r="56" spans="1:16" s="22" customFormat="1" ht="25.5">
      <c r="A56" s="45"/>
      <c r="B56" s="27" t="s">
        <v>445</v>
      </c>
      <c r="C56" s="143">
        <f t="shared" si="8"/>
        <v>1320000</v>
      </c>
      <c r="D56" s="143">
        <f>857368+7600</f>
        <v>864968</v>
      </c>
      <c r="E56" s="143"/>
      <c r="F56" s="143"/>
      <c r="G56" s="143">
        <f>462632-7600</f>
        <v>455032</v>
      </c>
      <c r="H56" s="143">
        <f t="shared" si="9"/>
        <v>0</v>
      </c>
      <c r="I56" s="143"/>
      <c r="J56" s="143"/>
      <c r="K56" s="143"/>
      <c r="L56" s="143"/>
      <c r="M56" s="143"/>
      <c r="N56" s="142">
        <f t="shared" si="1"/>
        <v>1320000</v>
      </c>
      <c r="O56" s="144"/>
      <c r="P56" s="144"/>
    </row>
    <row r="57" spans="1:16" s="22" customFormat="1" ht="12.75" hidden="1">
      <c r="A57" s="45"/>
      <c r="B57" s="27" t="s">
        <v>146</v>
      </c>
      <c r="C57" s="143">
        <f t="shared" si="8"/>
        <v>0</v>
      </c>
      <c r="D57" s="143">
        <f>40000-40000</f>
        <v>0</v>
      </c>
      <c r="E57" s="143"/>
      <c r="F57" s="143"/>
      <c r="G57" s="143"/>
      <c r="H57" s="143"/>
      <c r="I57" s="143"/>
      <c r="J57" s="143"/>
      <c r="K57" s="143"/>
      <c r="L57" s="143"/>
      <c r="M57" s="143"/>
      <c r="N57" s="142"/>
      <c r="O57" s="144"/>
      <c r="P57" s="144"/>
    </row>
    <row r="58" spans="1:16" s="124" customFormat="1" ht="25.5">
      <c r="A58" s="123" t="s">
        <v>376</v>
      </c>
      <c r="B58" s="125" t="s">
        <v>133</v>
      </c>
      <c r="C58" s="159">
        <f>C60+C61+C62+C63+C64+C68+C70+C66+C65+C79</f>
        <v>24232311</v>
      </c>
      <c r="D58" s="159">
        <f>D60+D61+D62+D63+D64+D68+D70+D66+D65+D79</f>
        <v>23671144</v>
      </c>
      <c r="E58" s="159">
        <f>E60+E61+E62+E63+E64+E68+E70+E66+E65+E79</f>
        <v>407638</v>
      </c>
      <c r="F58" s="159">
        <f>F60+F61+F62+F63+F64+F68+F70+F66+F65+F79</f>
        <v>9288265</v>
      </c>
      <c r="G58" s="159">
        <f>G60+G61+G62+G63+G64+G68+G70+G66+G65+G79</f>
        <v>561167</v>
      </c>
      <c r="H58" s="159">
        <f aca="true" t="shared" si="10" ref="H58:M58">H60+H61+H62+H63+H64+H68+H70+H66+H69+H67+H75+H74</f>
        <v>46141572</v>
      </c>
      <c r="I58" s="159">
        <f>I60+I61+I62+I63+I64+I68+I70+I66+I69+I67+I75+I74</f>
        <v>23428234</v>
      </c>
      <c r="J58" s="159">
        <f t="shared" si="10"/>
        <v>0</v>
      </c>
      <c r="K58" s="159">
        <f t="shared" si="10"/>
        <v>6366000</v>
      </c>
      <c r="L58" s="159">
        <f t="shared" si="10"/>
        <v>22713338</v>
      </c>
      <c r="M58" s="159">
        <f t="shared" si="10"/>
        <v>18022938</v>
      </c>
      <c r="N58" s="158">
        <f t="shared" si="1"/>
        <v>70373883</v>
      </c>
      <c r="O58" s="167"/>
      <c r="P58" s="167"/>
    </row>
    <row r="59" spans="1:16" ht="12.75" hidden="1">
      <c r="A59" s="130"/>
      <c r="B59" s="111"/>
      <c r="C59" s="145"/>
      <c r="D59" s="145"/>
      <c r="E59" s="145"/>
      <c r="F59" s="145"/>
      <c r="G59" s="145"/>
      <c r="H59" s="145"/>
      <c r="I59" s="145"/>
      <c r="J59" s="145"/>
      <c r="K59" s="145"/>
      <c r="L59" s="145"/>
      <c r="M59" s="145"/>
      <c r="N59" s="142">
        <f t="shared" si="1"/>
        <v>0</v>
      </c>
      <c r="O59" s="145"/>
      <c r="P59" s="145"/>
    </row>
    <row r="60" spans="1:16" s="22" customFormat="1" ht="12.75">
      <c r="A60" s="45" t="s">
        <v>22</v>
      </c>
      <c r="B60" s="51" t="s">
        <v>23</v>
      </c>
      <c r="C60" s="143">
        <f>D60+G60</f>
        <v>680294</v>
      </c>
      <c r="D60" s="143">
        <f>472097+27820+121212+48618+7047</f>
        <v>676794</v>
      </c>
      <c r="E60" s="143">
        <f>262520+20426+88996+35696</f>
        <v>407638</v>
      </c>
      <c r="F60" s="143">
        <f>17218+7047</f>
        <v>24265</v>
      </c>
      <c r="G60" s="143">
        <v>3500</v>
      </c>
      <c r="H60" s="143">
        <f>I60+L60</f>
        <v>0</v>
      </c>
      <c r="I60" s="143"/>
      <c r="J60" s="143"/>
      <c r="K60" s="143"/>
      <c r="L60" s="143"/>
      <c r="M60" s="143"/>
      <c r="N60" s="142">
        <f t="shared" si="1"/>
        <v>680294</v>
      </c>
      <c r="O60" s="144"/>
      <c r="P60" s="144"/>
    </row>
    <row r="61" spans="1:16" s="22" customFormat="1" ht="25.5">
      <c r="A61" s="45" t="s">
        <v>157</v>
      </c>
      <c r="B61" s="51" t="s">
        <v>119</v>
      </c>
      <c r="C61" s="143">
        <f aca="true" t="shared" si="11" ref="C61:C79">D61+G61</f>
        <v>959267</v>
      </c>
      <c r="D61" s="143">
        <v>750000</v>
      </c>
      <c r="E61" s="143"/>
      <c r="F61" s="143"/>
      <c r="G61" s="143">
        <v>209267</v>
      </c>
      <c r="H61" s="143">
        <f aca="true" t="shared" si="12" ref="H61:H78">I61+L61</f>
        <v>0</v>
      </c>
      <c r="I61" s="143"/>
      <c r="J61" s="143"/>
      <c r="K61" s="143"/>
      <c r="L61" s="143"/>
      <c r="M61" s="143"/>
      <c r="N61" s="142">
        <f t="shared" si="1"/>
        <v>959267</v>
      </c>
      <c r="O61" s="144"/>
      <c r="P61" s="144"/>
    </row>
    <row r="62" spans="1:16" s="22" customFormat="1" ht="25.5">
      <c r="A62" s="45" t="s">
        <v>48</v>
      </c>
      <c r="B62" s="27" t="s">
        <v>226</v>
      </c>
      <c r="C62" s="143">
        <f t="shared" si="11"/>
        <v>110000</v>
      </c>
      <c r="D62" s="143">
        <v>110000</v>
      </c>
      <c r="E62" s="143"/>
      <c r="F62" s="143"/>
      <c r="G62" s="143"/>
      <c r="H62" s="143">
        <f t="shared" si="12"/>
        <v>0</v>
      </c>
      <c r="I62" s="143"/>
      <c r="J62" s="143"/>
      <c r="K62" s="143"/>
      <c r="L62" s="143"/>
      <c r="M62" s="143"/>
      <c r="N62" s="142">
        <f t="shared" si="1"/>
        <v>110000</v>
      </c>
      <c r="O62" s="144"/>
      <c r="P62" s="144"/>
    </row>
    <row r="63" spans="1:16" s="22" customFormat="1" ht="25.5" hidden="1">
      <c r="A63" s="45" t="s">
        <v>321</v>
      </c>
      <c r="B63" s="27" t="s">
        <v>322</v>
      </c>
      <c r="C63" s="143">
        <f t="shared" si="11"/>
        <v>0</v>
      </c>
      <c r="D63" s="143"/>
      <c r="E63" s="143"/>
      <c r="F63" s="143"/>
      <c r="G63" s="143"/>
      <c r="H63" s="143">
        <f t="shared" si="12"/>
        <v>0</v>
      </c>
      <c r="I63" s="143"/>
      <c r="J63" s="143"/>
      <c r="K63" s="143"/>
      <c r="L63" s="143"/>
      <c r="M63" s="143"/>
      <c r="N63" s="142">
        <f t="shared" si="1"/>
        <v>0</v>
      </c>
      <c r="O63" s="144"/>
      <c r="P63" s="144"/>
    </row>
    <row r="64" spans="1:16" s="22" customFormat="1" ht="12.75">
      <c r="A64" s="45">
        <v>100203</v>
      </c>
      <c r="B64" s="27" t="s">
        <v>53</v>
      </c>
      <c r="C64" s="143">
        <f t="shared" si="11"/>
        <v>22117750</v>
      </c>
      <c r="D64" s="143">
        <f>18300000+300000+340000+920000+1974350</f>
        <v>21834350</v>
      </c>
      <c r="E64" s="143"/>
      <c r="F64" s="143">
        <f>5375000+970000+300000+1000000+40000+1579000</f>
        <v>9264000</v>
      </c>
      <c r="G64" s="143">
        <f>500000-340000+15000+108400</f>
        <v>283400</v>
      </c>
      <c r="H64" s="143">
        <f t="shared" si="12"/>
        <v>500000</v>
      </c>
      <c r="I64" s="143">
        <v>500000</v>
      </c>
      <c r="J64" s="143"/>
      <c r="K64" s="143"/>
      <c r="L64" s="143"/>
      <c r="M64" s="143"/>
      <c r="N64" s="142">
        <f t="shared" si="1"/>
        <v>22617750</v>
      </c>
      <c r="O64" s="144"/>
      <c r="P64" s="144"/>
    </row>
    <row r="65" spans="1:16" s="22" customFormat="1" ht="63.75">
      <c r="A65" s="45" t="s">
        <v>406</v>
      </c>
      <c r="B65" s="26" t="s">
        <v>407</v>
      </c>
      <c r="C65" s="143">
        <f t="shared" si="11"/>
        <v>65000</v>
      </c>
      <c r="D65" s="143"/>
      <c r="E65" s="143"/>
      <c r="F65" s="143"/>
      <c r="G65" s="143">
        <v>65000</v>
      </c>
      <c r="H65" s="143"/>
      <c r="I65" s="143"/>
      <c r="J65" s="143"/>
      <c r="K65" s="143"/>
      <c r="L65" s="143"/>
      <c r="M65" s="143"/>
      <c r="N65" s="142">
        <f t="shared" si="1"/>
        <v>65000</v>
      </c>
      <c r="O65" s="144"/>
      <c r="P65" s="144"/>
    </row>
    <row r="66" spans="1:16" s="22" customFormat="1" ht="12.75">
      <c r="A66" s="45" t="s">
        <v>248</v>
      </c>
      <c r="B66" s="26" t="s">
        <v>249</v>
      </c>
      <c r="C66" s="143">
        <f t="shared" si="11"/>
        <v>0</v>
      </c>
      <c r="D66" s="143"/>
      <c r="E66" s="143"/>
      <c r="F66" s="143"/>
      <c r="G66" s="143"/>
      <c r="H66" s="143">
        <f t="shared" si="12"/>
        <v>17640188</v>
      </c>
      <c r="I66" s="143"/>
      <c r="J66" s="143"/>
      <c r="K66" s="143"/>
      <c r="L66" s="143">
        <f>M66</f>
        <v>17640188</v>
      </c>
      <c r="M66" s="143">
        <f>17744517+533571-737900+100000</f>
        <v>17640188</v>
      </c>
      <c r="N66" s="142">
        <f t="shared" si="1"/>
        <v>17640188</v>
      </c>
      <c r="O66" s="144"/>
      <c r="P66" s="144"/>
    </row>
    <row r="67" spans="1:16" s="22" customFormat="1" ht="63.75">
      <c r="A67" s="45" t="s">
        <v>299</v>
      </c>
      <c r="B67" s="16" t="s">
        <v>300</v>
      </c>
      <c r="C67" s="143"/>
      <c r="D67" s="143"/>
      <c r="E67" s="143"/>
      <c r="F67" s="143"/>
      <c r="G67" s="143"/>
      <c r="H67" s="143">
        <f t="shared" si="12"/>
        <v>382750</v>
      </c>
      <c r="I67" s="143"/>
      <c r="J67" s="143"/>
      <c r="K67" s="143"/>
      <c r="L67" s="143">
        <f>M67</f>
        <v>382750</v>
      </c>
      <c r="M67" s="143">
        <f>260750+122000</f>
        <v>382750</v>
      </c>
      <c r="N67" s="142">
        <f t="shared" si="1"/>
        <v>382750</v>
      </c>
      <c r="O67" s="144"/>
      <c r="P67" s="144"/>
    </row>
    <row r="68" spans="1:16" s="22" customFormat="1" ht="51">
      <c r="A68" s="45">
        <v>170703</v>
      </c>
      <c r="B68" s="27" t="s">
        <v>292</v>
      </c>
      <c r="C68" s="143">
        <f t="shared" si="11"/>
        <v>0</v>
      </c>
      <c r="D68" s="143"/>
      <c r="E68" s="143"/>
      <c r="F68" s="143"/>
      <c r="G68" s="143"/>
      <c r="H68" s="143">
        <f t="shared" si="12"/>
        <v>16890000</v>
      </c>
      <c r="I68" s="143">
        <f>12490000+3200000</f>
        <v>15690000</v>
      </c>
      <c r="J68" s="143"/>
      <c r="K68" s="143">
        <f>4000000+1000000</f>
        <v>5000000</v>
      </c>
      <c r="L68" s="143">
        <v>1200000</v>
      </c>
      <c r="M68" s="143"/>
      <c r="N68" s="142">
        <f t="shared" si="1"/>
        <v>16890000</v>
      </c>
      <c r="O68" s="144"/>
      <c r="P68" s="144"/>
    </row>
    <row r="69" spans="1:16" s="22" customFormat="1" ht="50.25" customHeight="1" hidden="1">
      <c r="A69" s="45" t="s">
        <v>307</v>
      </c>
      <c r="B69" s="27" t="s">
        <v>308</v>
      </c>
      <c r="C69" s="143">
        <f t="shared" si="11"/>
        <v>0</v>
      </c>
      <c r="D69" s="143"/>
      <c r="E69" s="143"/>
      <c r="F69" s="143"/>
      <c r="G69" s="143"/>
      <c r="H69" s="143">
        <f t="shared" si="12"/>
        <v>0</v>
      </c>
      <c r="I69" s="143"/>
      <c r="J69" s="143"/>
      <c r="K69" s="143"/>
      <c r="L69" s="143"/>
      <c r="M69" s="143"/>
      <c r="N69" s="142">
        <f t="shared" si="1"/>
        <v>0</v>
      </c>
      <c r="O69" s="144"/>
      <c r="P69" s="144"/>
    </row>
    <row r="70" spans="1:16" s="22" customFormat="1" ht="12.75" hidden="1">
      <c r="A70" s="45" t="s">
        <v>71</v>
      </c>
      <c r="B70" s="27" t="s">
        <v>146</v>
      </c>
      <c r="C70" s="143">
        <f t="shared" si="11"/>
        <v>0</v>
      </c>
      <c r="D70" s="143">
        <f>D71+D72+D73</f>
        <v>0</v>
      </c>
      <c r="E70" s="143"/>
      <c r="F70" s="143"/>
      <c r="G70" s="143"/>
      <c r="H70" s="143">
        <f t="shared" si="12"/>
        <v>0</v>
      </c>
      <c r="I70" s="143"/>
      <c r="J70" s="143"/>
      <c r="K70" s="143"/>
      <c r="L70" s="143"/>
      <c r="M70" s="143"/>
      <c r="N70" s="142">
        <f t="shared" si="1"/>
        <v>0</v>
      </c>
      <c r="O70" s="144"/>
      <c r="P70" s="144"/>
    </row>
    <row r="71" spans="1:16" s="22" customFormat="1" ht="90.75" customHeight="1" hidden="1">
      <c r="A71" s="45"/>
      <c r="B71" s="103" t="s">
        <v>364</v>
      </c>
      <c r="C71" s="143">
        <f t="shared" si="11"/>
        <v>0</v>
      </c>
      <c r="D71" s="143"/>
      <c r="E71" s="143"/>
      <c r="F71" s="143"/>
      <c r="G71" s="143"/>
      <c r="H71" s="143">
        <f t="shared" si="12"/>
        <v>0</v>
      </c>
      <c r="I71" s="143"/>
      <c r="J71" s="143"/>
      <c r="K71" s="143"/>
      <c r="L71" s="143"/>
      <c r="M71" s="143"/>
      <c r="N71" s="142">
        <f t="shared" si="1"/>
        <v>0</v>
      </c>
      <c r="O71" s="144"/>
      <c r="P71" s="144"/>
    </row>
    <row r="72" spans="1:16" s="22" customFormat="1" ht="25.5" hidden="1">
      <c r="A72" s="45"/>
      <c r="B72" s="27" t="s">
        <v>310</v>
      </c>
      <c r="C72" s="143">
        <f t="shared" si="11"/>
        <v>0</v>
      </c>
      <c r="D72" s="143"/>
      <c r="E72" s="143"/>
      <c r="F72" s="143"/>
      <c r="G72" s="143"/>
      <c r="H72" s="143">
        <f t="shared" si="12"/>
        <v>0</v>
      </c>
      <c r="I72" s="143"/>
      <c r="J72" s="143"/>
      <c r="K72" s="143"/>
      <c r="L72" s="143"/>
      <c r="M72" s="143"/>
      <c r="N72" s="142">
        <f t="shared" si="1"/>
        <v>0</v>
      </c>
      <c r="O72" s="144"/>
      <c r="P72" s="144"/>
    </row>
    <row r="73" spans="1:16" s="22" customFormat="1" ht="76.5" hidden="1">
      <c r="A73" s="45"/>
      <c r="B73" s="27" t="s">
        <v>256</v>
      </c>
      <c r="C73" s="143">
        <f t="shared" si="11"/>
        <v>0</v>
      </c>
      <c r="D73" s="143"/>
      <c r="E73" s="143"/>
      <c r="F73" s="143"/>
      <c r="G73" s="143"/>
      <c r="H73" s="143">
        <f t="shared" si="12"/>
        <v>0</v>
      </c>
      <c r="I73" s="143"/>
      <c r="J73" s="143"/>
      <c r="K73" s="143"/>
      <c r="L73" s="143"/>
      <c r="M73" s="143"/>
      <c r="N73" s="142">
        <f t="shared" si="1"/>
        <v>0</v>
      </c>
      <c r="O73" s="144"/>
      <c r="P73" s="144"/>
    </row>
    <row r="74" spans="1:16" s="22" customFormat="1" ht="25.5">
      <c r="A74" s="45" t="s">
        <v>247</v>
      </c>
      <c r="B74" s="104" t="s">
        <v>295</v>
      </c>
      <c r="C74" s="143">
        <f t="shared" si="11"/>
        <v>0</v>
      </c>
      <c r="D74" s="143"/>
      <c r="E74" s="143"/>
      <c r="F74" s="143"/>
      <c r="G74" s="143"/>
      <c r="H74" s="143">
        <f t="shared" si="12"/>
        <v>700000</v>
      </c>
      <c r="I74" s="143"/>
      <c r="J74" s="143"/>
      <c r="K74" s="143"/>
      <c r="L74" s="143">
        <v>700000</v>
      </c>
      <c r="M74" s="143"/>
      <c r="N74" s="142">
        <f t="shared" si="1"/>
        <v>700000</v>
      </c>
      <c r="O74" s="144"/>
      <c r="P74" s="144"/>
    </row>
    <row r="75" spans="1:16" s="22" customFormat="1" ht="25.5">
      <c r="A75" s="45" t="s">
        <v>69</v>
      </c>
      <c r="B75" s="104" t="s">
        <v>218</v>
      </c>
      <c r="C75" s="143">
        <f t="shared" si="11"/>
        <v>0</v>
      </c>
      <c r="D75" s="143"/>
      <c r="E75" s="143"/>
      <c r="F75" s="143"/>
      <c r="G75" s="143"/>
      <c r="H75" s="143">
        <f t="shared" si="12"/>
        <v>10028634</v>
      </c>
      <c r="I75" s="143">
        <f>4300000+I77+I78+1000000-30000+100000-11268+2400000-143848-1084000</f>
        <v>7238234</v>
      </c>
      <c r="J75" s="143"/>
      <c r="K75" s="143">
        <f>40000+2400000+10000-1084000</f>
        <v>1366000</v>
      </c>
      <c r="L75" s="143">
        <f>5000000+L77+L78+30000+11268-2400000-98368</f>
        <v>2790400</v>
      </c>
      <c r="M75" s="143"/>
      <c r="N75" s="142">
        <f t="shared" si="1"/>
        <v>10028634</v>
      </c>
      <c r="O75" s="144"/>
      <c r="P75" s="144"/>
    </row>
    <row r="76" spans="1:16" s="22" customFormat="1" ht="12.75">
      <c r="A76" s="45"/>
      <c r="B76" s="103" t="s">
        <v>224</v>
      </c>
      <c r="C76" s="143"/>
      <c r="D76" s="143"/>
      <c r="E76" s="143"/>
      <c r="F76" s="143"/>
      <c r="G76" s="143"/>
      <c r="H76" s="143"/>
      <c r="I76" s="143"/>
      <c r="J76" s="143"/>
      <c r="K76" s="143"/>
      <c r="L76" s="143"/>
      <c r="M76" s="143"/>
      <c r="N76" s="142"/>
      <c r="O76" s="144"/>
      <c r="P76" s="144"/>
    </row>
    <row r="77" spans="1:16" s="22" customFormat="1" ht="89.25">
      <c r="A77" s="45"/>
      <c r="B77" s="103" t="s">
        <v>389</v>
      </c>
      <c r="C77" s="143">
        <f t="shared" si="11"/>
        <v>0</v>
      </c>
      <c r="D77" s="143"/>
      <c r="E77" s="143"/>
      <c r="F77" s="143"/>
      <c r="G77" s="143"/>
      <c r="H77" s="143">
        <f t="shared" si="12"/>
        <v>928750</v>
      </c>
      <c r="I77" s="143">
        <f>681250</f>
        <v>681250</v>
      </c>
      <c r="J77" s="143"/>
      <c r="K77" s="143">
        <v>10000</v>
      </c>
      <c r="L77" s="143">
        <f>247500</f>
        <v>247500</v>
      </c>
      <c r="M77" s="143"/>
      <c r="N77" s="142">
        <f t="shared" si="1"/>
        <v>928750</v>
      </c>
      <c r="O77" s="144"/>
      <c r="P77" s="144"/>
    </row>
    <row r="78" spans="1:16" s="22" customFormat="1" ht="24.75" customHeight="1">
      <c r="A78" s="45"/>
      <c r="B78" s="103" t="s">
        <v>425</v>
      </c>
      <c r="C78" s="143">
        <f t="shared" si="11"/>
        <v>0</v>
      </c>
      <c r="D78" s="143"/>
      <c r="E78" s="143"/>
      <c r="F78" s="143"/>
      <c r="G78" s="143"/>
      <c r="H78" s="143">
        <f t="shared" si="12"/>
        <v>26100</v>
      </c>
      <c r="I78" s="143">
        <v>26100</v>
      </c>
      <c r="J78" s="143"/>
      <c r="K78" s="143"/>
      <c r="L78" s="143"/>
      <c r="M78" s="143"/>
      <c r="N78" s="142">
        <f t="shared" si="1"/>
        <v>26100</v>
      </c>
      <c r="O78" s="144"/>
      <c r="P78" s="144"/>
    </row>
    <row r="79" spans="1:16" s="22" customFormat="1" ht="12.75">
      <c r="A79" s="45" t="s">
        <v>71</v>
      </c>
      <c r="B79" s="103" t="s">
        <v>146</v>
      </c>
      <c r="C79" s="143">
        <f t="shared" si="11"/>
        <v>300000</v>
      </c>
      <c r="D79" s="143">
        <v>300000</v>
      </c>
      <c r="E79" s="143"/>
      <c r="F79" s="143"/>
      <c r="G79" s="143"/>
      <c r="H79" s="143"/>
      <c r="I79" s="143"/>
      <c r="J79" s="143"/>
      <c r="K79" s="143"/>
      <c r="L79" s="143"/>
      <c r="M79" s="143"/>
      <c r="N79" s="142">
        <f t="shared" si="1"/>
        <v>300000</v>
      </c>
      <c r="O79" s="144"/>
      <c r="P79" s="144"/>
    </row>
    <row r="80" spans="1:16" s="124" customFormat="1" ht="38.25">
      <c r="A80" s="123" t="s">
        <v>264</v>
      </c>
      <c r="B80" s="125" t="s">
        <v>385</v>
      </c>
      <c r="C80" s="159">
        <f>C81+C82</f>
        <v>831727</v>
      </c>
      <c r="D80" s="159">
        <f>D81+D82</f>
        <v>822117</v>
      </c>
      <c r="E80" s="159">
        <f>E81+E82</f>
        <v>392394</v>
      </c>
      <c r="F80" s="159">
        <f>F81+F82</f>
        <v>0</v>
      </c>
      <c r="G80" s="159">
        <f>G81+G82</f>
        <v>9610</v>
      </c>
      <c r="H80" s="159">
        <f>H81+H82+H83</f>
        <v>1100000</v>
      </c>
      <c r="I80" s="159">
        <f>I81+I82+I83</f>
        <v>100000</v>
      </c>
      <c r="J80" s="159">
        <f>J81+J82+J83</f>
        <v>0</v>
      </c>
      <c r="K80" s="159">
        <f>K81+K82+K83</f>
        <v>0</v>
      </c>
      <c r="L80" s="159">
        <f>L81+L82+L83</f>
        <v>1000000</v>
      </c>
      <c r="M80" s="159">
        <f>M81</f>
        <v>0</v>
      </c>
      <c r="N80" s="158">
        <f t="shared" si="1"/>
        <v>1931727</v>
      </c>
      <c r="O80" s="167"/>
      <c r="P80" s="167"/>
    </row>
    <row r="81" spans="1:16" s="22" customFormat="1" ht="12.75">
      <c r="A81" s="45" t="s">
        <v>22</v>
      </c>
      <c r="B81" s="51" t="s">
        <v>23</v>
      </c>
      <c r="C81" s="143">
        <f>D81+G81</f>
        <v>581727</v>
      </c>
      <c r="D81" s="143">
        <f>356385+26013+149504+49025-2700</f>
        <v>578227</v>
      </c>
      <c r="E81" s="143">
        <f>240214+19100+109768+25312-2000</f>
        <v>392394</v>
      </c>
      <c r="F81" s="143"/>
      <c r="G81" s="143">
        <v>3500</v>
      </c>
      <c r="H81" s="143">
        <f>I81+L81</f>
        <v>0</v>
      </c>
      <c r="I81" s="143"/>
      <c r="J81" s="143"/>
      <c r="K81" s="143"/>
      <c r="L81" s="143"/>
      <c r="M81" s="143"/>
      <c r="N81" s="142">
        <f t="shared" si="1"/>
        <v>581727</v>
      </c>
      <c r="O81" s="144"/>
      <c r="P81" s="144"/>
    </row>
    <row r="82" spans="1:16" s="22" customFormat="1" ht="25.5">
      <c r="A82" s="45" t="s">
        <v>65</v>
      </c>
      <c r="B82" s="27" t="s">
        <v>66</v>
      </c>
      <c r="C82" s="143">
        <f>D82+G82</f>
        <v>250000</v>
      </c>
      <c r="D82" s="143">
        <f>250000-6110</f>
        <v>243890</v>
      </c>
      <c r="E82" s="143"/>
      <c r="F82" s="143"/>
      <c r="G82" s="143">
        <v>6110</v>
      </c>
      <c r="H82" s="143">
        <f>I82+L82</f>
        <v>0</v>
      </c>
      <c r="I82" s="143"/>
      <c r="J82" s="143"/>
      <c r="K82" s="143"/>
      <c r="L82" s="143"/>
      <c r="M82" s="143"/>
      <c r="N82" s="142">
        <f t="shared" si="1"/>
        <v>250000</v>
      </c>
      <c r="O82" s="144"/>
      <c r="P82" s="144"/>
    </row>
    <row r="83" spans="1:16" s="22" customFormat="1" ht="25.5">
      <c r="A83" s="45" t="s">
        <v>69</v>
      </c>
      <c r="B83" s="104" t="s">
        <v>218</v>
      </c>
      <c r="C83" s="143"/>
      <c r="D83" s="143"/>
      <c r="E83" s="143"/>
      <c r="F83" s="143"/>
      <c r="G83" s="143"/>
      <c r="H83" s="143">
        <f>I83+L83</f>
        <v>1100000</v>
      </c>
      <c r="I83" s="143">
        <v>100000</v>
      </c>
      <c r="J83" s="143"/>
      <c r="K83" s="143"/>
      <c r="L83" s="143">
        <v>1000000</v>
      </c>
      <c r="M83" s="143"/>
      <c r="N83" s="142">
        <f t="shared" si="1"/>
        <v>1100000</v>
      </c>
      <c r="O83" s="144"/>
      <c r="P83" s="144"/>
    </row>
    <row r="84" spans="1:16" s="124" customFormat="1" ht="25.5">
      <c r="A84" s="123" t="s">
        <v>265</v>
      </c>
      <c r="B84" s="125" t="s">
        <v>134</v>
      </c>
      <c r="C84" s="159">
        <f>C85+C86+C87</f>
        <v>1030170</v>
      </c>
      <c r="D84" s="159">
        <f>D85+D86+D87</f>
        <v>1026670</v>
      </c>
      <c r="E84" s="159">
        <f>E85+E86+E87</f>
        <v>280799</v>
      </c>
      <c r="F84" s="159">
        <f>F85+F86+F87</f>
        <v>12434</v>
      </c>
      <c r="G84" s="159">
        <f>G85+G86+G87</f>
        <v>3500</v>
      </c>
      <c r="H84" s="159">
        <f aca="true" t="shared" si="13" ref="H84:M84">H85+H87+H88</f>
        <v>3214000</v>
      </c>
      <c r="I84" s="159">
        <f t="shared" si="13"/>
        <v>714400</v>
      </c>
      <c r="J84" s="159">
        <f t="shared" si="13"/>
        <v>0</v>
      </c>
      <c r="K84" s="159">
        <f t="shared" si="13"/>
        <v>0</v>
      </c>
      <c r="L84" s="159">
        <f t="shared" si="13"/>
        <v>2499600</v>
      </c>
      <c r="M84" s="159">
        <f t="shared" si="13"/>
        <v>0</v>
      </c>
      <c r="N84" s="158">
        <f t="shared" si="1"/>
        <v>4244170</v>
      </c>
      <c r="O84" s="167"/>
      <c r="P84" s="167"/>
    </row>
    <row r="85" spans="1:16" s="22" customFormat="1" ht="12.75">
      <c r="A85" s="45" t="s">
        <v>22</v>
      </c>
      <c r="B85" s="51" t="s">
        <v>23</v>
      </c>
      <c r="C85" s="143">
        <f>D85+G85</f>
        <v>433170</v>
      </c>
      <c r="D85" s="143">
        <f>259907+17367+100307+37010+2169+6810+6100</f>
        <v>429670</v>
      </c>
      <c r="E85" s="143">
        <f>157692+12751+73647+27173+5000+4536</f>
        <v>280799</v>
      </c>
      <c r="F85" s="143">
        <f>9065+1200+2169</f>
        <v>12434</v>
      </c>
      <c r="G85" s="143">
        <v>3500</v>
      </c>
      <c r="H85" s="143">
        <f>I85+L85</f>
        <v>0</v>
      </c>
      <c r="I85" s="143"/>
      <c r="J85" s="143"/>
      <c r="K85" s="143"/>
      <c r="L85" s="143"/>
      <c r="M85" s="143"/>
      <c r="N85" s="142">
        <f t="shared" si="1"/>
        <v>433170</v>
      </c>
      <c r="O85" s="144"/>
      <c r="P85" s="144"/>
    </row>
    <row r="86" spans="1:16" s="22" customFormat="1" ht="38.25">
      <c r="A86" s="45" t="s">
        <v>382</v>
      </c>
      <c r="B86" s="104" t="s">
        <v>384</v>
      </c>
      <c r="C86" s="143">
        <f>D86+G86</f>
        <v>597000</v>
      </c>
      <c r="D86" s="143">
        <f>500000+97000</f>
        <v>597000</v>
      </c>
      <c r="E86" s="143"/>
      <c r="F86" s="143"/>
      <c r="G86" s="143"/>
      <c r="H86" s="143"/>
      <c r="I86" s="143"/>
      <c r="J86" s="143"/>
      <c r="K86" s="143"/>
      <c r="L86" s="143"/>
      <c r="M86" s="143"/>
      <c r="N86" s="142">
        <f>C86+H86</f>
        <v>597000</v>
      </c>
      <c r="O86" s="144"/>
      <c r="P86" s="144"/>
    </row>
    <row r="87" spans="1:16" s="22" customFormat="1" ht="25.5">
      <c r="A87" s="45" t="s">
        <v>247</v>
      </c>
      <c r="B87" s="104" t="s">
        <v>295</v>
      </c>
      <c r="C87" s="143">
        <f>D87+G87</f>
        <v>0</v>
      </c>
      <c r="D87" s="143"/>
      <c r="E87" s="143"/>
      <c r="F87" s="143"/>
      <c r="G87" s="143"/>
      <c r="H87" s="143">
        <f>I87+L87</f>
        <v>3034000</v>
      </c>
      <c r="I87" s="143">
        <f>747500+2000-170000+4900</f>
        <v>584400</v>
      </c>
      <c r="J87" s="143"/>
      <c r="K87" s="143"/>
      <c r="L87" s="143">
        <f>1888500+170000+735100-344000</f>
        <v>2449600</v>
      </c>
      <c r="M87" s="143"/>
      <c r="N87" s="142">
        <f t="shared" si="1"/>
        <v>3034000</v>
      </c>
      <c r="O87" s="144"/>
      <c r="P87" s="144"/>
    </row>
    <row r="88" spans="1:16" s="22" customFormat="1" ht="51">
      <c r="A88" s="45" t="s">
        <v>387</v>
      </c>
      <c r="B88" s="26" t="s">
        <v>388</v>
      </c>
      <c r="C88" s="143">
        <f>D88+G88</f>
        <v>0</v>
      </c>
      <c r="D88" s="143"/>
      <c r="E88" s="143"/>
      <c r="F88" s="143"/>
      <c r="G88" s="143"/>
      <c r="H88" s="143">
        <f>I88+L88</f>
        <v>180000</v>
      </c>
      <c r="I88" s="143">
        <v>130000</v>
      </c>
      <c r="J88" s="143"/>
      <c r="K88" s="143"/>
      <c r="L88" s="143">
        <v>50000</v>
      </c>
      <c r="M88" s="143"/>
      <c r="N88" s="142">
        <f>C88+H88</f>
        <v>180000</v>
      </c>
      <c r="O88" s="144"/>
      <c r="P88" s="144"/>
    </row>
    <row r="89" spans="1:16" s="124" customFormat="1" ht="25.5">
      <c r="A89" s="123" t="s">
        <v>266</v>
      </c>
      <c r="B89" s="125" t="s">
        <v>304</v>
      </c>
      <c r="C89" s="159">
        <f>C90+C91+C102+C103+C104+C106+C107+C111</f>
        <v>23220727.31</v>
      </c>
      <c r="D89" s="159">
        <f>D90+D91+D102+D103+D104+D106+D107+D111</f>
        <v>22986327.31</v>
      </c>
      <c r="E89" s="159">
        <f>E90+E91+E102+E103+E104+E106+E107+E111</f>
        <v>13138110</v>
      </c>
      <c r="F89" s="159">
        <f>F90+F91+F102+F103+F104+F106+F107+F111</f>
        <v>2247355</v>
      </c>
      <c r="G89" s="159">
        <f>G90+G91+G102+G103+G104+G106+G107+G111</f>
        <v>234400</v>
      </c>
      <c r="H89" s="159">
        <f aca="true" t="shared" si="14" ref="H89:M89">H90+H91+H102+H103+H104+H106+H107+H105</f>
        <v>12149680</v>
      </c>
      <c r="I89" s="159">
        <f t="shared" si="14"/>
        <v>3780724.62</v>
      </c>
      <c r="J89" s="159">
        <f t="shared" si="14"/>
        <v>863117</v>
      </c>
      <c r="K89" s="159">
        <f t="shared" si="14"/>
        <v>16923</v>
      </c>
      <c r="L89" s="159">
        <f t="shared" si="14"/>
        <v>8368955.38</v>
      </c>
      <c r="M89" s="159">
        <f t="shared" si="14"/>
        <v>6464410</v>
      </c>
      <c r="N89" s="180">
        <f t="shared" si="1"/>
        <v>35370407.31</v>
      </c>
      <c r="O89" s="167"/>
      <c r="P89" s="167"/>
    </row>
    <row r="90" spans="1:16" s="22" customFormat="1" ht="12.75">
      <c r="A90" s="45" t="s">
        <v>22</v>
      </c>
      <c r="B90" s="51" t="s">
        <v>23</v>
      </c>
      <c r="C90" s="143">
        <f aca="true" t="shared" si="15" ref="C90:C103">D90+G90</f>
        <v>560495</v>
      </c>
      <c r="D90" s="143">
        <f>285803+2500+18562+93785+4289-11338+63051+8343+3000</f>
        <v>467995</v>
      </c>
      <c r="E90" s="143">
        <f>180437+13628+68859+4289-8325+46293+2319</f>
        <v>307500</v>
      </c>
      <c r="F90" s="143">
        <f>9898+8343</f>
        <v>18241</v>
      </c>
      <c r="G90" s="143">
        <f>77500+15000</f>
        <v>92500</v>
      </c>
      <c r="H90" s="143">
        <f aca="true" t="shared" si="16" ref="H90:H110">I90+L90</f>
        <v>0</v>
      </c>
      <c r="I90" s="143"/>
      <c r="J90" s="143"/>
      <c r="K90" s="143"/>
      <c r="L90" s="143"/>
      <c r="M90" s="143"/>
      <c r="N90" s="142">
        <f t="shared" si="1"/>
        <v>560495</v>
      </c>
      <c r="O90" s="144"/>
      <c r="P90" s="144"/>
    </row>
    <row r="91" spans="1:16" s="22" customFormat="1" ht="12.75">
      <c r="A91" s="45" t="s">
        <v>24</v>
      </c>
      <c r="B91" s="51" t="s">
        <v>25</v>
      </c>
      <c r="C91" s="186">
        <f t="shared" si="15"/>
        <v>19012010.31</v>
      </c>
      <c r="D91" s="186">
        <f>SUM(D93:D101)</f>
        <v>18932110.31</v>
      </c>
      <c r="E91" s="143">
        <f>SUM(E93:E101)</f>
        <v>10423372</v>
      </c>
      <c r="F91" s="143">
        <f>SUM(F93:F101)</f>
        <v>2103249</v>
      </c>
      <c r="G91" s="143">
        <f>SUM(G93:G101)</f>
        <v>79900</v>
      </c>
      <c r="H91" s="143">
        <f t="shared" si="16"/>
        <v>1890046</v>
      </c>
      <c r="I91" s="143">
        <f>SUM(I93:I101)</f>
        <v>1838694</v>
      </c>
      <c r="J91" s="143">
        <f>SUM(J93:J101)</f>
        <v>863117</v>
      </c>
      <c r="K91" s="143">
        <f>SUM(K93:K101)</f>
        <v>16923</v>
      </c>
      <c r="L91" s="143">
        <f>SUM(L93:L101)</f>
        <v>51352</v>
      </c>
      <c r="M91" s="143">
        <f>M92+M93+M94+M96+M98+M99</f>
        <v>0</v>
      </c>
      <c r="N91" s="187">
        <f t="shared" si="1"/>
        <v>20902056.31</v>
      </c>
      <c r="O91" s="144"/>
      <c r="P91" s="144"/>
    </row>
    <row r="92" spans="1:16" s="22" customFormat="1" ht="12.75" hidden="1">
      <c r="A92" s="45" t="s">
        <v>80</v>
      </c>
      <c r="B92" s="52" t="s">
        <v>76</v>
      </c>
      <c r="C92" s="143">
        <f t="shared" si="15"/>
        <v>0</v>
      </c>
      <c r="D92" s="143"/>
      <c r="E92" s="143"/>
      <c r="F92" s="143"/>
      <c r="G92" s="143"/>
      <c r="H92" s="143">
        <f t="shared" si="16"/>
        <v>0</v>
      </c>
      <c r="I92" s="143"/>
      <c r="J92" s="143"/>
      <c r="K92" s="143"/>
      <c r="L92" s="143"/>
      <c r="M92" s="143"/>
      <c r="N92" s="142">
        <f t="shared" si="1"/>
        <v>0</v>
      </c>
      <c r="O92" s="144"/>
      <c r="P92" s="144"/>
    </row>
    <row r="93" spans="1:16" s="22" customFormat="1" ht="51">
      <c r="A93" s="45" t="s">
        <v>26</v>
      </c>
      <c r="B93" s="51" t="s">
        <v>280</v>
      </c>
      <c r="C93" s="143">
        <f t="shared" si="15"/>
        <v>9793899</v>
      </c>
      <c r="D93" s="143">
        <f>8338385+602509-24000-23051+770500+99556</f>
        <v>9763899</v>
      </c>
      <c r="E93" s="143">
        <f>5025106+20774</f>
        <v>5045880</v>
      </c>
      <c r="F93" s="143">
        <f>671759+367509-122840+38389</f>
        <v>954817</v>
      </c>
      <c r="G93" s="143">
        <f>30000</f>
        <v>30000</v>
      </c>
      <c r="H93" s="143">
        <f t="shared" si="16"/>
        <v>1709712</v>
      </c>
      <c r="I93" s="143">
        <v>1709712</v>
      </c>
      <c r="J93" s="143">
        <v>858117</v>
      </c>
      <c r="K93" s="143">
        <v>15423</v>
      </c>
      <c r="L93" s="143"/>
      <c r="M93" s="143"/>
      <c r="N93" s="142">
        <f t="shared" si="1"/>
        <v>11503611</v>
      </c>
      <c r="O93" s="144"/>
      <c r="P93" s="144"/>
    </row>
    <row r="94" spans="1:16" s="22" customFormat="1" ht="25.5">
      <c r="A94" s="45" t="s">
        <v>27</v>
      </c>
      <c r="B94" s="51" t="s">
        <v>28</v>
      </c>
      <c r="C94" s="143">
        <f t="shared" si="15"/>
        <v>7599480</v>
      </c>
      <c r="D94" s="143">
        <f>7060000+1116299-576500+63831-104150</f>
        <v>7559480</v>
      </c>
      <c r="E94" s="143">
        <f>4552610+31800-20774</f>
        <v>4563636</v>
      </c>
      <c r="F94" s="143">
        <f>607574+439799+161205-79122</f>
        <v>1129456</v>
      </c>
      <c r="G94" s="143">
        <v>40000</v>
      </c>
      <c r="H94" s="143">
        <f t="shared" si="16"/>
        <v>152334</v>
      </c>
      <c r="I94" s="143">
        <v>108982</v>
      </c>
      <c r="J94" s="143">
        <v>5000</v>
      </c>
      <c r="K94" s="143">
        <v>1500</v>
      </c>
      <c r="L94" s="143">
        <v>43352</v>
      </c>
      <c r="M94" s="143"/>
      <c r="N94" s="142">
        <f t="shared" si="1"/>
        <v>7751814</v>
      </c>
      <c r="O94" s="144"/>
      <c r="P94" s="144"/>
    </row>
    <row r="95" spans="1:16" s="22" customFormat="1" ht="51" hidden="1">
      <c r="A95" s="45" t="s">
        <v>373</v>
      </c>
      <c r="B95" s="51" t="s">
        <v>374</v>
      </c>
      <c r="C95" s="143">
        <f t="shared" si="15"/>
        <v>0</v>
      </c>
      <c r="D95" s="143"/>
      <c r="E95" s="143"/>
      <c r="F95" s="143"/>
      <c r="G95" s="143"/>
      <c r="H95" s="143"/>
      <c r="I95" s="143"/>
      <c r="J95" s="143"/>
      <c r="K95" s="143"/>
      <c r="L95" s="143"/>
      <c r="M95" s="143"/>
      <c r="N95" s="142">
        <f t="shared" si="1"/>
        <v>0</v>
      </c>
      <c r="O95" s="144"/>
      <c r="P95" s="144"/>
    </row>
    <row r="96" spans="1:16" s="22" customFormat="1" ht="25.5">
      <c r="A96" s="45" t="s">
        <v>29</v>
      </c>
      <c r="B96" s="51" t="s">
        <v>281</v>
      </c>
      <c r="C96" s="143">
        <f t="shared" si="15"/>
        <v>561956</v>
      </c>
      <c r="D96" s="143">
        <f>527426+7445800-3680545-419-3730900+594</f>
        <v>561956</v>
      </c>
      <c r="E96" s="143">
        <f>349410+21953</f>
        <v>371363</v>
      </c>
      <c r="F96" s="143">
        <f>14346+4455-419+594</f>
        <v>18976</v>
      </c>
      <c r="G96" s="143"/>
      <c r="H96" s="143">
        <f t="shared" si="16"/>
        <v>0</v>
      </c>
      <c r="I96" s="143"/>
      <c r="J96" s="143"/>
      <c r="K96" s="143"/>
      <c r="L96" s="143"/>
      <c r="M96" s="143"/>
      <c r="N96" s="142">
        <f t="shared" si="1"/>
        <v>561956</v>
      </c>
      <c r="O96" s="144"/>
      <c r="P96" s="144"/>
    </row>
    <row r="97" spans="1:16" s="22" customFormat="1" ht="38.25">
      <c r="A97" s="45" t="s">
        <v>410</v>
      </c>
      <c r="B97" s="27" t="s">
        <v>411</v>
      </c>
      <c r="C97" s="143">
        <f>D97+G97</f>
        <v>162146</v>
      </c>
      <c r="D97" s="143">
        <f>161431+715</f>
        <v>162146</v>
      </c>
      <c r="E97" s="143">
        <v>91029</v>
      </c>
      <c r="F97" s="143"/>
      <c r="G97" s="143"/>
      <c r="H97" s="143">
        <f>I97+L97</f>
        <v>28000</v>
      </c>
      <c r="I97" s="143">
        <v>20000</v>
      </c>
      <c r="J97" s="143"/>
      <c r="K97" s="143"/>
      <c r="L97" s="143">
        <v>8000</v>
      </c>
      <c r="M97" s="143"/>
      <c r="N97" s="142">
        <f>C97+H97</f>
        <v>190146</v>
      </c>
      <c r="O97" s="144"/>
      <c r="P97" s="144"/>
    </row>
    <row r="98" spans="1:16" s="22" customFormat="1" ht="25.5">
      <c r="A98" s="45" t="s">
        <v>30</v>
      </c>
      <c r="B98" s="27" t="s">
        <v>282</v>
      </c>
      <c r="C98" s="143">
        <f t="shared" si="15"/>
        <v>573178</v>
      </c>
      <c r="D98" s="143">
        <f>562858+420</f>
        <v>563278</v>
      </c>
      <c r="E98" s="143">
        <v>351464</v>
      </c>
      <c r="F98" s="143"/>
      <c r="G98" s="143">
        <v>9900</v>
      </c>
      <c r="H98" s="143">
        <f t="shared" si="16"/>
        <v>0</v>
      </c>
      <c r="I98" s="143"/>
      <c r="J98" s="143"/>
      <c r="K98" s="143"/>
      <c r="L98" s="143"/>
      <c r="M98" s="143"/>
      <c r="N98" s="142">
        <f t="shared" si="1"/>
        <v>573178</v>
      </c>
      <c r="O98" s="144"/>
      <c r="P98" s="144"/>
    </row>
    <row r="99" spans="1:16" s="22" customFormat="1" ht="25.5" hidden="1">
      <c r="A99" s="45" t="s">
        <v>31</v>
      </c>
      <c r="B99" s="27" t="s">
        <v>283</v>
      </c>
      <c r="C99" s="143">
        <f t="shared" si="15"/>
        <v>0</v>
      </c>
      <c r="D99" s="143"/>
      <c r="E99" s="143"/>
      <c r="F99" s="143"/>
      <c r="G99" s="143"/>
      <c r="H99" s="143">
        <f t="shared" si="16"/>
        <v>0</v>
      </c>
      <c r="I99" s="143"/>
      <c r="J99" s="143"/>
      <c r="K99" s="143"/>
      <c r="L99" s="143"/>
      <c r="M99" s="143"/>
      <c r="N99" s="142">
        <f t="shared" si="1"/>
        <v>0</v>
      </c>
      <c r="O99" s="144"/>
      <c r="P99" s="144"/>
    </row>
    <row r="100" spans="1:16" s="22" customFormat="1" ht="51" hidden="1">
      <c r="A100" s="45" t="s">
        <v>371</v>
      </c>
      <c r="B100" s="27" t="s">
        <v>372</v>
      </c>
      <c r="C100" s="143">
        <f t="shared" si="15"/>
        <v>0</v>
      </c>
      <c r="D100" s="143"/>
      <c r="E100" s="143"/>
      <c r="F100" s="143"/>
      <c r="G100" s="143"/>
      <c r="H100" s="143">
        <f t="shared" si="16"/>
        <v>0</v>
      </c>
      <c r="I100" s="143"/>
      <c r="J100" s="143"/>
      <c r="K100" s="143"/>
      <c r="L100" s="143"/>
      <c r="M100" s="143"/>
      <c r="N100" s="142">
        <f t="shared" si="1"/>
        <v>0</v>
      </c>
      <c r="O100" s="144"/>
      <c r="P100" s="144"/>
    </row>
    <row r="101" spans="1:16" s="22" customFormat="1" ht="102">
      <c r="A101" s="45" t="s">
        <v>398</v>
      </c>
      <c r="B101" s="27" t="s">
        <v>399</v>
      </c>
      <c r="C101" s="186">
        <f t="shared" si="15"/>
        <v>321351.31</v>
      </c>
      <c r="D101" s="186">
        <f>537199-200000-15847.69</f>
        <v>321351.31</v>
      </c>
      <c r="E101" s="143"/>
      <c r="F101" s="143"/>
      <c r="G101" s="143"/>
      <c r="H101" s="143">
        <f t="shared" si="16"/>
        <v>0</v>
      </c>
      <c r="I101" s="143"/>
      <c r="J101" s="143"/>
      <c r="K101" s="143"/>
      <c r="L101" s="143"/>
      <c r="M101" s="143"/>
      <c r="N101" s="187">
        <f t="shared" si="1"/>
        <v>321351.31</v>
      </c>
      <c r="O101" s="144"/>
      <c r="P101" s="144"/>
    </row>
    <row r="102" spans="1:16" s="22" customFormat="1" ht="89.25">
      <c r="A102" s="45" t="s">
        <v>309</v>
      </c>
      <c r="B102" s="27" t="s">
        <v>415</v>
      </c>
      <c r="C102" s="143">
        <f t="shared" si="15"/>
        <v>52886</v>
      </c>
      <c r="D102" s="143">
        <f>56717-3763-68</f>
        <v>52886</v>
      </c>
      <c r="E102" s="143"/>
      <c r="F102" s="143"/>
      <c r="G102" s="143"/>
      <c r="H102" s="143"/>
      <c r="I102" s="143"/>
      <c r="J102" s="143"/>
      <c r="K102" s="143"/>
      <c r="L102" s="143"/>
      <c r="M102" s="143"/>
      <c r="N102" s="142">
        <f t="shared" si="1"/>
        <v>52886</v>
      </c>
      <c r="O102" s="144"/>
      <c r="P102" s="144"/>
    </row>
    <row r="103" spans="1:16" s="22" customFormat="1" ht="38.25">
      <c r="A103" s="45">
        <v>130107</v>
      </c>
      <c r="B103" s="104" t="s">
        <v>62</v>
      </c>
      <c r="C103" s="143">
        <f t="shared" si="15"/>
        <v>3575836</v>
      </c>
      <c r="D103" s="143">
        <f>3524790+10000-16062-5814+21876-22954+4000</f>
        <v>3515836</v>
      </c>
      <c r="E103" s="143">
        <f>2436626-16062-13326</f>
        <v>2407238</v>
      </c>
      <c r="F103" s="143">
        <f>103989+21876-3000+3000</f>
        <v>125865</v>
      </c>
      <c r="G103" s="143">
        <f>60000</f>
        <v>60000</v>
      </c>
      <c r="H103" s="143">
        <f t="shared" si="16"/>
        <v>384</v>
      </c>
      <c r="I103" s="143">
        <v>384</v>
      </c>
      <c r="J103" s="143"/>
      <c r="K103" s="143"/>
      <c r="L103" s="143"/>
      <c r="M103" s="143"/>
      <c r="N103" s="142">
        <f t="shared" si="1"/>
        <v>3576220</v>
      </c>
      <c r="O103" s="144"/>
      <c r="P103" s="144"/>
    </row>
    <row r="104" spans="1:16" s="22" customFormat="1" ht="12.75">
      <c r="A104" s="45" t="s">
        <v>248</v>
      </c>
      <c r="B104" s="104" t="s">
        <v>249</v>
      </c>
      <c r="C104" s="143"/>
      <c r="D104" s="143"/>
      <c r="E104" s="143"/>
      <c r="F104" s="143"/>
      <c r="G104" s="143"/>
      <c r="H104" s="143">
        <f t="shared" si="16"/>
        <v>4317510</v>
      </c>
      <c r="I104" s="143"/>
      <c r="J104" s="143"/>
      <c r="K104" s="143"/>
      <c r="L104" s="143">
        <f>M104</f>
        <v>4317510</v>
      </c>
      <c r="M104" s="143">
        <f>4282604+34906</f>
        <v>4317510</v>
      </c>
      <c r="N104" s="142">
        <f t="shared" si="1"/>
        <v>4317510</v>
      </c>
      <c r="O104" s="144"/>
      <c r="P104" s="144"/>
    </row>
    <row r="105" spans="1:16" s="22" customFormat="1" ht="12.75">
      <c r="A105" s="45" t="s">
        <v>316</v>
      </c>
      <c r="B105" s="104" t="s">
        <v>317</v>
      </c>
      <c r="C105" s="143"/>
      <c r="D105" s="143"/>
      <c r="E105" s="143"/>
      <c r="F105" s="143"/>
      <c r="G105" s="143"/>
      <c r="H105" s="143">
        <f t="shared" si="16"/>
        <v>2146900</v>
      </c>
      <c r="I105" s="143"/>
      <c r="J105" s="143"/>
      <c r="K105" s="143"/>
      <c r="L105" s="143">
        <f>M105</f>
        <v>2146900</v>
      </c>
      <c r="M105" s="143">
        <f>2103300+43600</f>
        <v>2146900</v>
      </c>
      <c r="N105" s="142">
        <f t="shared" si="1"/>
        <v>2146900</v>
      </c>
      <c r="O105" s="144"/>
      <c r="P105" s="144"/>
    </row>
    <row r="106" spans="1:16" s="22" customFormat="1" ht="25.5">
      <c r="A106" s="45" t="s">
        <v>247</v>
      </c>
      <c r="B106" s="104" t="s">
        <v>295</v>
      </c>
      <c r="C106" s="143"/>
      <c r="D106" s="143"/>
      <c r="E106" s="143"/>
      <c r="F106" s="143"/>
      <c r="G106" s="143"/>
      <c r="H106" s="143">
        <f t="shared" si="16"/>
        <v>232000</v>
      </c>
      <c r="I106" s="143">
        <f>111000-2000</f>
        <v>109000</v>
      </c>
      <c r="J106" s="143"/>
      <c r="K106" s="143"/>
      <c r="L106" s="143">
        <v>123000</v>
      </c>
      <c r="M106" s="143"/>
      <c r="N106" s="142">
        <f t="shared" si="1"/>
        <v>232000</v>
      </c>
      <c r="O106" s="144"/>
      <c r="P106" s="144"/>
    </row>
    <row r="107" spans="1:16" s="22" customFormat="1" ht="25.5">
      <c r="A107" s="45" t="s">
        <v>69</v>
      </c>
      <c r="B107" s="104" t="s">
        <v>218</v>
      </c>
      <c r="C107" s="143"/>
      <c r="D107" s="143"/>
      <c r="E107" s="143"/>
      <c r="F107" s="143"/>
      <c r="G107" s="143"/>
      <c r="H107" s="143">
        <f t="shared" si="16"/>
        <v>3562840</v>
      </c>
      <c r="I107" s="143">
        <f>25000+732500+I109+I110</f>
        <v>1832646.62</v>
      </c>
      <c r="J107" s="143"/>
      <c r="K107" s="143"/>
      <c r="L107" s="143">
        <f>714780+L109+L110</f>
        <v>1730193.38</v>
      </c>
      <c r="M107" s="143"/>
      <c r="N107" s="142">
        <f t="shared" si="1"/>
        <v>3562840</v>
      </c>
      <c r="O107" s="144"/>
      <c r="P107" s="144"/>
    </row>
    <row r="108" spans="1:16" s="22" customFormat="1" ht="12.75">
      <c r="A108" s="45"/>
      <c r="B108" s="103" t="s">
        <v>224</v>
      </c>
      <c r="C108" s="143"/>
      <c r="D108" s="143"/>
      <c r="E108" s="143"/>
      <c r="F108" s="143"/>
      <c r="G108" s="143"/>
      <c r="H108" s="143"/>
      <c r="I108" s="143"/>
      <c r="J108" s="143"/>
      <c r="K108" s="143"/>
      <c r="L108" s="143"/>
      <c r="M108" s="143"/>
      <c r="N108" s="142"/>
      <c r="O108" s="144"/>
      <c r="P108" s="144"/>
    </row>
    <row r="109" spans="1:16" s="22" customFormat="1" ht="89.25">
      <c r="A109" s="45" t="s">
        <v>69</v>
      </c>
      <c r="B109" s="103" t="s">
        <v>389</v>
      </c>
      <c r="C109" s="143"/>
      <c r="D109" s="143"/>
      <c r="E109" s="143"/>
      <c r="F109" s="143"/>
      <c r="G109" s="143"/>
      <c r="H109" s="143">
        <f t="shared" si="16"/>
        <v>1399800</v>
      </c>
      <c r="I109" s="143">
        <f>624500</f>
        <v>624500</v>
      </c>
      <c r="J109" s="143"/>
      <c r="K109" s="143"/>
      <c r="L109" s="143">
        <f>765700+9600</f>
        <v>775300</v>
      </c>
      <c r="M109" s="143"/>
      <c r="N109" s="142">
        <f t="shared" si="1"/>
        <v>1399800</v>
      </c>
      <c r="O109" s="144"/>
      <c r="P109" s="144"/>
    </row>
    <row r="110" spans="1:16" s="22" customFormat="1" ht="25.5">
      <c r="A110" s="45"/>
      <c r="B110" s="103" t="s">
        <v>425</v>
      </c>
      <c r="C110" s="143"/>
      <c r="D110" s="143"/>
      <c r="E110" s="143"/>
      <c r="F110" s="143"/>
      <c r="G110" s="143"/>
      <c r="H110" s="143">
        <f t="shared" si="16"/>
        <v>690760</v>
      </c>
      <c r="I110" s="143">
        <f>467761.62-15000+1185-3300</f>
        <v>450646.62</v>
      </c>
      <c r="J110" s="143"/>
      <c r="K110" s="143"/>
      <c r="L110" s="143">
        <f>232998.38-20000+10000+15000-1185+3300</f>
        <v>240113.38</v>
      </c>
      <c r="M110" s="143"/>
      <c r="N110" s="142">
        <f t="shared" si="1"/>
        <v>690760</v>
      </c>
      <c r="O110" s="144"/>
      <c r="P110" s="144"/>
    </row>
    <row r="111" spans="1:16" s="22" customFormat="1" ht="51">
      <c r="A111" s="45" t="s">
        <v>71</v>
      </c>
      <c r="B111" s="26" t="s">
        <v>446</v>
      </c>
      <c r="C111" s="143">
        <f>D111+G111</f>
        <v>19500</v>
      </c>
      <c r="D111" s="143">
        <v>17500</v>
      </c>
      <c r="E111" s="143"/>
      <c r="F111" s="143"/>
      <c r="G111" s="143">
        <v>2000</v>
      </c>
      <c r="H111" s="143"/>
      <c r="I111" s="143"/>
      <c r="J111" s="143"/>
      <c r="K111" s="143"/>
      <c r="L111" s="143"/>
      <c r="M111" s="143"/>
      <c r="N111" s="142">
        <f t="shared" si="1"/>
        <v>19500</v>
      </c>
      <c r="O111" s="144"/>
      <c r="P111" s="144"/>
    </row>
    <row r="112" spans="1:16" s="124" customFormat="1" ht="25.5">
      <c r="A112" s="123" t="s">
        <v>267</v>
      </c>
      <c r="B112" s="125" t="s">
        <v>135</v>
      </c>
      <c r="C112" s="159">
        <f>C113+C114+C117+C121+C122+C123+C124+C125+C126+C128+C120+C131</f>
        <v>32675371</v>
      </c>
      <c r="D112" s="159">
        <f>D113+D114+D117+D121+D122+D123+D124+D125+D126+D128+D120+D131</f>
        <v>32631871</v>
      </c>
      <c r="E112" s="159">
        <f>E113+E114+E117+E121+E122+E123+E124+E125+E126+E128+E120+E131</f>
        <v>3852727</v>
      </c>
      <c r="F112" s="159">
        <f>F113+F114+F117+F121+F122+F123+F124+F125+F126+F128+F120+F131</f>
        <v>296058</v>
      </c>
      <c r="G112" s="159">
        <f>G113+G114+G117+G121+G122+G123+G124+G125+G126+G128+G120+G131</f>
        <v>43500</v>
      </c>
      <c r="H112" s="159">
        <f>H113+H114+H117+H121+H122+H123+H124+H125+H126+H128</f>
        <v>1066267</v>
      </c>
      <c r="I112" s="159">
        <f>I113+I114+I117+I121+I122+I123+I124+I125+I126+I128+I120</f>
        <v>1059857</v>
      </c>
      <c r="J112" s="159">
        <f>J113+J114+J117+J121+J122+J123+J124+J125+J126+J128+J120</f>
        <v>28634</v>
      </c>
      <c r="K112" s="159">
        <f>K113+K114+K117+K121+K122+K123+K124+K125+K126+K128+K120</f>
        <v>4799</v>
      </c>
      <c r="L112" s="159">
        <f>L113+L114+L117+L121+L122+L123+L124+L125+L126+L128+L120</f>
        <v>6410</v>
      </c>
      <c r="M112" s="159">
        <f>M113+M115+M116+M117+M120+M121+M122+M123+M126+M131+M114+M124+M127+M125</f>
        <v>0</v>
      </c>
      <c r="N112" s="158">
        <f t="shared" si="1"/>
        <v>33741638</v>
      </c>
      <c r="O112" s="167"/>
      <c r="P112" s="167"/>
    </row>
    <row r="113" spans="1:16" s="22" customFormat="1" ht="12.75">
      <c r="A113" s="45" t="s">
        <v>22</v>
      </c>
      <c r="B113" s="51" t="s">
        <v>23</v>
      </c>
      <c r="C113" s="143">
        <f aca="true" t="shared" si="17" ref="C113:C135">D113+G113</f>
        <v>708536</v>
      </c>
      <c r="D113" s="143">
        <f>422700+27181+148977+42026+2352+21800</f>
        <v>665036</v>
      </c>
      <c r="E113" s="143">
        <f>246283+19958+109381+30856+10036</f>
        <v>416514</v>
      </c>
      <c r="F113" s="143">
        <f>17281+2352</f>
        <v>19633</v>
      </c>
      <c r="G113" s="143">
        <f>40000+3500</f>
        <v>43500</v>
      </c>
      <c r="H113" s="143">
        <f aca="true" t="shared" si="18" ref="H113:H135">I113+L113</f>
        <v>0</v>
      </c>
      <c r="I113" s="143"/>
      <c r="J113" s="143"/>
      <c r="K113" s="143"/>
      <c r="L113" s="143"/>
      <c r="M113" s="143"/>
      <c r="N113" s="142">
        <f t="shared" si="1"/>
        <v>708536</v>
      </c>
      <c r="O113" s="144"/>
      <c r="P113" s="144"/>
    </row>
    <row r="114" spans="1:16" s="22" customFormat="1" ht="51" hidden="1">
      <c r="A114" s="45" t="s">
        <v>373</v>
      </c>
      <c r="B114" s="51" t="s">
        <v>374</v>
      </c>
      <c r="C114" s="143">
        <f>D114+G114</f>
        <v>0</v>
      </c>
      <c r="D114" s="143"/>
      <c r="E114" s="143"/>
      <c r="F114" s="143"/>
      <c r="G114" s="143"/>
      <c r="H114" s="143">
        <f>I114+L114</f>
        <v>0</v>
      </c>
      <c r="I114" s="143"/>
      <c r="J114" s="143"/>
      <c r="K114" s="143"/>
      <c r="L114" s="143"/>
      <c r="M114" s="143"/>
      <c r="N114" s="142">
        <f t="shared" si="1"/>
        <v>0</v>
      </c>
      <c r="O114" s="144"/>
      <c r="P114" s="144"/>
    </row>
    <row r="115" spans="1:16" s="22" customFormat="1" ht="51" hidden="1">
      <c r="A115" s="45" t="s">
        <v>165</v>
      </c>
      <c r="B115" s="104" t="s">
        <v>287</v>
      </c>
      <c r="C115" s="143">
        <f t="shared" si="17"/>
        <v>0</v>
      </c>
      <c r="D115" s="143"/>
      <c r="E115" s="143"/>
      <c r="F115" s="143"/>
      <c r="G115" s="143"/>
      <c r="H115" s="143">
        <f t="shared" si="18"/>
        <v>0</v>
      </c>
      <c r="I115" s="143"/>
      <c r="J115" s="143"/>
      <c r="K115" s="143"/>
      <c r="L115" s="143"/>
      <c r="M115" s="143"/>
      <c r="N115" s="142">
        <f t="shared" si="1"/>
        <v>0</v>
      </c>
      <c r="O115" s="144"/>
      <c r="P115" s="144"/>
    </row>
    <row r="116" spans="1:16" s="22" customFormat="1" ht="38.25" hidden="1">
      <c r="A116" s="45" t="s">
        <v>159</v>
      </c>
      <c r="B116" s="104" t="s">
        <v>202</v>
      </c>
      <c r="C116" s="143">
        <f t="shared" si="17"/>
        <v>0</v>
      </c>
      <c r="D116" s="143"/>
      <c r="E116" s="143"/>
      <c r="F116" s="143"/>
      <c r="G116" s="143"/>
      <c r="H116" s="143">
        <f t="shared" si="18"/>
        <v>0</v>
      </c>
      <c r="I116" s="143"/>
      <c r="J116" s="143"/>
      <c r="K116" s="143"/>
      <c r="L116" s="143"/>
      <c r="M116" s="143"/>
      <c r="N116" s="142">
        <f aca="true" t="shared" si="19" ref="N116:N205">C116+H116</f>
        <v>0</v>
      </c>
      <c r="O116" s="144"/>
      <c r="P116" s="144"/>
    </row>
    <row r="117" spans="1:16" s="22" customFormat="1" ht="25.5">
      <c r="A117" s="45" t="s">
        <v>48</v>
      </c>
      <c r="B117" s="27" t="s">
        <v>177</v>
      </c>
      <c r="C117" s="143">
        <f t="shared" si="17"/>
        <v>3425844</v>
      </c>
      <c r="D117" s="143">
        <f>D118+D119</f>
        <v>3425844</v>
      </c>
      <c r="E117" s="143">
        <f>E118+E119</f>
        <v>0</v>
      </c>
      <c r="F117" s="143">
        <f>F118+F119</f>
        <v>0</v>
      </c>
      <c r="G117" s="143">
        <f>G118+G119</f>
        <v>0</v>
      </c>
      <c r="H117" s="143">
        <f t="shared" si="18"/>
        <v>0</v>
      </c>
      <c r="I117" s="143"/>
      <c r="J117" s="143"/>
      <c r="K117" s="143"/>
      <c r="L117" s="143"/>
      <c r="M117" s="143"/>
      <c r="N117" s="142">
        <f t="shared" si="19"/>
        <v>3425844</v>
      </c>
      <c r="O117" s="144"/>
      <c r="P117" s="144"/>
    </row>
    <row r="118" spans="1:16" s="22" customFormat="1" ht="38.25">
      <c r="A118" s="45"/>
      <c r="B118" s="27" t="s">
        <v>259</v>
      </c>
      <c r="C118" s="143">
        <f t="shared" si="17"/>
        <v>3425844</v>
      </c>
      <c r="D118" s="143">
        <f>2000280-280+500000+154600+135573+50000+575928+15143-5400</f>
        <v>3425844</v>
      </c>
      <c r="E118" s="143"/>
      <c r="F118" s="143"/>
      <c r="G118" s="143"/>
      <c r="H118" s="143">
        <f t="shared" si="18"/>
        <v>0</v>
      </c>
      <c r="I118" s="143"/>
      <c r="J118" s="143"/>
      <c r="K118" s="143"/>
      <c r="L118" s="143"/>
      <c r="M118" s="143"/>
      <c r="N118" s="142">
        <f t="shared" si="19"/>
        <v>3425844</v>
      </c>
      <c r="O118" s="144"/>
      <c r="P118" s="144"/>
    </row>
    <row r="119" spans="1:16" s="22" customFormat="1" ht="25.5" hidden="1">
      <c r="A119" s="45"/>
      <c r="B119" s="26" t="s">
        <v>305</v>
      </c>
      <c r="C119" s="143">
        <f t="shared" si="17"/>
        <v>0</v>
      </c>
      <c r="D119" s="143"/>
      <c r="E119" s="143"/>
      <c r="F119" s="143"/>
      <c r="G119" s="143"/>
      <c r="H119" s="143">
        <f t="shared" si="18"/>
        <v>0</v>
      </c>
      <c r="I119" s="143"/>
      <c r="J119" s="143"/>
      <c r="K119" s="143"/>
      <c r="L119" s="143"/>
      <c r="M119" s="143"/>
      <c r="N119" s="142">
        <f t="shared" si="19"/>
        <v>0</v>
      </c>
      <c r="O119" s="144"/>
      <c r="P119" s="144"/>
    </row>
    <row r="120" spans="1:16" s="22" customFormat="1" ht="89.25">
      <c r="A120" s="45" t="s">
        <v>309</v>
      </c>
      <c r="B120" s="27" t="s">
        <v>415</v>
      </c>
      <c r="C120" s="143">
        <f t="shared" si="17"/>
        <v>594857</v>
      </c>
      <c r="D120" s="143">
        <f>610000-15143</f>
        <v>594857</v>
      </c>
      <c r="E120" s="143"/>
      <c r="F120" s="143"/>
      <c r="G120" s="143"/>
      <c r="H120" s="143">
        <f t="shared" si="18"/>
        <v>0</v>
      </c>
      <c r="I120" s="143"/>
      <c r="J120" s="143"/>
      <c r="K120" s="143"/>
      <c r="L120" s="143"/>
      <c r="M120" s="143"/>
      <c r="N120" s="142">
        <f t="shared" si="19"/>
        <v>594857</v>
      </c>
      <c r="O120" s="144"/>
      <c r="P120" s="144"/>
    </row>
    <row r="121" spans="1:16" s="22" customFormat="1" ht="25.5">
      <c r="A121" s="45" t="s">
        <v>50</v>
      </c>
      <c r="B121" s="27" t="s">
        <v>51</v>
      </c>
      <c r="C121" s="143">
        <f t="shared" si="17"/>
        <v>5805700</v>
      </c>
      <c r="D121" s="143">
        <f>5652000+153700</f>
        <v>5805700</v>
      </c>
      <c r="E121" s="143">
        <f>3474940-38727</f>
        <v>3436213</v>
      </c>
      <c r="F121" s="143">
        <f>238500+37925</f>
        <v>276425</v>
      </c>
      <c r="G121" s="143"/>
      <c r="H121" s="143">
        <f t="shared" si="18"/>
        <v>89379</v>
      </c>
      <c r="I121" s="143">
        <v>89379</v>
      </c>
      <c r="J121" s="143">
        <v>28634</v>
      </c>
      <c r="K121" s="143">
        <v>4799</v>
      </c>
      <c r="L121" s="143"/>
      <c r="M121" s="143"/>
      <c r="N121" s="142">
        <f t="shared" si="19"/>
        <v>5895079</v>
      </c>
      <c r="O121" s="144"/>
      <c r="P121" s="144"/>
    </row>
    <row r="122" spans="1:16" s="22" customFormat="1" ht="25.5">
      <c r="A122" s="45" t="s">
        <v>160</v>
      </c>
      <c r="B122" s="184" t="s">
        <v>417</v>
      </c>
      <c r="C122" s="143">
        <f t="shared" si="17"/>
        <v>140100</v>
      </c>
      <c r="D122" s="143">
        <f>134700+5400</f>
        <v>140100</v>
      </c>
      <c r="E122" s="143"/>
      <c r="F122" s="143"/>
      <c r="G122" s="143"/>
      <c r="H122" s="143">
        <f t="shared" si="18"/>
        <v>0</v>
      </c>
      <c r="I122" s="143"/>
      <c r="J122" s="143"/>
      <c r="K122" s="143"/>
      <c r="L122" s="143"/>
      <c r="M122" s="143"/>
      <c r="N122" s="142">
        <f t="shared" si="19"/>
        <v>140100</v>
      </c>
      <c r="O122" s="144"/>
      <c r="P122" s="144"/>
    </row>
    <row r="123" spans="1:16" s="22" customFormat="1" ht="38.25">
      <c r="A123" s="45" t="s">
        <v>123</v>
      </c>
      <c r="B123" s="27" t="s">
        <v>290</v>
      </c>
      <c r="C123" s="143">
        <f t="shared" si="17"/>
        <v>4464300</v>
      </c>
      <c r="D123" s="143">
        <v>4464300</v>
      </c>
      <c r="E123" s="143"/>
      <c r="F123" s="143"/>
      <c r="G123" s="143"/>
      <c r="H123" s="143">
        <f t="shared" si="18"/>
        <v>0</v>
      </c>
      <c r="I123" s="143"/>
      <c r="J123" s="143"/>
      <c r="K123" s="143"/>
      <c r="L123" s="143"/>
      <c r="M123" s="143"/>
      <c r="N123" s="142">
        <f t="shared" si="19"/>
        <v>4464300</v>
      </c>
      <c r="O123" s="144"/>
      <c r="P123" s="144"/>
    </row>
    <row r="124" spans="1:16" s="22" customFormat="1" ht="38.25">
      <c r="A124" s="45" t="s">
        <v>383</v>
      </c>
      <c r="B124" s="103" t="s">
        <v>428</v>
      </c>
      <c r="C124" s="143">
        <f>D124+G124</f>
        <v>1244330</v>
      </c>
      <c r="D124" s="143">
        <f>1000000+300000-55670</f>
        <v>1244330</v>
      </c>
      <c r="E124" s="143"/>
      <c r="F124" s="143"/>
      <c r="G124" s="143"/>
      <c r="H124" s="143">
        <f>I124+L124</f>
        <v>0</v>
      </c>
      <c r="I124" s="143"/>
      <c r="J124" s="143"/>
      <c r="K124" s="143"/>
      <c r="L124" s="143"/>
      <c r="M124" s="143"/>
      <c r="N124" s="142">
        <f>C124+H124</f>
        <v>1244330</v>
      </c>
      <c r="O124" s="144"/>
      <c r="P124" s="144"/>
    </row>
    <row r="125" spans="1:16" s="22" customFormat="1" ht="38.25">
      <c r="A125" s="45" t="s">
        <v>378</v>
      </c>
      <c r="B125" s="103" t="s">
        <v>379</v>
      </c>
      <c r="C125" s="143">
        <f>D125+G125</f>
        <v>500000</v>
      </c>
      <c r="D125" s="143">
        <v>500000</v>
      </c>
      <c r="E125" s="143"/>
      <c r="F125" s="143"/>
      <c r="G125" s="143"/>
      <c r="H125" s="143"/>
      <c r="I125" s="143"/>
      <c r="J125" s="143"/>
      <c r="K125" s="143"/>
      <c r="L125" s="143"/>
      <c r="M125" s="143"/>
      <c r="N125" s="142">
        <f>C125+H125</f>
        <v>500000</v>
      </c>
      <c r="O125" s="144"/>
      <c r="P125" s="144"/>
    </row>
    <row r="126" spans="1:16" s="22" customFormat="1" ht="38.25">
      <c r="A126" s="45" t="s">
        <v>124</v>
      </c>
      <c r="B126" s="27" t="s">
        <v>291</v>
      </c>
      <c r="C126" s="143">
        <f t="shared" si="17"/>
        <v>15677332</v>
      </c>
      <c r="D126" s="143">
        <f>14035400+813917+772345+55670</f>
        <v>15677332</v>
      </c>
      <c r="E126" s="143"/>
      <c r="F126" s="143"/>
      <c r="G126" s="143"/>
      <c r="H126" s="143">
        <f t="shared" si="18"/>
        <v>0</v>
      </c>
      <c r="I126" s="143"/>
      <c r="J126" s="143"/>
      <c r="K126" s="143"/>
      <c r="L126" s="143"/>
      <c r="M126" s="143"/>
      <c r="N126" s="142">
        <f t="shared" si="19"/>
        <v>15677332</v>
      </c>
      <c r="O126" s="144"/>
      <c r="P126" s="144"/>
    </row>
    <row r="127" spans="1:16" s="22" customFormat="1" ht="89.25" hidden="1">
      <c r="A127" s="45" t="s">
        <v>124</v>
      </c>
      <c r="B127" s="26" t="s">
        <v>375</v>
      </c>
      <c r="C127" s="143">
        <f>D127+G127</f>
        <v>0</v>
      </c>
      <c r="D127" s="143"/>
      <c r="E127" s="143"/>
      <c r="F127" s="143"/>
      <c r="G127" s="143"/>
      <c r="H127" s="143">
        <f>I127+L127</f>
        <v>0</v>
      </c>
      <c r="I127" s="143"/>
      <c r="J127" s="143"/>
      <c r="K127" s="143"/>
      <c r="L127" s="143"/>
      <c r="M127" s="143"/>
      <c r="N127" s="142">
        <f>C127+H127</f>
        <v>0</v>
      </c>
      <c r="O127" s="144"/>
      <c r="P127" s="144"/>
    </row>
    <row r="128" spans="1:16" s="22" customFormat="1" ht="25.5">
      <c r="A128" s="45" t="s">
        <v>69</v>
      </c>
      <c r="B128" s="104" t="s">
        <v>218</v>
      </c>
      <c r="C128" s="143"/>
      <c r="D128" s="143"/>
      <c r="E128" s="143"/>
      <c r="F128" s="143"/>
      <c r="G128" s="143"/>
      <c r="H128" s="143">
        <f t="shared" si="18"/>
        <v>976888</v>
      </c>
      <c r="I128" s="143">
        <f>620000+160000+831+90000-23000+I130+130000-15143-5400</f>
        <v>970478</v>
      </c>
      <c r="J128" s="143"/>
      <c r="K128" s="143"/>
      <c r="L128" s="143">
        <f>+L130</f>
        <v>6410</v>
      </c>
      <c r="M128" s="143"/>
      <c r="N128" s="142">
        <f t="shared" si="19"/>
        <v>976888</v>
      </c>
      <c r="O128" s="144"/>
      <c r="P128" s="144"/>
    </row>
    <row r="129" spans="1:16" s="22" customFormat="1" ht="12.75">
      <c r="A129" s="45"/>
      <c r="B129" s="103" t="s">
        <v>224</v>
      </c>
      <c r="C129" s="143"/>
      <c r="D129" s="143"/>
      <c r="E129" s="143"/>
      <c r="F129" s="143"/>
      <c r="G129" s="143"/>
      <c r="H129" s="143"/>
      <c r="I129" s="143"/>
      <c r="J129" s="143"/>
      <c r="K129" s="143"/>
      <c r="L129" s="143"/>
      <c r="M129" s="143"/>
      <c r="N129" s="142"/>
      <c r="O129" s="144"/>
      <c r="P129" s="144"/>
    </row>
    <row r="130" spans="1:16" s="22" customFormat="1" ht="25.5">
      <c r="A130" s="45"/>
      <c r="B130" s="104" t="s">
        <v>425</v>
      </c>
      <c r="C130" s="143"/>
      <c r="D130" s="143"/>
      <c r="E130" s="143"/>
      <c r="F130" s="143"/>
      <c r="G130" s="143"/>
      <c r="H130" s="143">
        <f t="shared" si="18"/>
        <v>19600</v>
      </c>
      <c r="I130" s="143">
        <f>13190</f>
        <v>13190</v>
      </c>
      <c r="J130" s="143"/>
      <c r="K130" s="143"/>
      <c r="L130" s="143">
        <f>6410</f>
        <v>6410</v>
      </c>
      <c r="M130" s="143"/>
      <c r="N130" s="142">
        <f t="shared" si="19"/>
        <v>19600</v>
      </c>
      <c r="O130" s="144"/>
      <c r="P130" s="144"/>
    </row>
    <row r="131" spans="1:16" s="22" customFormat="1" ht="12.75">
      <c r="A131" s="45" t="s">
        <v>71</v>
      </c>
      <c r="B131" s="27" t="s">
        <v>146</v>
      </c>
      <c r="C131" s="143">
        <f t="shared" si="17"/>
        <v>114372</v>
      </c>
      <c r="D131" s="143">
        <f>D132+D133+D134+D135</f>
        <v>114372</v>
      </c>
      <c r="E131" s="143">
        <f>E132+E133+E134+E135</f>
        <v>0</v>
      </c>
      <c r="F131" s="143">
        <f>F132+F133+F134+F135</f>
        <v>0</v>
      </c>
      <c r="G131" s="143">
        <f>G132+G133+G134+G135</f>
        <v>0</v>
      </c>
      <c r="H131" s="143">
        <f t="shared" si="18"/>
        <v>0</v>
      </c>
      <c r="I131" s="143">
        <f>I132+I133+I134+I135</f>
        <v>0</v>
      </c>
      <c r="J131" s="143">
        <f>J132+J133+J134+J135</f>
        <v>0</v>
      </c>
      <c r="K131" s="143">
        <f>K132+K133+K134+K135</f>
        <v>0</v>
      </c>
      <c r="L131" s="143">
        <f>L132+L133+L134+L135</f>
        <v>0</v>
      </c>
      <c r="M131" s="143">
        <f>M132+M133+M134+M135</f>
        <v>0</v>
      </c>
      <c r="N131" s="142">
        <f t="shared" si="19"/>
        <v>114372</v>
      </c>
      <c r="O131" s="144"/>
      <c r="P131" s="144"/>
    </row>
    <row r="132" spans="1:16" s="22" customFormat="1" ht="63.75" hidden="1">
      <c r="A132" s="45"/>
      <c r="B132" s="104" t="s">
        <v>414</v>
      </c>
      <c r="C132" s="143">
        <f t="shared" si="17"/>
        <v>0</v>
      </c>
      <c r="D132" s="143">
        <v>0</v>
      </c>
      <c r="E132" s="143"/>
      <c r="F132" s="143"/>
      <c r="G132" s="143"/>
      <c r="H132" s="143"/>
      <c r="I132" s="143"/>
      <c r="J132" s="143"/>
      <c r="K132" s="143"/>
      <c r="L132" s="143"/>
      <c r="M132" s="143"/>
      <c r="N132" s="142">
        <f>C132+H132</f>
        <v>0</v>
      </c>
      <c r="O132" s="144"/>
      <c r="P132" s="144"/>
    </row>
    <row r="133" spans="1:16" s="22" customFormat="1" ht="51">
      <c r="A133" s="45"/>
      <c r="B133" s="26" t="s">
        <v>446</v>
      </c>
      <c r="C133" s="143">
        <f t="shared" si="17"/>
        <v>114372</v>
      </c>
      <c r="D133" s="143">
        <f>109000+5372</f>
        <v>114372</v>
      </c>
      <c r="E133" s="143"/>
      <c r="F133" s="143"/>
      <c r="G133" s="143"/>
      <c r="H133" s="143">
        <f t="shared" si="18"/>
        <v>0</v>
      </c>
      <c r="I133" s="143"/>
      <c r="J133" s="143"/>
      <c r="K133" s="143"/>
      <c r="L133" s="143"/>
      <c r="M133" s="143"/>
      <c r="N133" s="142">
        <f t="shared" si="19"/>
        <v>114372</v>
      </c>
      <c r="O133" s="144"/>
      <c r="P133" s="144"/>
    </row>
    <row r="134" spans="1:16" s="22" customFormat="1" ht="63.75" hidden="1">
      <c r="A134" s="45"/>
      <c r="B134" s="103" t="s">
        <v>301</v>
      </c>
      <c r="C134" s="143">
        <f t="shared" si="17"/>
        <v>0</v>
      </c>
      <c r="D134" s="143"/>
      <c r="E134" s="143"/>
      <c r="F134" s="143"/>
      <c r="G134" s="143"/>
      <c r="H134" s="143">
        <f t="shared" si="18"/>
        <v>0</v>
      </c>
      <c r="I134" s="143"/>
      <c r="J134" s="143"/>
      <c r="K134" s="143"/>
      <c r="L134" s="143"/>
      <c r="M134" s="143"/>
      <c r="N134" s="142">
        <f t="shared" si="19"/>
        <v>0</v>
      </c>
      <c r="O134" s="144"/>
      <c r="P134" s="144"/>
    </row>
    <row r="135" spans="1:16" s="22" customFormat="1" ht="38.25" hidden="1">
      <c r="A135" s="45"/>
      <c r="B135" s="103" t="s">
        <v>255</v>
      </c>
      <c r="C135" s="143">
        <f t="shared" si="17"/>
        <v>0</v>
      </c>
      <c r="D135" s="143"/>
      <c r="E135" s="143"/>
      <c r="F135" s="143"/>
      <c r="G135" s="143"/>
      <c r="H135" s="143">
        <f t="shared" si="18"/>
        <v>0</v>
      </c>
      <c r="I135" s="143"/>
      <c r="J135" s="143"/>
      <c r="K135" s="143"/>
      <c r="L135" s="143"/>
      <c r="M135" s="143"/>
      <c r="N135" s="142">
        <f t="shared" si="19"/>
        <v>0</v>
      </c>
      <c r="O135" s="144"/>
      <c r="P135" s="144"/>
    </row>
    <row r="136" spans="1:16" s="124" customFormat="1" ht="12.75">
      <c r="A136" s="123" t="s">
        <v>426</v>
      </c>
      <c r="B136" s="169" t="s">
        <v>136</v>
      </c>
      <c r="C136" s="159">
        <f>C137+C138+C150</f>
        <v>17986012</v>
      </c>
      <c r="D136" s="159">
        <f>D137+D138+D150</f>
        <v>17646812</v>
      </c>
      <c r="E136" s="159">
        <f>E137+E138+E150</f>
        <v>10205612</v>
      </c>
      <c r="F136" s="159">
        <f>F137+F138+F150</f>
        <v>616715</v>
      </c>
      <c r="G136" s="159">
        <f>G137+G138+G150</f>
        <v>339200</v>
      </c>
      <c r="H136" s="159">
        <f>H137+H138+H145+H146</f>
        <v>2738279</v>
      </c>
      <c r="I136" s="159">
        <f>I137+I138+I145+I146</f>
        <v>1786629</v>
      </c>
      <c r="J136" s="159">
        <f>J137+J138+J145+J146</f>
        <v>264212</v>
      </c>
      <c r="K136" s="159">
        <f>K137+K138+K145+K146</f>
        <v>55921</v>
      </c>
      <c r="L136" s="159">
        <f>L137+L138+L145+L146</f>
        <v>951650</v>
      </c>
      <c r="M136" s="159">
        <f>M137+M138+M145+M146+M148</f>
        <v>749500</v>
      </c>
      <c r="N136" s="158">
        <f t="shared" si="19"/>
        <v>20724291</v>
      </c>
      <c r="O136" s="167"/>
      <c r="P136" s="167"/>
    </row>
    <row r="137" spans="1:16" s="22" customFormat="1" ht="12.75">
      <c r="A137" s="45" t="s">
        <v>22</v>
      </c>
      <c r="B137" s="51" t="s">
        <v>23</v>
      </c>
      <c r="C137" s="143">
        <f aca="true" t="shared" si="20" ref="C137:C150">D137+G137</f>
        <v>273549</v>
      </c>
      <c r="D137" s="143">
        <f>160358+12919+77390+19682</f>
        <v>270349</v>
      </c>
      <c r="E137" s="143">
        <f>115087+9485+56821+14451</f>
        <v>195844</v>
      </c>
      <c r="F137" s="143"/>
      <c r="G137" s="143">
        <v>3200</v>
      </c>
      <c r="H137" s="143">
        <f aca="true" t="shared" si="21" ref="H137:H149">I137+L137</f>
        <v>0</v>
      </c>
      <c r="I137" s="143"/>
      <c r="J137" s="143"/>
      <c r="K137" s="143"/>
      <c r="L137" s="143"/>
      <c r="M137" s="143"/>
      <c r="N137" s="142">
        <f t="shared" si="19"/>
        <v>273549</v>
      </c>
      <c r="O137" s="144"/>
      <c r="P137" s="144"/>
    </row>
    <row r="138" spans="1:16" s="22" customFormat="1" ht="12.75">
      <c r="A138" s="45" t="s">
        <v>54</v>
      </c>
      <c r="B138" s="27" t="s">
        <v>55</v>
      </c>
      <c r="C138" s="143">
        <f t="shared" si="20"/>
        <v>17707463</v>
      </c>
      <c r="D138" s="143">
        <f>SUM(D139:D144)</f>
        <v>17371463</v>
      </c>
      <c r="E138" s="143">
        <f>SUM(E139:E144)</f>
        <v>10009768</v>
      </c>
      <c r="F138" s="143">
        <f>SUM(F139:F144)</f>
        <v>616715</v>
      </c>
      <c r="G138" s="143">
        <f>SUM(G139:G144)</f>
        <v>336000</v>
      </c>
      <c r="H138" s="143">
        <f t="shared" si="21"/>
        <v>868659</v>
      </c>
      <c r="I138" s="143">
        <f>SUM(I139:I144)</f>
        <v>818659</v>
      </c>
      <c r="J138" s="143">
        <f>SUM(J139:J144)</f>
        <v>264212</v>
      </c>
      <c r="K138" s="143">
        <f>SUM(K139:K144)</f>
        <v>55921</v>
      </c>
      <c r="L138" s="143">
        <f>SUM(L139:L144)</f>
        <v>50000</v>
      </c>
      <c r="M138" s="143">
        <f>SUM(M139:M144)</f>
        <v>0</v>
      </c>
      <c r="N138" s="142">
        <f t="shared" si="19"/>
        <v>18576122</v>
      </c>
      <c r="O138" s="144"/>
      <c r="P138" s="144"/>
    </row>
    <row r="139" spans="1:16" s="22" customFormat="1" ht="12.75">
      <c r="A139" s="45">
        <v>110102</v>
      </c>
      <c r="B139" s="27" t="s">
        <v>56</v>
      </c>
      <c r="C139" s="143">
        <f t="shared" si="20"/>
        <v>490451</v>
      </c>
      <c r="D139" s="143">
        <f>510423-19972</f>
        <v>490451</v>
      </c>
      <c r="E139" s="143"/>
      <c r="F139" s="143"/>
      <c r="G139" s="143"/>
      <c r="H139" s="143">
        <f t="shared" si="21"/>
        <v>0</v>
      </c>
      <c r="I139" s="143"/>
      <c r="J139" s="143"/>
      <c r="K139" s="143"/>
      <c r="L139" s="143"/>
      <c r="M139" s="143"/>
      <c r="N139" s="142">
        <f t="shared" si="19"/>
        <v>490451</v>
      </c>
      <c r="O139" s="144"/>
      <c r="P139" s="144"/>
    </row>
    <row r="140" spans="1:16" s="22" customFormat="1" ht="12.75">
      <c r="A140" s="45">
        <v>110201</v>
      </c>
      <c r="B140" s="27" t="s">
        <v>57</v>
      </c>
      <c r="C140" s="143">
        <f t="shared" si="20"/>
        <v>2794760</v>
      </c>
      <c r="D140" s="143">
        <f>2731234-28000+2000+31726+29800</f>
        <v>2766760</v>
      </c>
      <c r="E140" s="143">
        <v>1467263</v>
      </c>
      <c r="F140" s="143">
        <f>245621+31726</f>
        <v>277347</v>
      </c>
      <c r="G140" s="143">
        <v>28000</v>
      </c>
      <c r="H140" s="143">
        <f t="shared" si="21"/>
        <v>18259</v>
      </c>
      <c r="I140" s="143">
        <v>18259</v>
      </c>
      <c r="J140" s="143"/>
      <c r="K140" s="143">
        <v>259</v>
      </c>
      <c r="L140" s="143"/>
      <c r="M140" s="143"/>
      <c r="N140" s="142">
        <f t="shared" si="19"/>
        <v>2813019</v>
      </c>
      <c r="O140" s="144"/>
      <c r="P140" s="144"/>
    </row>
    <row r="141" spans="1:16" s="22" customFormat="1" ht="25.5">
      <c r="A141" s="45">
        <v>110204</v>
      </c>
      <c r="B141" s="27" t="s">
        <v>288</v>
      </c>
      <c r="C141" s="143">
        <f t="shared" si="20"/>
        <v>1472284</v>
      </c>
      <c r="D141" s="143">
        <f>1234312+19972</f>
        <v>1254284</v>
      </c>
      <c r="E141" s="143"/>
      <c r="F141" s="143"/>
      <c r="G141" s="143">
        <f>210000+8000</f>
        <v>218000</v>
      </c>
      <c r="H141" s="143">
        <f t="shared" si="21"/>
        <v>0</v>
      </c>
      <c r="I141" s="143"/>
      <c r="J141" s="143"/>
      <c r="K141" s="143"/>
      <c r="L141" s="143"/>
      <c r="M141" s="143"/>
      <c r="N141" s="142">
        <f t="shared" si="19"/>
        <v>1472284</v>
      </c>
      <c r="O141" s="144"/>
      <c r="P141" s="144"/>
    </row>
    <row r="142" spans="1:16" s="22" customFormat="1" ht="12.75">
      <c r="A142" s="45">
        <v>110205</v>
      </c>
      <c r="B142" s="27" t="s">
        <v>58</v>
      </c>
      <c r="C142" s="143">
        <f t="shared" si="20"/>
        <v>11796521</v>
      </c>
      <c r="D142" s="143">
        <f>11769104+25360-75873-24127-27643+129700</f>
        <v>11796521</v>
      </c>
      <c r="E142" s="143">
        <f>8335264-75873-37335</f>
        <v>8222056</v>
      </c>
      <c r="F142" s="143">
        <f>275079+53490</f>
        <v>328569</v>
      </c>
      <c r="G142" s="143"/>
      <c r="H142" s="143">
        <f t="shared" si="21"/>
        <v>850000</v>
      </c>
      <c r="I142" s="143">
        <v>800000</v>
      </c>
      <c r="J142" s="143">
        <v>264212</v>
      </c>
      <c r="K142" s="143">
        <v>55662</v>
      </c>
      <c r="L142" s="143">
        <v>50000</v>
      </c>
      <c r="M142" s="143"/>
      <c r="N142" s="142">
        <f t="shared" si="19"/>
        <v>12646521</v>
      </c>
      <c r="O142" s="144"/>
      <c r="P142" s="144"/>
    </row>
    <row r="143" spans="1:16" s="22" customFormat="1" ht="102">
      <c r="A143" s="45" t="s">
        <v>400</v>
      </c>
      <c r="B143" s="27" t="s">
        <v>399</v>
      </c>
      <c r="C143" s="143">
        <f t="shared" si="20"/>
        <v>340863</v>
      </c>
      <c r="D143" s="143">
        <v>340863</v>
      </c>
      <c r="E143" s="143"/>
      <c r="F143" s="143"/>
      <c r="G143" s="143"/>
      <c r="H143" s="143">
        <f t="shared" si="21"/>
        <v>0</v>
      </c>
      <c r="I143" s="143"/>
      <c r="J143" s="143"/>
      <c r="K143" s="143"/>
      <c r="L143" s="143"/>
      <c r="M143" s="143"/>
      <c r="N143" s="142">
        <f t="shared" si="19"/>
        <v>340863</v>
      </c>
      <c r="O143" s="144"/>
      <c r="P143" s="144"/>
    </row>
    <row r="144" spans="1:16" s="22" customFormat="1" ht="25.5">
      <c r="A144" s="45">
        <v>110502</v>
      </c>
      <c r="B144" s="27" t="s">
        <v>59</v>
      </c>
      <c r="C144" s="143">
        <f t="shared" si="20"/>
        <v>812584</v>
      </c>
      <c r="D144" s="143">
        <f>654027-27360+75873+24127+159500-4083-159500</f>
        <v>722584</v>
      </c>
      <c r="E144" s="143">
        <f>244576+75873</f>
        <v>320449</v>
      </c>
      <c r="F144" s="143">
        <f>14882-4083</f>
        <v>10799</v>
      </c>
      <c r="G144" s="143">
        <f>90000</f>
        <v>90000</v>
      </c>
      <c r="H144" s="143">
        <f t="shared" si="21"/>
        <v>400</v>
      </c>
      <c r="I144" s="143">
        <v>400</v>
      </c>
      <c r="J144" s="143"/>
      <c r="K144" s="143"/>
      <c r="L144" s="143"/>
      <c r="M144" s="143"/>
      <c r="N144" s="142">
        <f t="shared" si="19"/>
        <v>812984</v>
      </c>
      <c r="O144" s="144"/>
      <c r="P144" s="144"/>
    </row>
    <row r="145" spans="1:16" s="22" customFormat="1" ht="12.75">
      <c r="A145" s="45" t="s">
        <v>248</v>
      </c>
      <c r="B145" s="26" t="s">
        <v>249</v>
      </c>
      <c r="C145" s="143">
        <f t="shared" si="20"/>
        <v>0</v>
      </c>
      <c r="D145" s="143"/>
      <c r="E145" s="143"/>
      <c r="F145" s="143"/>
      <c r="G145" s="143"/>
      <c r="H145" s="143">
        <f t="shared" si="21"/>
        <v>749500</v>
      </c>
      <c r="I145" s="143"/>
      <c r="J145" s="143"/>
      <c r="K145" s="143"/>
      <c r="L145" s="143">
        <f>M145</f>
        <v>749500</v>
      </c>
      <c r="M145" s="143">
        <f>400000+349500</f>
        <v>749500</v>
      </c>
      <c r="N145" s="142">
        <f t="shared" si="19"/>
        <v>749500</v>
      </c>
      <c r="O145" s="144"/>
      <c r="P145" s="144"/>
    </row>
    <row r="146" spans="1:16" s="22" customFormat="1" ht="25.5">
      <c r="A146" s="45" t="s">
        <v>69</v>
      </c>
      <c r="B146" s="104" t="s">
        <v>218</v>
      </c>
      <c r="C146" s="143">
        <f t="shared" si="20"/>
        <v>0</v>
      </c>
      <c r="D146" s="143"/>
      <c r="E146" s="143"/>
      <c r="F146" s="143"/>
      <c r="G146" s="143"/>
      <c r="H146" s="143">
        <f t="shared" si="21"/>
        <v>1120120</v>
      </c>
      <c r="I146" s="143">
        <f>1000000-30000+81800+I148+I149-104830</f>
        <v>967970</v>
      </c>
      <c r="J146" s="143"/>
      <c r="K146" s="143"/>
      <c r="L146" s="143">
        <f>30000+L148+L149+104830</f>
        <v>152150</v>
      </c>
      <c r="M146" s="143"/>
      <c r="N146" s="142">
        <f t="shared" si="19"/>
        <v>1120120</v>
      </c>
      <c r="O146" s="144"/>
      <c r="P146" s="144"/>
    </row>
    <row r="147" spans="1:16" s="22" customFormat="1" ht="12.75">
      <c r="A147" s="25"/>
      <c r="B147" s="183" t="s">
        <v>224</v>
      </c>
      <c r="C147" s="143">
        <f t="shared" si="20"/>
        <v>0</v>
      </c>
      <c r="D147" s="143"/>
      <c r="E147" s="143"/>
      <c r="F147" s="143"/>
      <c r="G147" s="143"/>
      <c r="H147" s="143"/>
      <c r="I147" s="143"/>
      <c r="J147" s="143"/>
      <c r="K147" s="143"/>
      <c r="L147" s="143"/>
      <c r="M147" s="143"/>
      <c r="N147" s="142"/>
      <c r="O147" s="144"/>
      <c r="P147" s="144"/>
    </row>
    <row r="148" spans="1:16" s="22" customFormat="1" ht="89.25">
      <c r="A148" s="25"/>
      <c r="B148" s="103" t="s">
        <v>389</v>
      </c>
      <c r="C148" s="143">
        <f t="shared" si="20"/>
        <v>0</v>
      </c>
      <c r="D148" s="143"/>
      <c r="E148" s="143"/>
      <c r="F148" s="143"/>
      <c r="G148" s="143"/>
      <c r="H148" s="143">
        <f t="shared" si="21"/>
        <v>32720</v>
      </c>
      <c r="I148" s="143">
        <v>20000</v>
      </c>
      <c r="J148" s="143"/>
      <c r="K148" s="143"/>
      <c r="L148" s="143">
        <v>12720</v>
      </c>
      <c r="M148" s="143"/>
      <c r="N148" s="142">
        <f t="shared" si="19"/>
        <v>32720</v>
      </c>
      <c r="O148" s="144"/>
      <c r="P148" s="144"/>
    </row>
    <row r="149" spans="1:16" s="22" customFormat="1" ht="25.5">
      <c r="A149" s="25"/>
      <c r="B149" s="103" t="s">
        <v>425</v>
      </c>
      <c r="C149" s="143">
        <f t="shared" si="20"/>
        <v>0</v>
      </c>
      <c r="D149" s="143"/>
      <c r="E149" s="143"/>
      <c r="F149" s="143"/>
      <c r="G149" s="143"/>
      <c r="H149" s="143">
        <f t="shared" si="21"/>
        <v>5600</v>
      </c>
      <c r="I149" s="143">
        <v>1000</v>
      </c>
      <c r="J149" s="143"/>
      <c r="K149" s="143"/>
      <c r="L149" s="143">
        <v>4600</v>
      </c>
      <c r="M149" s="143"/>
      <c r="N149" s="142">
        <f t="shared" si="19"/>
        <v>5600</v>
      </c>
      <c r="O149" s="144"/>
      <c r="P149" s="144"/>
    </row>
    <row r="150" spans="1:16" s="22" customFormat="1" ht="51">
      <c r="A150" s="25" t="s">
        <v>71</v>
      </c>
      <c r="B150" s="26" t="s">
        <v>446</v>
      </c>
      <c r="C150" s="143">
        <f t="shared" si="20"/>
        <v>5000</v>
      </c>
      <c r="D150" s="143">
        <v>5000</v>
      </c>
      <c r="E150" s="143"/>
      <c r="F150" s="143"/>
      <c r="G150" s="143"/>
      <c r="H150" s="143"/>
      <c r="I150" s="143"/>
      <c r="J150" s="143"/>
      <c r="K150" s="143"/>
      <c r="L150" s="143"/>
      <c r="M150" s="143"/>
      <c r="N150" s="142">
        <f t="shared" si="19"/>
        <v>5000</v>
      </c>
      <c r="O150" s="144"/>
      <c r="P150" s="144"/>
    </row>
    <row r="151" spans="1:16" s="124" customFormat="1" ht="25.5">
      <c r="A151" s="168" t="s">
        <v>268</v>
      </c>
      <c r="B151" s="131" t="s">
        <v>137</v>
      </c>
      <c r="C151" s="159">
        <f>C152+C153+C169</f>
        <v>86845078</v>
      </c>
      <c r="D151" s="159">
        <f>D152+D153+D169</f>
        <v>84666778</v>
      </c>
      <c r="E151" s="159">
        <f>E152+E153+E169</f>
        <v>44464535</v>
      </c>
      <c r="F151" s="159">
        <f>F152+F153+F169</f>
        <v>4596603</v>
      </c>
      <c r="G151" s="159">
        <f>G152+G153+G169</f>
        <v>2178300</v>
      </c>
      <c r="H151" s="159">
        <f>H152+H153+H165+H163+H164</f>
        <v>7842217</v>
      </c>
      <c r="I151" s="159">
        <f>I152+I153+I165+I163+I164</f>
        <v>2538204</v>
      </c>
      <c r="J151" s="159">
        <f>J152+J153+J165+J163+J164</f>
        <v>1200</v>
      </c>
      <c r="K151" s="159">
        <f>K152+K153+K165+K163+K164</f>
        <v>0</v>
      </c>
      <c r="L151" s="159">
        <f>L152+L153+L165+L163+L164</f>
        <v>5304013</v>
      </c>
      <c r="M151" s="159">
        <f>M152+M153+M165+M163+M167+M164</f>
        <v>4680343</v>
      </c>
      <c r="N151" s="158">
        <f t="shared" si="19"/>
        <v>94687295</v>
      </c>
      <c r="O151" s="167"/>
      <c r="P151" s="167"/>
    </row>
    <row r="152" spans="1:16" s="22" customFormat="1" ht="12.75">
      <c r="A152" s="45" t="s">
        <v>22</v>
      </c>
      <c r="B152" s="51" t="s">
        <v>23</v>
      </c>
      <c r="C152" s="143">
        <f aca="true" t="shared" si="22" ref="C152:C162">D152+G152</f>
        <v>441952</v>
      </c>
      <c r="D152" s="143">
        <f>283086+18589+100459+31359+8459</f>
        <v>441952</v>
      </c>
      <c r="E152" s="143">
        <f>170177+13649+73759+23024</f>
        <v>280609</v>
      </c>
      <c r="F152" s="143">
        <f>21448+8459-4000</f>
        <v>25907</v>
      </c>
      <c r="G152" s="143"/>
      <c r="H152" s="143">
        <f aca="true" t="shared" si="23" ref="H152:H168">I152+L152</f>
        <v>0</v>
      </c>
      <c r="I152" s="143"/>
      <c r="J152" s="143"/>
      <c r="K152" s="143"/>
      <c r="L152" s="143"/>
      <c r="M152" s="143"/>
      <c r="N152" s="142">
        <f t="shared" si="19"/>
        <v>441952</v>
      </c>
      <c r="O152" s="144"/>
      <c r="P152" s="144"/>
    </row>
    <row r="153" spans="1:16" s="17" customFormat="1" ht="12.75">
      <c r="A153" s="46" t="s">
        <v>33</v>
      </c>
      <c r="B153" s="88" t="s">
        <v>34</v>
      </c>
      <c r="C153" s="143">
        <f t="shared" si="22"/>
        <v>86346126</v>
      </c>
      <c r="D153" s="143">
        <f>D154+D155+D156+D157+D158+D159+D160+D161+D162</f>
        <v>84201826</v>
      </c>
      <c r="E153" s="143">
        <f>E154+E155+E156+E157+E158+E159+E160+E161+E162</f>
        <v>44183926</v>
      </c>
      <c r="F153" s="143">
        <f>F154+F155+F156+F157+F158+F159+F160+F161+F162</f>
        <v>4570696</v>
      </c>
      <c r="G153" s="143">
        <f>G154+G155+G156+G157+G158+G159+G160+G161+G162</f>
        <v>2144300</v>
      </c>
      <c r="H153" s="143">
        <f t="shared" si="23"/>
        <v>450534</v>
      </c>
      <c r="I153" s="143">
        <f>I154+I155+I156+I157+I158+I159+I160+I161+I162</f>
        <v>381534</v>
      </c>
      <c r="J153" s="143">
        <f>J154+J155+J156+J157+J158+J159+J160+J161+J162</f>
        <v>1200</v>
      </c>
      <c r="K153" s="143">
        <f>K154+K155+K156+K157+K158+K159+K160+K161+K162</f>
        <v>0</v>
      </c>
      <c r="L153" s="143">
        <f>L154+L155+L156+L157+L158+L159+L160+L161+L162</f>
        <v>69000</v>
      </c>
      <c r="M153" s="143">
        <f>M154+M155+M156+M157+M158+M159+M160+M161+M162</f>
        <v>0</v>
      </c>
      <c r="N153" s="142">
        <f t="shared" si="19"/>
        <v>86796660</v>
      </c>
      <c r="O153" s="150"/>
      <c r="P153" s="150"/>
    </row>
    <row r="154" spans="1:16" s="22" customFormat="1" ht="12.75">
      <c r="A154" s="45" t="s">
        <v>35</v>
      </c>
      <c r="B154" s="27" t="s">
        <v>36</v>
      </c>
      <c r="C154" s="143">
        <f t="shared" si="22"/>
        <v>74277655</v>
      </c>
      <c r="D154" s="143">
        <f>68781000+17200+77800+98000+100000-65200+998272-21211+2907100+120394</f>
        <v>73013355</v>
      </c>
      <c r="E154" s="143">
        <f>40966100-23000-19580+122430</f>
        <v>41045950</v>
      </c>
      <c r="F154" s="143">
        <f>3743042+711889+3819-60841-230000</f>
        <v>4167909</v>
      </c>
      <c r="G154" s="143">
        <f>98000+295000+441300+430000</f>
        <v>1264300</v>
      </c>
      <c r="H154" s="143">
        <f t="shared" si="23"/>
        <v>255534</v>
      </c>
      <c r="I154" s="143">
        <v>216534</v>
      </c>
      <c r="J154" s="143">
        <v>1200</v>
      </c>
      <c r="K154" s="143"/>
      <c r="L154" s="143">
        <v>39000</v>
      </c>
      <c r="M154" s="143"/>
      <c r="N154" s="142">
        <f t="shared" si="19"/>
        <v>74533189</v>
      </c>
      <c r="O154" s="144"/>
      <c r="P154" s="144"/>
    </row>
    <row r="155" spans="1:16" s="22" customFormat="1" ht="12.75">
      <c r="A155" s="45" t="s">
        <v>86</v>
      </c>
      <c r="B155" s="26" t="s">
        <v>87</v>
      </c>
      <c r="C155" s="143">
        <f t="shared" si="22"/>
        <v>3026627</v>
      </c>
      <c r="D155" s="143">
        <f>2585900+23000-4600+92527+178800+11000</f>
        <v>2886627</v>
      </c>
      <c r="E155" s="143">
        <f>1535700+30000+8076</f>
        <v>1573776</v>
      </c>
      <c r="F155" s="143">
        <f>285750+51097</f>
        <v>336847</v>
      </c>
      <c r="G155" s="143">
        <f>40000+100000</f>
        <v>140000</v>
      </c>
      <c r="H155" s="143">
        <f t="shared" si="23"/>
        <v>195000</v>
      </c>
      <c r="I155" s="143">
        <v>165000</v>
      </c>
      <c r="J155" s="143"/>
      <c r="K155" s="143"/>
      <c r="L155" s="143">
        <v>30000</v>
      </c>
      <c r="M155" s="143"/>
      <c r="N155" s="142">
        <f t="shared" si="19"/>
        <v>3221627</v>
      </c>
      <c r="O155" s="144"/>
      <c r="P155" s="144"/>
    </row>
    <row r="156" spans="1:16" s="22" customFormat="1" ht="51">
      <c r="A156" s="45" t="s">
        <v>37</v>
      </c>
      <c r="B156" s="27" t="s">
        <v>284</v>
      </c>
      <c r="C156" s="143">
        <f t="shared" si="22"/>
        <v>1254283</v>
      </c>
      <c r="D156" s="143">
        <f>1186300+7377+60000+606</f>
        <v>1254283</v>
      </c>
      <c r="E156" s="143">
        <v>823100</v>
      </c>
      <c r="F156" s="143">
        <f>31200+6995+606</f>
        <v>38801</v>
      </c>
      <c r="G156" s="143"/>
      <c r="H156" s="143">
        <f t="shared" si="23"/>
        <v>0</v>
      </c>
      <c r="I156" s="143"/>
      <c r="J156" s="143"/>
      <c r="K156" s="143"/>
      <c r="L156" s="143"/>
      <c r="M156" s="143"/>
      <c r="N156" s="142">
        <f t="shared" si="19"/>
        <v>1254283</v>
      </c>
      <c r="O156" s="144"/>
      <c r="P156" s="144"/>
    </row>
    <row r="157" spans="1:16" s="22" customFormat="1" ht="25.5">
      <c r="A157" s="45" t="s">
        <v>39</v>
      </c>
      <c r="B157" s="20" t="s">
        <v>40</v>
      </c>
      <c r="C157" s="143">
        <f t="shared" si="22"/>
        <v>1039161</v>
      </c>
      <c r="D157" s="143">
        <f>816400+5461+184300+3000</f>
        <v>1009161</v>
      </c>
      <c r="E157" s="143">
        <v>560700</v>
      </c>
      <c r="F157" s="143">
        <f>19120+5019+3000</f>
        <v>27139</v>
      </c>
      <c r="G157" s="143">
        <f>40000-10000</f>
        <v>30000</v>
      </c>
      <c r="H157" s="143">
        <f t="shared" si="23"/>
        <v>0</v>
      </c>
      <c r="I157" s="143"/>
      <c r="J157" s="143"/>
      <c r="K157" s="143"/>
      <c r="L157" s="143"/>
      <c r="M157" s="143"/>
      <c r="N157" s="142">
        <f t="shared" si="19"/>
        <v>1039161</v>
      </c>
      <c r="O157" s="144"/>
      <c r="P157" s="144"/>
    </row>
    <row r="158" spans="1:16" s="22" customFormat="1" ht="25.5">
      <c r="A158" s="45" t="s">
        <v>41</v>
      </c>
      <c r="B158" s="27" t="s">
        <v>163</v>
      </c>
      <c r="C158" s="143">
        <f t="shared" si="22"/>
        <v>79400</v>
      </c>
      <c r="D158" s="143">
        <f>88900-9500</f>
        <v>79400</v>
      </c>
      <c r="E158" s="143">
        <f>58600-7000</f>
        <v>51600</v>
      </c>
      <c r="F158" s="143"/>
      <c r="G158" s="143"/>
      <c r="H158" s="143">
        <f t="shared" si="23"/>
        <v>0</v>
      </c>
      <c r="I158" s="143"/>
      <c r="J158" s="143"/>
      <c r="K158" s="143"/>
      <c r="L158" s="143"/>
      <c r="M158" s="143"/>
      <c r="N158" s="142">
        <f t="shared" si="19"/>
        <v>79400</v>
      </c>
      <c r="O158" s="144"/>
      <c r="P158" s="144"/>
    </row>
    <row r="159" spans="1:16" s="22" customFormat="1" ht="12.75">
      <c r="A159" s="45" t="s">
        <v>42</v>
      </c>
      <c r="B159" s="27" t="s">
        <v>285</v>
      </c>
      <c r="C159" s="143">
        <f t="shared" si="22"/>
        <v>4278279</v>
      </c>
      <c r="D159" s="143">
        <f>3659500+300000-250000-311000-90000+11942900-11521400-101200-50521</f>
        <v>3578279</v>
      </c>
      <c r="E159" s="143"/>
      <c r="F159" s="143"/>
      <c r="G159" s="143">
        <v>700000</v>
      </c>
      <c r="H159" s="143">
        <f t="shared" si="23"/>
        <v>0</v>
      </c>
      <c r="I159" s="143"/>
      <c r="J159" s="143"/>
      <c r="K159" s="143"/>
      <c r="L159" s="143"/>
      <c r="M159" s="143"/>
      <c r="N159" s="142">
        <f t="shared" si="19"/>
        <v>4278279</v>
      </c>
      <c r="O159" s="144"/>
      <c r="P159" s="144"/>
    </row>
    <row r="160" spans="1:16" s="22" customFormat="1" ht="38.25">
      <c r="A160" s="45" t="s">
        <v>44</v>
      </c>
      <c r="B160" s="27" t="s">
        <v>286</v>
      </c>
      <c r="C160" s="143">
        <f t="shared" si="22"/>
        <v>14200</v>
      </c>
      <c r="D160" s="143">
        <v>14200</v>
      </c>
      <c r="E160" s="143">
        <v>10400</v>
      </c>
      <c r="F160" s="143"/>
      <c r="G160" s="143"/>
      <c r="H160" s="143">
        <f t="shared" si="23"/>
        <v>0</v>
      </c>
      <c r="I160" s="143"/>
      <c r="J160" s="143"/>
      <c r="K160" s="143"/>
      <c r="L160" s="143"/>
      <c r="M160" s="143"/>
      <c r="N160" s="142">
        <f t="shared" si="19"/>
        <v>14200</v>
      </c>
      <c r="O160" s="144"/>
      <c r="P160" s="144"/>
    </row>
    <row r="161" spans="1:16" s="22" customFormat="1" ht="12.75">
      <c r="A161" s="45" t="s">
        <v>45</v>
      </c>
      <c r="B161" s="27" t="s">
        <v>46</v>
      </c>
      <c r="C161" s="143">
        <f t="shared" si="22"/>
        <v>355300</v>
      </c>
      <c r="D161" s="143">
        <f>246300+99000</f>
        <v>345300</v>
      </c>
      <c r="E161" s="143">
        <v>118400</v>
      </c>
      <c r="F161" s="143"/>
      <c r="G161" s="143">
        <v>10000</v>
      </c>
      <c r="H161" s="143">
        <f t="shared" si="23"/>
        <v>0</v>
      </c>
      <c r="I161" s="143"/>
      <c r="J161" s="143"/>
      <c r="K161" s="143"/>
      <c r="L161" s="143"/>
      <c r="M161" s="143"/>
      <c r="N161" s="142">
        <f t="shared" si="19"/>
        <v>355300</v>
      </c>
      <c r="O161" s="144"/>
      <c r="P161" s="144"/>
    </row>
    <row r="162" spans="1:16" s="22" customFormat="1" ht="38.25">
      <c r="A162" s="45" t="s">
        <v>231</v>
      </c>
      <c r="B162" s="103" t="s">
        <v>418</v>
      </c>
      <c r="C162" s="143">
        <f t="shared" si="22"/>
        <v>2021221</v>
      </c>
      <c r="D162" s="143">
        <f>386400+283000+883700+417600+50521</f>
        <v>2021221</v>
      </c>
      <c r="E162" s="143"/>
      <c r="F162" s="143"/>
      <c r="G162" s="143"/>
      <c r="H162" s="143">
        <f t="shared" si="23"/>
        <v>0</v>
      </c>
      <c r="I162" s="143"/>
      <c r="J162" s="143"/>
      <c r="K162" s="143"/>
      <c r="L162" s="143"/>
      <c r="M162" s="143"/>
      <c r="N162" s="142">
        <f t="shared" si="19"/>
        <v>2021221</v>
      </c>
      <c r="O162" s="144"/>
      <c r="P162" s="144"/>
    </row>
    <row r="163" spans="1:16" s="22" customFormat="1" ht="12.75">
      <c r="A163" s="45" t="s">
        <v>248</v>
      </c>
      <c r="B163" s="26" t="s">
        <v>249</v>
      </c>
      <c r="C163" s="143"/>
      <c r="D163" s="143"/>
      <c r="E163" s="143"/>
      <c r="F163" s="143"/>
      <c r="G163" s="143"/>
      <c r="H163" s="143">
        <f t="shared" si="23"/>
        <v>1117017</v>
      </c>
      <c r="I163" s="143"/>
      <c r="J163" s="143"/>
      <c r="K163" s="143"/>
      <c r="L163" s="143">
        <f>M163</f>
        <v>1117017</v>
      </c>
      <c r="M163" s="143">
        <f>760000+357017</f>
        <v>1117017</v>
      </c>
      <c r="N163" s="142">
        <f>C163+H163</f>
        <v>1117017</v>
      </c>
      <c r="O163" s="144"/>
      <c r="P163" s="144"/>
    </row>
    <row r="164" spans="1:16" s="22" customFormat="1" ht="12.75">
      <c r="A164" s="45" t="s">
        <v>316</v>
      </c>
      <c r="B164" s="26" t="s">
        <v>317</v>
      </c>
      <c r="C164" s="143"/>
      <c r="D164" s="143"/>
      <c r="E164" s="143"/>
      <c r="F164" s="143"/>
      <c r="G164" s="143"/>
      <c r="H164" s="143">
        <f t="shared" si="23"/>
        <v>3563326</v>
      </c>
      <c r="I164" s="143"/>
      <c r="J164" s="143"/>
      <c r="K164" s="143"/>
      <c r="L164" s="143">
        <f>M164</f>
        <v>3563326</v>
      </c>
      <c r="M164" s="143">
        <f>2835326+728000</f>
        <v>3563326</v>
      </c>
      <c r="N164" s="142">
        <f>C164+H164</f>
        <v>3563326</v>
      </c>
      <c r="O164" s="144"/>
      <c r="P164" s="144"/>
    </row>
    <row r="165" spans="1:16" s="22" customFormat="1" ht="25.5">
      <c r="A165" s="45" t="s">
        <v>69</v>
      </c>
      <c r="B165" s="104" t="s">
        <v>218</v>
      </c>
      <c r="C165" s="143"/>
      <c r="D165" s="143"/>
      <c r="E165" s="143"/>
      <c r="F165" s="143"/>
      <c r="G165" s="143"/>
      <c r="H165" s="143">
        <f t="shared" si="23"/>
        <v>2711340</v>
      </c>
      <c r="I165" s="143">
        <f>177000+980700+118500+I167+I168+290000+417000</f>
        <v>2156670</v>
      </c>
      <c r="J165" s="143"/>
      <c r="K165" s="143"/>
      <c r="L165" s="143">
        <f>31500+53000+L167+L168</f>
        <v>554670</v>
      </c>
      <c r="M165" s="143"/>
      <c r="N165" s="142">
        <f t="shared" si="19"/>
        <v>2711340</v>
      </c>
      <c r="O165" s="144"/>
      <c r="P165" s="144"/>
    </row>
    <row r="166" spans="1:16" s="22" customFormat="1" ht="12.75">
      <c r="A166" s="25"/>
      <c r="B166" s="103" t="s">
        <v>224</v>
      </c>
      <c r="C166" s="143"/>
      <c r="D166" s="143"/>
      <c r="E166" s="143"/>
      <c r="F166" s="143"/>
      <c r="G166" s="143"/>
      <c r="H166" s="143"/>
      <c r="I166" s="143"/>
      <c r="J166" s="143"/>
      <c r="K166" s="143"/>
      <c r="L166" s="143"/>
      <c r="M166" s="143"/>
      <c r="N166" s="142"/>
      <c r="O166" s="144"/>
      <c r="P166" s="144"/>
    </row>
    <row r="167" spans="1:16" s="22" customFormat="1" ht="89.25">
      <c r="A167" s="25" t="s">
        <v>69</v>
      </c>
      <c r="B167" s="103" t="s">
        <v>389</v>
      </c>
      <c r="C167" s="143"/>
      <c r="D167" s="143"/>
      <c r="E167" s="143"/>
      <c r="F167" s="143"/>
      <c r="G167" s="143"/>
      <c r="H167" s="143">
        <f t="shared" si="23"/>
        <v>341700</v>
      </c>
      <c r="I167" s="143">
        <f>45700+10000</f>
        <v>55700</v>
      </c>
      <c r="J167" s="143"/>
      <c r="K167" s="143"/>
      <c r="L167" s="143">
        <f>296000-10000</f>
        <v>286000</v>
      </c>
      <c r="M167" s="143"/>
      <c r="N167" s="142">
        <f t="shared" si="19"/>
        <v>341700</v>
      </c>
      <c r="O167" s="144"/>
      <c r="P167" s="144"/>
    </row>
    <row r="168" spans="1:16" s="22" customFormat="1" ht="25.5">
      <c r="A168" s="25"/>
      <c r="B168" s="103" t="s">
        <v>425</v>
      </c>
      <c r="C168" s="143"/>
      <c r="D168" s="143"/>
      <c r="E168" s="143"/>
      <c r="F168" s="143"/>
      <c r="G168" s="143"/>
      <c r="H168" s="143">
        <f t="shared" si="23"/>
        <v>301940</v>
      </c>
      <c r="I168" s="143">
        <f>97170+20000+8600-3000-5000</f>
        <v>117770</v>
      </c>
      <c r="J168" s="143"/>
      <c r="K168" s="143"/>
      <c r="L168" s="143">
        <f>204770-20000-8600+3000+5000</f>
        <v>184170</v>
      </c>
      <c r="M168" s="143"/>
      <c r="N168" s="142">
        <f t="shared" si="19"/>
        <v>301940</v>
      </c>
      <c r="O168" s="144"/>
      <c r="P168" s="144"/>
    </row>
    <row r="169" spans="1:16" s="22" customFormat="1" ht="51">
      <c r="A169" s="45" t="s">
        <v>71</v>
      </c>
      <c r="B169" s="26" t="s">
        <v>446</v>
      </c>
      <c r="C169" s="143">
        <f>D169+G169</f>
        <v>57000</v>
      </c>
      <c r="D169" s="143">
        <v>23000</v>
      </c>
      <c r="E169" s="143"/>
      <c r="F169" s="143"/>
      <c r="G169" s="143">
        <v>34000</v>
      </c>
      <c r="H169" s="143"/>
      <c r="I169" s="143"/>
      <c r="J169" s="143"/>
      <c r="K169" s="143"/>
      <c r="L169" s="143"/>
      <c r="M169" s="143"/>
      <c r="N169" s="142">
        <f t="shared" si="19"/>
        <v>57000</v>
      </c>
      <c r="O169" s="144"/>
      <c r="P169" s="144"/>
    </row>
    <row r="170" spans="1:16" s="124" customFormat="1" ht="38.25">
      <c r="A170" s="123" t="s">
        <v>269</v>
      </c>
      <c r="B170" s="125" t="s">
        <v>138</v>
      </c>
      <c r="C170" s="159">
        <f>C171+C172+C181</f>
        <v>5754896</v>
      </c>
      <c r="D170" s="159">
        <f>D171+D172+D181</f>
        <v>5261596</v>
      </c>
      <c r="E170" s="159">
        <f>E171+E172+E181</f>
        <v>2331007</v>
      </c>
      <c r="F170" s="159">
        <f>F171+F172+F181</f>
        <v>534292</v>
      </c>
      <c r="G170" s="159">
        <f>G171+G172+G181</f>
        <v>493300</v>
      </c>
      <c r="H170" s="159">
        <f>H171+H172+H178</f>
        <v>180850</v>
      </c>
      <c r="I170" s="159">
        <f>I171+I172+I178</f>
        <v>178650</v>
      </c>
      <c r="J170" s="159">
        <f>J171+J172+J178</f>
        <v>38708</v>
      </c>
      <c r="K170" s="159">
        <f>K171+K172+K178</f>
        <v>10600</v>
      </c>
      <c r="L170" s="159">
        <f>L171+L172+L178</f>
        <v>2200</v>
      </c>
      <c r="M170" s="159">
        <f>M171+M172+M180</f>
        <v>0</v>
      </c>
      <c r="N170" s="158">
        <f t="shared" si="19"/>
        <v>5935746</v>
      </c>
      <c r="O170" s="167"/>
      <c r="P170" s="167"/>
    </row>
    <row r="171" spans="1:16" s="22" customFormat="1" ht="12.75">
      <c r="A171" s="45" t="s">
        <v>22</v>
      </c>
      <c r="B171" s="51" t="s">
        <v>23</v>
      </c>
      <c r="C171" s="143">
        <f aca="true" t="shared" si="24" ref="C171:C177">D171+G171</f>
        <v>420186</v>
      </c>
      <c r="D171" s="143">
        <f>241501+1100+17754+117235+33467+5829</f>
        <v>416886</v>
      </c>
      <c r="E171" s="143">
        <f>156126+13035+86076+24572</f>
        <v>279809</v>
      </c>
      <c r="F171" s="143">
        <f>9652+5829</f>
        <v>15481</v>
      </c>
      <c r="G171" s="143">
        <v>3300</v>
      </c>
      <c r="H171" s="143">
        <f aca="true" t="shared" si="25" ref="H171:H180">I171+L171</f>
        <v>0</v>
      </c>
      <c r="I171" s="143"/>
      <c r="J171" s="143"/>
      <c r="K171" s="143"/>
      <c r="L171" s="143"/>
      <c r="M171" s="143"/>
      <c r="N171" s="142">
        <f t="shared" si="19"/>
        <v>420186</v>
      </c>
      <c r="O171" s="144"/>
      <c r="P171" s="144"/>
    </row>
    <row r="172" spans="1:16" s="22" customFormat="1" ht="12.75">
      <c r="A172" s="45">
        <v>130000</v>
      </c>
      <c r="B172" s="27" t="s">
        <v>60</v>
      </c>
      <c r="C172" s="143">
        <f t="shared" si="24"/>
        <v>5324710</v>
      </c>
      <c r="D172" s="143">
        <f>D173+D174+D175+D176+D177</f>
        <v>4844710</v>
      </c>
      <c r="E172" s="143">
        <f>E173+E174+E175+E176+E177</f>
        <v>2051198</v>
      </c>
      <c r="F172" s="143">
        <f>F173+F174+F175+F176+F177</f>
        <v>518811</v>
      </c>
      <c r="G172" s="143">
        <f>G173+G174+G175+G176+G177</f>
        <v>480000</v>
      </c>
      <c r="H172" s="143">
        <f t="shared" si="25"/>
        <v>174850</v>
      </c>
      <c r="I172" s="143">
        <f>I173+I174+I175+I176+I177</f>
        <v>172650</v>
      </c>
      <c r="J172" s="143">
        <f>J173+J174+J175+J176+J177</f>
        <v>38708</v>
      </c>
      <c r="K172" s="143">
        <f>K173+K174+K175+K176+K177</f>
        <v>10600</v>
      </c>
      <c r="L172" s="143">
        <f>L173+L174+L175+L176+L177</f>
        <v>2200</v>
      </c>
      <c r="M172" s="143">
        <f>M173+M174+M175+M176+M177</f>
        <v>0</v>
      </c>
      <c r="N172" s="142">
        <f t="shared" si="19"/>
        <v>5499560</v>
      </c>
      <c r="O172" s="151"/>
      <c r="P172" s="144"/>
    </row>
    <row r="173" spans="1:16" s="22" customFormat="1" ht="25.5">
      <c r="A173" s="45">
        <v>130102</v>
      </c>
      <c r="B173" s="104" t="s">
        <v>61</v>
      </c>
      <c r="C173" s="143">
        <f t="shared" si="24"/>
        <v>250000</v>
      </c>
      <c r="D173" s="143">
        <f>200000+50000</f>
        <v>250000</v>
      </c>
      <c r="E173" s="143"/>
      <c r="F173" s="143"/>
      <c r="G173" s="143"/>
      <c r="H173" s="143">
        <f t="shared" si="25"/>
        <v>0</v>
      </c>
      <c r="I173" s="143"/>
      <c r="J173" s="143"/>
      <c r="K173" s="143"/>
      <c r="L173" s="143"/>
      <c r="M173" s="143"/>
      <c r="N173" s="142">
        <f t="shared" si="19"/>
        <v>250000</v>
      </c>
      <c r="O173" s="144"/>
      <c r="P173" s="144"/>
    </row>
    <row r="174" spans="1:16" s="22" customFormat="1" ht="38.25">
      <c r="A174" s="45">
        <v>130107</v>
      </c>
      <c r="B174" s="104" t="s">
        <v>62</v>
      </c>
      <c r="C174" s="143">
        <f t="shared" si="24"/>
        <v>2960990</v>
      </c>
      <c r="D174" s="143">
        <f>2559365-20000+65000+34125+198100+44400</f>
        <v>2880990</v>
      </c>
      <c r="E174" s="143">
        <v>1590232</v>
      </c>
      <c r="F174" s="143">
        <f>213700+34125+44400</f>
        <v>292225</v>
      </c>
      <c r="G174" s="143">
        <f>20000+60000</f>
        <v>80000</v>
      </c>
      <c r="H174" s="143">
        <f t="shared" si="25"/>
        <v>120000</v>
      </c>
      <c r="I174" s="143">
        <v>120000</v>
      </c>
      <c r="J174" s="143">
        <v>27000</v>
      </c>
      <c r="K174" s="143"/>
      <c r="L174" s="143"/>
      <c r="M174" s="143"/>
      <c r="N174" s="142">
        <f t="shared" si="19"/>
        <v>3080990</v>
      </c>
      <c r="O174" s="144"/>
      <c r="P174" s="144"/>
    </row>
    <row r="175" spans="1:16" s="22" customFormat="1" ht="27" customHeight="1">
      <c r="A175" s="45">
        <v>130110</v>
      </c>
      <c r="B175" s="104" t="s">
        <v>63</v>
      </c>
      <c r="C175" s="143">
        <f t="shared" si="24"/>
        <v>1880133</v>
      </c>
      <c r="D175" s="143">
        <f>937878+1000000-400000-3198-1245+4443-50545+14700-29900+8000</f>
        <v>1480133</v>
      </c>
      <c r="E175" s="143">
        <f>337706-3198</f>
        <v>334508</v>
      </c>
      <c r="F175" s="143">
        <f>180820+4443+14700+8000</f>
        <v>207963</v>
      </c>
      <c r="G175" s="143">
        <f>400000</f>
        <v>400000</v>
      </c>
      <c r="H175" s="143">
        <f t="shared" si="25"/>
        <v>33000</v>
      </c>
      <c r="I175" s="143">
        <v>33000</v>
      </c>
      <c r="J175" s="143">
        <v>3000</v>
      </c>
      <c r="K175" s="143">
        <v>8500</v>
      </c>
      <c r="L175" s="143"/>
      <c r="M175" s="143"/>
      <c r="N175" s="142">
        <f t="shared" si="19"/>
        <v>1913133</v>
      </c>
      <c r="O175" s="144"/>
      <c r="P175" s="144"/>
    </row>
    <row r="176" spans="1:16" s="22" customFormat="1" ht="12.75">
      <c r="A176" s="45" t="s">
        <v>252</v>
      </c>
      <c r="B176" s="104" t="s">
        <v>72</v>
      </c>
      <c r="C176" s="143">
        <f t="shared" si="24"/>
        <v>159695</v>
      </c>
      <c r="D176" s="143">
        <f>125475+198100+1720+29900-198100+2600</f>
        <v>159695</v>
      </c>
      <c r="E176" s="143">
        <v>80713</v>
      </c>
      <c r="F176" s="143">
        <f>14303+1720+2600</f>
        <v>18623</v>
      </c>
      <c r="G176" s="143"/>
      <c r="H176" s="143">
        <f t="shared" si="25"/>
        <v>21850</v>
      </c>
      <c r="I176" s="143">
        <f>21850-2200</f>
        <v>19650</v>
      </c>
      <c r="J176" s="143">
        <v>8708</v>
      </c>
      <c r="K176" s="143">
        <v>2100</v>
      </c>
      <c r="L176" s="143">
        <v>2200</v>
      </c>
      <c r="M176" s="143"/>
      <c r="N176" s="142">
        <f t="shared" si="19"/>
        <v>181545</v>
      </c>
      <c r="O176" s="144"/>
      <c r="P176" s="144"/>
    </row>
    <row r="177" spans="1:16" s="22" customFormat="1" ht="12.75">
      <c r="A177" s="45">
        <v>130113</v>
      </c>
      <c r="B177" s="27" t="s">
        <v>46</v>
      </c>
      <c r="C177" s="143">
        <f t="shared" si="24"/>
        <v>73892</v>
      </c>
      <c r="D177" s="143">
        <f>73892</f>
        <v>73892</v>
      </c>
      <c r="E177" s="143">
        <v>45745</v>
      </c>
      <c r="F177" s="143"/>
      <c r="G177" s="143"/>
      <c r="H177" s="143">
        <f t="shared" si="25"/>
        <v>0</v>
      </c>
      <c r="I177" s="143"/>
      <c r="J177" s="143"/>
      <c r="K177" s="143"/>
      <c r="L177" s="143"/>
      <c r="M177" s="143"/>
      <c r="N177" s="142">
        <f t="shared" si="19"/>
        <v>73892</v>
      </c>
      <c r="O177" s="144"/>
      <c r="P177" s="144"/>
    </row>
    <row r="178" spans="1:16" s="22" customFormat="1" ht="25.5">
      <c r="A178" s="25" t="s">
        <v>69</v>
      </c>
      <c r="B178" s="104" t="s">
        <v>218</v>
      </c>
      <c r="C178" s="143"/>
      <c r="D178" s="143"/>
      <c r="E178" s="143"/>
      <c r="F178" s="143"/>
      <c r="G178" s="143"/>
      <c r="H178" s="143">
        <f t="shared" si="25"/>
        <v>6000</v>
      </c>
      <c r="I178" s="143">
        <v>6000</v>
      </c>
      <c r="J178" s="143"/>
      <c r="K178" s="143"/>
      <c r="L178" s="143"/>
      <c r="M178" s="143"/>
      <c r="N178" s="142">
        <f t="shared" si="19"/>
        <v>6000</v>
      </c>
      <c r="O178" s="144"/>
      <c r="P178" s="144"/>
    </row>
    <row r="179" spans="1:16" s="22" customFormat="1" ht="12.75">
      <c r="A179" s="25"/>
      <c r="B179" s="103" t="s">
        <v>224</v>
      </c>
      <c r="C179" s="143"/>
      <c r="D179" s="143"/>
      <c r="E179" s="143"/>
      <c r="F179" s="143"/>
      <c r="G179" s="143"/>
      <c r="H179" s="143"/>
      <c r="I179" s="143"/>
      <c r="J179" s="143"/>
      <c r="K179" s="143"/>
      <c r="L179" s="143"/>
      <c r="M179" s="143"/>
      <c r="N179" s="142"/>
      <c r="O179" s="144"/>
      <c r="P179" s="144"/>
    </row>
    <row r="180" spans="1:16" s="22" customFormat="1" ht="89.25">
      <c r="A180" s="25"/>
      <c r="B180" s="103" t="s">
        <v>389</v>
      </c>
      <c r="C180" s="143"/>
      <c r="D180" s="143"/>
      <c r="E180" s="143"/>
      <c r="F180" s="143"/>
      <c r="G180" s="143"/>
      <c r="H180" s="143">
        <f t="shared" si="25"/>
        <v>6000</v>
      </c>
      <c r="I180" s="143">
        <v>6000</v>
      </c>
      <c r="J180" s="143"/>
      <c r="K180" s="143"/>
      <c r="L180" s="143"/>
      <c r="M180" s="143"/>
      <c r="N180" s="142">
        <f t="shared" si="19"/>
        <v>6000</v>
      </c>
      <c r="O180" s="144"/>
      <c r="P180" s="144"/>
    </row>
    <row r="181" spans="1:16" s="22" customFormat="1" ht="51">
      <c r="A181" s="45" t="s">
        <v>71</v>
      </c>
      <c r="B181" s="26" t="s">
        <v>446</v>
      </c>
      <c r="C181" s="143">
        <f>D181+G181</f>
        <v>10000</v>
      </c>
      <c r="D181" s="143"/>
      <c r="E181" s="143"/>
      <c r="F181" s="143"/>
      <c r="G181" s="143">
        <v>10000</v>
      </c>
      <c r="H181" s="143"/>
      <c r="I181" s="143"/>
      <c r="J181" s="143"/>
      <c r="K181" s="143"/>
      <c r="L181" s="143"/>
      <c r="M181" s="143"/>
      <c r="N181" s="142">
        <f t="shared" si="19"/>
        <v>10000</v>
      </c>
      <c r="O181" s="144"/>
      <c r="P181" s="144"/>
    </row>
    <row r="182" spans="1:16" s="124" customFormat="1" ht="25.5">
      <c r="A182" s="123" t="s">
        <v>270</v>
      </c>
      <c r="B182" s="125" t="s">
        <v>139</v>
      </c>
      <c r="C182" s="159">
        <f>C183+C184+C185+C186+C187+C188</f>
        <v>756920</v>
      </c>
      <c r="D182" s="159">
        <f>D183+D184+D185+D186+D187+D188</f>
        <v>726704</v>
      </c>
      <c r="E182" s="159">
        <f>E183+E184+E185+E186+E187</f>
        <v>314177.88</v>
      </c>
      <c r="F182" s="159">
        <f>F183+F184+F185+F186+F187</f>
        <v>0</v>
      </c>
      <c r="G182" s="159">
        <f>G183+G184+G185+G186+G187</f>
        <v>30216</v>
      </c>
      <c r="H182" s="159">
        <f aca="true" t="shared" si="26" ref="H182:M182">H183+H184+H185+H186+H187+H189</f>
        <v>5500</v>
      </c>
      <c r="I182" s="159">
        <f t="shared" si="26"/>
        <v>5500</v>
      </c>
      <c r="J182" s="159">
        <f t="shared" si="26"/>
        <v>0</v>
      </c>
      <c r="K182" s="159">
        <f t="shared" si="26"/>
        <v>0</v>
      </c>
      <c r="L182" s="159">
        <f t="shared" si="26"/>
        <v>0</v>
      </c>
      <c r="M182" s="159">
        <f t="shared" si="26"/>
        <v>0</v>
      </c>
      <c r="N182" s="158">
        <f t="shared" si="19"/>
        <v>762420</v>
      </c>
      <c r="O182" s="167"/>
      <c r="P182" s="167"/>
    </row>
    <row r="183" spans="1:16" s="22" customFormat="1" ht="12.75">
      <c r="A183" s="45" t="s">
        <v>22</v>
      </c>
      <c r="B183" s="51" t="s">
        <v>23</v>
      </c>
      <c r="C183" s="143">
        <f>D183+G183</f>
        <v>154820</v>
      </c>
      <c r="D183" s="143">
        <f>103645+7309+36882+2484+1200</f>
        <v>151520</v>
      </c>
      <c r="E183" s="143">
        <f>70120+5366+27079+1824+1200</f>
        <v>105589</v>
      </c>
      <c r="F183" s="143"/>
      <c r="G183" s="143">
        <v>3300</v>
      </c>
      <c r="H183" s="143">
        <f aca="true" t="shared" si="27" ref="H183:H191">I183+L183</f>
        <v>0</v>
      </c>
      <c r="I183" s="143"/>
      <c r="J183" s="143"/>
      <c r="K183" s="143"/>
      <c r="L183" s="143"/>
      <c r="M183" s="143"/>
      <c r="N183" s="142">
        <f t="shared" si="19"/>
        <v>154820</v>
      </c>
      <c r="O183" s="144"/>
      <c r="P183" s="144"/>
    </row>
    <row r="184" spans="1:16" s="22" customFormat="1" ht="25.5">
      <c r="A184" s="45" t="s">
        <v>276</v>
      </c>
      <c r="B184" s="104" t="s">
        <v>369</v>
      </c>
      <c r="C184" s="143">
        <f>D184+G184</f>
        <v>333400</v>
      </c>
      <c r="D184" s="143">
        <f>269800-20216+58000+5600</f>
        <v>313184</v>
      </c>
      <c r="E184" s="143">
        <f>159900+42958+4251</f>
        <v>207109</v>
      </c>
      <c r="F184" s="143"/>
      <c r="G184" s="143">
        <v>20216</v>
      </c>
      <c r="H184" s="143">
        <f t="shared" si="27"/>
        <v>0</v>
      </c>
      <c r="I184" s="143"/>
      <c r="J184" s="143"/>
      <c r="K184" s="143"/>
      <c r="L184" s="143"/>
      <c r="M184" s="143"/>
      <c r="N184" s="142">
        <f t="shared" si="19"/>
        <v>333400</v>
      </c>
      <c r="O184" s="144"/>
      <c r="P184" s="144"/>
    </row>
    <row r="185" spans="1:16" s="22" customFormat="1" ht="38.25">
      <c r="A185" s="45" t="s">
        <v>277</v>
      </c>
      <c r="B185" s="104" t="s">
        <v>386</v>
      </c>
      <c r="C185" s="143">
        <f>D185+G185</f>
        <v>63700</v>
      </c>
      <c r="D185" s="143">
        <f>26900+30100</f>
        <v>57000</v>
      </c>
      <c r="E185" s="186">
        <f>1479.88</f>
        <v>1479.88</v>
      </c>
      <c r="F185" s="143"/>
      <c r="G185" s="143">
        <v>6700</v>
      </c>
      <c r="H185" s="143">
        <f t="shared" si="27"/>
        <v>0</v>
      </c>
      <c r="I185" s="143"/>
      <c r="J185" s="143"/>
      <c r="K185" s="143"/>
      <c r="L185" s="143"/>
      <c r="M185" s="143"/>
      <c r="N185" s="142">
        <f t="shared" si="19"/>
        <v>63700</v>
      </c>
      <c r="O185" s="144"/>
      <c r="P185" s="144"/>
    </row>
    <row r="186" spans="1:16" s="22" customFormat="1" ht="38.25">
      <c r="A186" s="45" t="s">
        <v>49</v>
      </c>
      <c r="B186" s="104" t="s">
        <v>370</v>
      </c>
      <c r="C186" s="143">
        <f>D186+G186</f>
        <v>205000</v>
      </c>
      <c r="D186" s="143">
        <v>205000</v>
      </c>
      <c r="E186" s="143"/>
      <c r="F186" s="143"/>
      <c r="G186" s="143"/>
      <c r="H186" s="143">
        <f t="shared" si="27"/>
        <v>0</v>
      </c>
      <c r="I186" s="143"/>
      <c r="J186" s="143"/>
      <c r="K186" s="143"/>
      <c r="L186" s="143"/>
      <c r="M186" s="143"/>
      <c r="N186" s="142">
        <f t="shared" si="19"/>
        <v>205000</v>
      </c>
      <c r="O186" s="144"/>
      <c r="P186" s="144"/>
    </row>
    <row r="187" spans="1:16" s="22" customFormat="1" ht="38.25" hidden="1">
      <c r="A187" s="45" t="s">
        <v>278</v>
      </c>
      <c r="B187" s="27" t="s">
        <v>279</v>
      </c>
      <c r="C187" s="143"/>
      <c r="D187" s="143"/>
      <c r="E187" s="143"/>
      <c r="F187" s="143"/>
      <c r="G187" s="143"/>
      <c r="H187" s="143">
        <f t="shared" si="27"/>
        <v>0</v>
      </c>
      <c r="I187" s="143"/>
      <c r="J187" s="143"/>
      <c r="K187" s="143"/>
      <c r="L187" s="143"/>
      <c r="M187" s="143"/>
      <c r="N187" s="142">
        <f t="shared" si="19"/>
        <v>0</v>
      </c>
      <c r="O187" s="144"/>
      <c r="P187" s="144"/>
    </row>
    <row r="188" spans="1:16" s="22" customFormat="1" ht="63.75" hidden="1">
      <c r="A188" s="45" t="s">
        <v>362</v>
      </c>
      <c r="B188" s="27" t="s">
        <v>363</v>
      </c>
      <c r="C188" s="143">
        <f>D188+G188</f>
        <v>0</v>
      </c>
      <c r="D188" s="143">
        <f>21500-21500</f>
        <v>0</v>
      </c>
      <c r="E188" s="143"/>
      <c r="F188" s="143"/>
      <c r="G188" s="143"/>
      <c r="H188" s="143">
        <f t="shared" si="27"/>
        <v>0</v>
      </c>
      <c r="I188" s="143"/>
      <c r="J188" s="143"/>
      <c r="K188" s="143"/>
      <c r="L188" s="143"/>
      <c r="M188" s="143"/>
      <c r="N188" s="142">
        <f t="shared" si="19"/>
        <v>0</v>
      </c>
      <c r="O188" s="144"/>
      <c r="P188" s="144"/>
    </row>
    <row r="189" spans="1:16" s="22" customFormat="1" ht="25.5">
      <c r="A189" s="25" t="s">
        <v>69</v>
      </c>
      <c r="B189" s="104" t="s">
        <v>218</v>
      </c>
      <c r="C189" s="143"/>
      <c r="D189" s="143"/>
      <c r="E189" s="143"/>
      <c r="F189" s="143"/>
      <c r="G189" s="143"/>
      <c r="H189" s="143">
        <f t="shared" si="27"/>
        <v>5500</v>
      </c>
      <c r="I189" s="143">
        <v>5500</v>
      </c>
      <c r="J189" s="143">
        <f>J191</f>
        <v>0</v>
      </c>
      <c r="K189" s="143">
        <f>K191</f>
        <v>0</v>
      </c>
      <c r="L189" s="143">
        <f>L191</f>
        <v>0</v>
      </c>
      <c r="M189" s="143">
        <f>M191</f>
        <v>0</v>
      </c>
      <c r="N189" s="142">
        <f>C189+H189</f>
        <v>5500</v>
      </c>
      <c r="O189" s="144"/>
      <c r="P189" s="144"/>
    </row>
    <row r="190" spans="1:16" s="22" customFormat="1" ht="12.75">
      <c r="A190" s="25"/>
      <c r="B190" s="103" t="s">
        <v>224</v>
      </c>
      <c r="C190" s="143"/>
      <c r="D190" s="143"/>
      <c r="E190" s="143"/>
      <c r="F190" s="143"/>
      <c r="G190" s="143"/>
      <c r="H190" s="143"/>
      <c r="I190" s="143"/>
      <c r="J190" s="143"/>
      <c r="K190" s="143"/>
      <c r="L190" s="143"/>
      <c r="M190" s="143"/>
      <c r="N190" s="142"/>
      <c r="O190" s="144"/>
      <c r="P190" s="144"/>
    </row>
    <row r="191" spans="1:16" s="22" customFormat="1" ht="89.25">
      <c r="A191" s="25"/>
      <c r="B191" s="103" t="s">
        <v>389</v>
      </c>
      <c r="C191" s="143"/>
      <c r="D191" s="143"/>
      <c r="E191" s="143"/>
      <c r="F191" s="143"/>
      <c r="G191" s="143"/>
      <c r="H191" s="143">
        <f t="shared" si="27"/>
        <v>5500</v>
      </c>
      <c r="I191" s="143">
        <v>5500</v>
      </c>
      <c r="J191" s="143"/>
      <c r="K191" s="143"/>
      <c r="L191" s="143"/>
      <c r="M191" s="143"/>
      <c r="N191" s="142">
        <f>C191+H191</f>
        <v>5500</v>
      </c>
      <c r="O191" s="144"/>
      <c r="P191" s="144"/>
    </row>
    <row r="192" spans="1:16" s="124" customFormat="1" ht="25.5">
      <c r="A192" s="123" t="s">
        <v>244</v>
      </c>
      <c r="B192" s="125" t="s">
        <v>140</v>
      </c>
      <c r="C192" s="159">
        <f aca="true" t="shared" si="28" ref="C192:M192">C193</f>
        <v>511775</v>
      </c>
      <c r="D192" s="159">
        <f t="shared" si="28"/>
        <v>511775</v>
      </c>
      <c r="E192" s="159">
        <f t="shared" si="28"/>
        <v>339413</v>
      </c>
      <c r="F192" s="159">
        <f t="shared" si="28"/>
        <v>0</v>
      </c>
      <c r="G192" s="159">
        <f t="shared" si="28"/>
        <v>0</v>
      </c>
      <c r="H192" s="159">
        <f t="shared" si="28"/>
        <v>0</v>
      </c>
      <c r="I192" s="159">
        <f t="shared" si="28"/>
        <v>0</v>
      </c>
      <c r="J192" s="159">
        <f t="shared" si="28"/>
        <v>0</v>
      </c>
      <c r="K192" s="159">
        <f t="shared" si="28"/>
        <v>0</v>
      </c>
      <c r="L192" s="159">
        <f t="shared" si="28"/>
        <v>0</v>
      </c>
      <c r="M192" s="159">
        <f t="shared" si="28"/>
        <v>0</v>
      </c>
      <c r="N192" s="158">
        <f t="shared" si="19"/>
        <v>511775</v>
      </c>
      <c r="O192" s="167"/>
      <c r="P192" s="167"/>
    </row>
    <row r="193" spans="1:16" s="22" customFormat="1" ht="12.75">
      <c r="A193" s="45" t="s">
        <v>22</v>
      </c>
      <c r="B193" s="51" t="s">
        <v>23</v>
      </c>
      <c r="C193" s="143">
        <f>D193+G193</f>
        <v>511775</v>
      </c>
      <c r="D193" s="143">
        <f>311937+21211+119606+48121+10900</f>
        <v>511775</v>
      </c>
      <c r="E193" s="143">
        <f>192634+15573+87814+35331+8061</f>
        <v>339413</v>
      </c>
      <c r="F193" s="143"/>
      <c r="G193" s="143"/>
      <c r="H193" s="143">
        <f>I193+L193</f>
        <v>0</v>
      </c>
      <c r="I193" s="143"/>
      <c r="J193" s="143"/>
      <c r="K193" s="143"/>
      <c r="L193" s="143"/>
      <c r="M193" s="143"/>
      <c r="N193" s="142">
        <f t="shared" si="19"/>
        <v>511775</v>
      </c>
      <c r="O193" s="144"/>
      <c r="P193" s="144"/>
    </row>
    <row r="194" spans="1:16" s="124" customFormat="1" ht="25.5">
      <c r="A194" s="123" t="s">
        <v>245</v>
      </c>
      <c r="B194" s="125" t="s">
        <v>141</v>
      </c>
      <c r="C194" s="159">
        <f aca="true" t="shared" si="29" ref="C194:M194">C195</f>
        <v>522693</v>
      </c>
      <c r="D194" s="159">
        <f t="shared" si="29"/>
        <v>512893</v>
      </c>
      <c r="E194" s="159">
        <f t="shared" si="29"/>
        <v>319596</v>
      </c>
      <c r="F194" s="159">
        <f t="shared" si="29"/>
        <v>0</v>
      </c>
      <c r="G194" s="159">
        <f t="shared" si="29"/>
        <v>9800</v>
      </c>
      <c r="H194" s="159">
        <f t="shared" si="29"/>
        <v>0</v>
      </c>
      <c r="I194" s="159">
        <f t="shared" si="29"/>
        <v>0</v>
      </c>
      <c r="J194" s="159">
        <f t="shared" si="29"/>
        <v>0</v>
      </c>
      <c r="K194" s="159">
        <f t="shared" si="29"/>
        <v>0</v>
      </c>
      <c r="L194" s="159">
        <f t="shared" si="29"/>
        <v>0</v>
      </c>
      <c r="M194" s="159">
        <f t="shared" si="29"/>
        <v>0</v>
      </c>
      <c r="N194" s="158">
        <f t="shared" si="19"/>
        <v>522693</v>
      </c>
      <c r="O194" s="167"/>
      <c r="P194" s="167"/>
    </row>
    <row r="195" spans="1:16" s="22" customFormat="1" ht="12.75">
      <c r="A195" s="45" t="s">
        <v>22</v>
      </c>
      <c r="B195" s="51" t="s">
        <v>23</v>
      </c>
      <c r="C195" s="143">
        <f>D195+G195</f>
        <v>522693</v>
      </c>
      <c r="D195" s="143">
        <f>311182+15100+22303+129271+35037</f>
        <v>512893</v>
      </c>
      <c r="E195" s="143">
        <f>195212+16375+94913+13096</f>
        <v>319596</v>
      </c>
      <c r="F195" s="143"/>
      <c r="G195" s="143">
        <v>9800</v>
      </c>
      <c r="H195" s="143">
        <f>I195+L195</f>
        <v>0</v>
      </c>
      <c r="I195" s="143"/>
      <c r="J195" s="143"/>
      <c r="K195" s="143"/>
      <c r="L195" s="143"/>
      <c r="M195" s="143"/>
      <c r="N195" s="142">
        <f t="shared" si="19"/>
        <v>522693</v>
      </c>
      <c r="O195" s="144"/>
      <c r="P195" s="144"/>
    </row>
    <row r="196" spans="1:16" s="124" customFormat="1" ht="25.5">
      <c r="A196" s="123" t="s">
        <v>271</v>
      </c>
      <c r="B196" s="125" t="s">
        <v>142</v>
      </c>
      <c r="C196" s="159">
        <f aca="true" t="shared" si="30" ref="C196:M196">C197</f>
        <v>1003346</v>
      </c>
      <c r="D196" s="159">
        <f t="shared" si="30"/>
        <v>999846</v>
      </c>
      <c r="E196" s="159">
        <f t="shared" si="30"/>
        <v>375087</v>
      </c>
      <c r="F196" s="159">
        <f t="shared" si="30"/>
        <v>20521</v>
      </c>
      <c r="G196" s="159">
        <f t="shared" si="30"/>
        <v>3500</v>
      </c>
      <c r="H196" s="159">
        <f t="shared" si="30"/>
        <v>0</v>
      </c>
      <c r="I196" s="159">
        <f t="shared" si="30"/>
        <v>0</v>
      </c>
      <c r="J196" s="159">
        <f t="shared" si="30"/>
        <v>0</v>
      </c>
      <c r="K196" s="159">
        <f t="shared" si="30"/>
        <v>0</v>
      </c>
      <c r="L196" s="159">
        <f t="shared" si="30"/>
        <v>0</v>
      </c>
      <c r="M196" s="159">
        <f t="shared" si="30"/>
        <v>0</v>
      </c>
      <c r="N196" s="158">
        <f t="shared" si="19"/>
        <v>1003346</v>
      </c>
      <c r="O196" s="167"/>
      <c r="P196" s="167"/>
    </row>
    <row r="197" spans="1:16" s="22" customFormat="1" ht="12.75">
      <c r="A197" s="45" t="s">
        <v>22</v>
      </c>
      <c r="B197" s="51" t="s">
        <v>23</v>
      </c>
      <c r="C197" s="143">
        <f>D197+G197</f>
        <v>1003346</v>
      </c>
      <c r="D197" s="143">
        <f>735654+50000+23440+141435+49317</f>
        <v>999846</v>
      </c>
      <c r="E197" s="143">
        <f>217824+17210+103844+36209</f>
        <v>375087</v>
      </c>
      <c r="F197" s="143">
        <f>16337+4184</f>
        <v>20521</v>
      </c>
      <c r="G197" s="143">
        <v>3500</v>
      </c>
      <c r="H197" s="143">
        <f>I197+L197</f>
        <v>0</v>
      </c>
      <c r="I197" s="143"/>
      <c r="J197" s="143"/>
      <c r="K197" s="143"/>
      <c r="L197" s="143"/>
      <c r="M197" s="143"/>
      <c r="N197" s="142">
        <f t="shared" si="19"/>
        <v>1003346</v>
      </c>
      <c r="O197" s="144"/>
      <c r="P197" s="144"/>
    </row>
    <row r="198" spans="1:16" s="124" customFormat="1" ht="38.25">
      <c r="A198" s="123" t="s">
        <v>272</v>
      </c>
      <c r="B198" s="125" t="s">
        <v>143</v>
      </c>
      <c r="C198" s="159">
        <f aca="true" t="shared" si="31" ref="C198:M198">C199+C200</f>
        <v>3753770</v>
      </c>
      <c r="D198" s="159">
        <f t="shared" si="31"/>
        <v>3380920</v>
      </c>
      <c r="E198" s="159">
        <f t="shared" si="31"/>
        <v>2255185</v>
      </c>
      <c r="F198" s="159">
        <f t="shared" si="31"/>
        <v>28310</v>
      </c>
      <c r="G198" s="159">
        <f t="shared" si="31"/>
        <v>372850</v>
      </c>
      <c r="H198" s="159">
        <f t="shared" si="31"/>
        <v>72480</v>
      </c>
      <c r="I198" s="159">
        <f t="shared" si="31"/>
        <v>62587</v>
      </c>
      <c r="J198" s="159">
        <f t="shared" si="31"/>
        <v>9485</v>
      </c>
      <c r="K198" s="159">
        <f t="shared" si="31"/>
        <v>0</v>
      </c>
      <c r="L198" s="159">
        <f t="shared" si="31"/>
        <v>9893</v>
      </c>
      <c r="M198" s="159">
        <f t="shared" si="31"/>
        <v>0</v>
      </c>
      <c r="N198" s="158">
        <f t="shared" si="19"/>
        <v>3826250</v>
      </c>
      <c r="O198" s="167"/>
      <c r="P198" s="167"/>
    </row>
    <row r="199" spans="1:16" s="22" customFormat="1" ht="12.75">
      <c r="A199" s="45" t="s">
        <v>22</v>
      </c>
      <c r="B199" s="51" t="s">
        <v>23</v>
      </c>
      <c r="C199" s="143">
        <f>D199+G199</f>
        <v>756770</v>
      </c>
      <c r="D199" s="143">
        <f>443139+33643+217847+53058+5783</f>
        <v>753470</v>
      </c>
      <c r="E199" s="143">
        <f>295166+24701+159947+38956</f>
        <v>518770</v>
      </c>
      <c r="F199" s="143">
        <f>5500+5783</f>
        <v>11283</v>
      </c>
      <c r="G199" s="143">
        <v>3300</v>
      </c>
      <c r="H199" s="143">
        <f>I199+L199</f>
        <v>0</v>
      </c>
      <c r="I199" s="143"/>
      <c r="J199" s="143"/>
      <c r="K199" s="143"/>
      <c r="L199" s="143"/>
      <c r="M199" s="143"/>
      <c r="N199" s="142">
        <f t="shared" si="19"/>
        <v>756770</v>
      </c>
      <c r="O199" s="144"/>
      <c r="P199" s="144"/>
    </row>
    <row r="200" spans="1:16" s="22" customFormat="1" ht="38.25">
      <c r="A200" s="45">
        <v>210000</v>
      </c>
      <c r="B200" s="104" t="s">
        <v>293</v>
      </c>
      <c r="C200" s="143">
        <f>D200+G200</f>
        <v>2997000</v>
      </c>
      <c r="D200" s="143">
        <f>SUM(D201:D203)</f>
        <v>2627450</v>
      </c>
      <c r="E200" s="143">
        <f>SUM(E201:E203)</f>
        <v>1736415</v>
      </c>
      <c r="F200" s="143">
        <f>SUM(F201:F203)</f>
        <v>17027</v>
      </c>
      <c r="G200" s="143">
        <f>SUM(G201:G203)</f>
        <v>369550</v>
      </c>
      <c r="H200" s="143">
        <f>I200+L200</f>
        <v>72480</v>
      </c>
      <c r="I200" s="143">
        <f>SUM(I201:I203)</f>
        <v>62587</v>
      </c>
      <c r="J200" s="143">
        <f>SUM(J201:J203)</f>
        <v>9485</v>
      </c>
      <c r="K200" s="143">
        <f>SUM(K201:K203)</f>
        <v>0</v>
      </c>
      <c r="L200" s="143">
        <f>SUM(L201:L203)</f>
        <v>9893</v>
      </c>
      <c r="M200" s="143">
        <f>SUM(M201:M203)</f>
        <v>0</v>
      </c>
      <c r="N200" s="142">
        <f t="shared" si="19"/>
        <v>3069480</v>
      </c>
      <c r="O200" s="144"/>
      <c r="P200" s="144"/>
    </row>
    <row r="201" spans="1:16" s="22" customFormat="1" ht="38.25">
      <c r="A201" s="45" t="s">
        <v>67</v>
      </c>
      <c r="B201" s="104" t="s">
        <v>294</v>
      </c>
      <c r="C201" s="143">
        <f>D201+G201</f>
        <v>500000</v>
      </c>
      <c r="D201" s="143">
        <v>130450</v>
      </c>
      <c r="E201" s="143"/>
      <c r="F201" s="143"/>
      <c r="G201" s="143">
        <f>369550</f>
        <v>369550</v>
      </c>
      <c r="H201" s="143">
        <f>I201+L201</f>
        <v>0</v>
      </c>
      <c r="I201" s="143"/>
      <c r="J201" s="143"/>
      <c r="K201" s="143"/>
      <c r="L201" s="143"/>
      <c r="M201" s="143"/>
      <c r="N201" s="142">
        <f t="shared" si="19"/>
        <v>500000</v>
      </c>
      <c r="O201" s="144"/>
      <c r="P201" s="144"/>
    </row>
    <row r="202" spans="1:16" s="22" customFormat="1" ht="38.25">
      <c r="A202" s="45" t="s">
        <v>67</v>
      </c>
      <c r="B202" s="104" t="s">
        <v>260</v>
      </c>
      <c r="C202" s="143">
        <f>D202+G202</f>
        <v>1174000</v>
      </c>
      <c r="D202" s="143">
        <v>1174000</v>
      </c>
      <c r="E202" s="143">
        <v>798484</v>
      </c>
      <c r="F202" s="143">
        <v>2220</v>
      </c>
      <c r="G202" s="143"/>
      <c r="H202" s="143">
        <f>I202+L202</f>
        <v>54000</v>
      </c>
      <c r="I202" s="143">
        <v>54000</v>
      </c>
      <c r="J202" s="143">
        <v>9485</v>
      </c>
      <c r="K202" s="143"/>
      <c r="L202" s="143"/>
      <c r="M202" s="143"/>
      <c r="N202" s="142">
        <f t="shared" si="19"/>
        <v>1228000</v>
      </c>
      <c r="O202" s="144"/>
      <c r="P202" s="144"/>
    </row>
    <row r="203" spans="1:16" s="22" customFormat="1" ht="25.5">
      <c r="A203" s="45">
        <v>210110</v>
      </c>
      <c r="B203" s="104" t="s">
        <v>68</v>
      </c>
      <c r="C203" s="143">
        <f>D203+G203</f>
        <v>1323000</v>
      </c>
      <c r="D203" s="143">
        <v>1323000</v>
      </c>
      <c r="E203" s="143">
        <v>937931</v>
      </c>
      <c r="F203" s="143">
        <v>14807</v>
      </c>
      <c r="G203" s="143"/>
      <c r="H203" s="143">
        <f>I203+L203</f>
        <v>18480</v>
      </c>
      <c r="I203" s="143">
        <v>8587</v>
      </c>
      <c r="J203" s="143"/>
      <c r="K203" s="143"/>
      <c r="L203" s="143">
        <v>9893</v>
      </c>
      <c r="M203" s="143"/>
      <c r="N203" s="142">
        <f t="shared" si="19"/>
        <v>1341480</v>
      </c>
      <c r="O203" s="144"/>
      <c r="P203" s="144"/>
    </row>
    <row r="204" spans="1:16" s="124" customFormat="1" ht="25.5">
      <c r="A204" s="123" t="s">
        <v>273</v>
      </c>
      <c r="B204" s="131" t="s">
        <v>153</v>
      </c>
      <c r="C204" s="159">
        <f>C205+C207</f>
        <v>487056</v>
      </c>
      <c r="D204" s="159">
        <f>D205+D207</f>
        <v>487056</v>
      </c>
      <c r="E204" s="159">
        <f>E205+E207</f>
        <v>311718</v>
      </c>
      <c r="F204" s="159">
        <f>F205+F207</f>
        <v>4652</v>
      </c>
      <c r="G204" s="159">
        <f>G205+G207</f>
        <v>0</v>
      </c>
      <c r="H204" s="159">
        <f>H205+H207+H206+H208</f>
        <v>21492000</v>
      </c>
      <c r="I204" s="159">
        <f>I205+I207+I206+I208</f>
        <v>5003000</v>
      </c>
      <c r="J204" s="159">
        <f>J205+J207+J206+J208</f>
        <v>0</v>
      </c>
      <c r="K204" s="159">
        <f>K205+K207+K206+K208</f>
        <v>0</v>
      </c>
      <c r="L204" s="159">
        <f>L205+L207+L206+L208</f>
        <v>16489000</v>
      </c>
      <c r="M204" s="159">
        <f>M205+M207+M206</f>
        <v>13012000</v>
      </c>
      <c r="N204" s="158">
        <f t="shared" si="19"/>
        <v>21979056</v>
      </c>
      <c r="O204" s="167"/>
      <c r="P204" s="167"/>
    </row>
    <row r="205" spans="1:16" s="22" customFormat="1" ht="12.75">
      <c r="A205" s="45" t="s">
        <v>22</v>
      </c>
      <c r="B205" s="51" t="s">
        <v>23</v>
      </c>
      <c r="C205" s="143">
        <f>D205+G205</f>
        <v>487056</v>
      </c>
      <c r="D205" s="143">
        <f>308648+4613+19805+106613+47377</f>
        <v>487056</v>
      </c>
      <c r="E205" s="143">
        <f>186538+14541+78277+32362</f>
        <v>311718</v>
      </c>
      <c r="F205" s="143">
        <f>5652-1000</f>
        <v>4652</v>
      </c>
      <c r="G205" s="143">
        <f>3300-3300</f>
        <v>0</v>
      </c>
      <c r="H205" s="143">
        <f>I205+L205</f>
        <v>0</v>
      </c>
      <c r="I205" s="143"/>
      <c r="J205" s="143"/>
      <c r="K205" s="143"/>
      <c r="L205" s="143"/>
      <c r="M205" s="143"/>
      <c r="N205" s="142">
        <f t="shared" si="19"/>
        <v>487056</v>
      </c>
      <c r="O205" s="144"/>
      <c r="P205" s="144"/>
    </row>
    <row r="206" spans="1:16" s="22" customFormat="1" ht="12.75" hidden="1">
      <c r="A206" s="45" t="s">
        <v>248</v>
      </c>
      <c r="B206" s="26" t="s">
        <v>249</v>
      </c>
      <c r="C206" s="143"/>
      <c r="D206" s="143"/>
      <c r="E206" s="143"/>
      <c r="F206" s="143"/>
      <c r="G206" s="143"/>
      <c r="H206" s="143">
        <f>I206+L206</f>
        <v>0</v>
      </c>
      <c r="I206" s="143"/>
      <c r="J206" s="143"/>
      <c r="K206" s="143"/>
      <c r="L206" s="143"/>
      <c r="M206" s="143"/>
      <c r="N206" s="142">
        <f>C206+H206</f>
        <v>0</v>
      </c>
      <c r="O206" s="144"/>
      <c r="P206" s="144"/>
    </row>
    <row r="207" spans="1:16" s="22" customFormat="1" ht="38.25">
      <c r="A207" s="45" t="s">
        <v>307</v>
      </c>
      <c r="B207" s="27" t="s">
        <v>308</v>
      </c>
      <c r="C207" s="143">
        <f>D207+G207</f>
        <v>0</v>
      </c>
      <c r="D207" s="143"/>
      <c r="E207" s="143"/>
      <c r="F207" s="143"/>
      <c r="G207" s="143"/>
      <c r="H207" s="143">
        <f>I207+L207</f>
        <v>13012000</v>
      </c>
      <c r="I207" s="143"/>
      <c r="J207" s="143"/>
      <c r="K207" s="143"/>
      <c r="L207" s="143">
        <f>M207</f>
        <v>13012000</v>
      </c>
      <c r="M207" s="143">
        <f>14012000-1000000</f>
        <v>13012000</v>
      </c>
      <c r="N207" s="142">
        <f aca="true" t="shared" si="32" ref="N207:N239">C207+H207</f>
        <v>13012000</v>
      </c>
      <c r="O207" s="144"/>
      <c r="P207" s="144"/>
    </row>
    <row r="208" spans="1:16" s="22" customFormat="1" ht="25.5">
      <c r="A208" s="45" t="s">
        <v>69</v>
      </c>
      <c r="B208" s="27" t="s">
        <v>218</v>
      </c>
      <c r="C208" s="143"/>
      <c r="D208" s="143"/>
      <c r="E208" s="143"/>
      <c r="F208" s="143"/>
      <c r="G208" s="143"/>
      <c r="H208" s="143">
        <f>I208+L208</f>
        <v>8480000</v>
      </c>
      <c r="I208" s="143">
        <f>3000000+350000+1653000</f>
        <v>5003000</v>
      </c>
      <c r="J208" s="143"/>
      <c r="K208" s="143"/>
      <c r="L208" s="143">
        <f>9100000+1400000-1000000-1000000-3370000-1653000</f>
        <v>3477000</v>
      </c>
      <c r="M208" s="143"/>
      <c r="N208" s="142">
        <f t="shared" si="32"/>
        <v>8480000</v>
      </c>
      <c r="O208" s="144"/>
      <c r="P208" s="144"/>
    </row>
    <row r="209" spans="1:16" s="124" customFormat="1" ht="12.75">
      <c r="A209" s="123" t="s">
        <v>274</v>
      </c>
      <c r="B209" s="125" t="s">
        <v>144</v>
      </c>
      <c r="C209" s="159">
        <f>C210+C211+C212+C213+C214+C216+C215+C217</f>
        <v>424385882</v>
      </c>
      <c r="D209" s="159">
        <f>D210+D211+D212+D213+D214+D216+D215+D217</f>
        <v>405118982</v>
      </c>
      <c r="E209" s="159">
        <f>E210+E211+E212+E213+E214+E216+E215+E217</f>
        <v>639449</v>
      </c>
      <c r="F209" s="159">
        <f>F210+F211+F212+F213+F214+F216+F215+F217</f>
        <v>14676</v>
      </c>
      <c r="G209" s="159">
        <f>G210+G211+G212+G213+G214+G216+G215+G217</f>
        <v>19266900</v>
      </c>
      <c r="H209" s="179">
        <f aca="true" t="shared" si="33" ref="H209:M209">H210+H211+H212+H213+H214+H216</f>
        <v>79764.66</v>
      </c>
      <c r="I209" s="179">
        <f t="shared" si="33"/>
        <v>79764.66</v>
      </c>
      <c r="J209" s="159">
        <f t="shared" si="33"/>
        <v>0</v>
      </c>
      <c r="K209" s="159">
        <f t="shared" si="33"/>
        <v>0</v>
      </c>
      <c r="L209" s="159">
        <f t="shared" si="33"/>
        <v>0</v>
      </c>
      <c r="M209" s="159">
        <f t="shared" si="33"/>
        <v>0</v>
      </c>
      <c r="N209" s="180">
        <f t="shared" si="32"/>
        <v>424465646.66</v>
      </c>
      <c r="O209" s="167"/>
      <c r="P209" s="167"/>
    </row>
    <row r="210" spans="1:16" s="22" customFormat="1" ht="12.75">
      <c r="A210" s="45" t="s">
        <v>22</v>
      </c>
      <c r="B210" s="51" t="s">
        <v>23</v>
      </c>
      <c r="C210" s="143">
        <f aca="true" t="shared" si="34" ref="C210:C217">D210+G210</f>
        <v>1035520</v>
      </c>
      <c r="D210" s="143">
        <f>594715+585+41747+277285+3000+62604+4184+8400+29000+1000</f>
        <v>1022520</v>
      </c>
      <c r="E210" s="143">
        <f>338044+30653+203587+45965+21200</f>
        <v>639449</v>
      </c>
      <c r="F210" s="143">
        <f>10492+4184</f>
        <v>14676</v>
      </c>
      <c r="G210" s="143">
        <f>13000+1000-1000</f>
        <v>13000</v>
      </c>
      <c r="H210" s="143">
        <f aca="true" t="shared" si="35" ref="H210:H216">I210+L210</f>
        <v>0</v>
      </c>
      <c r="I210" s="143"/>
      <c r="J210" s="143"/>
      <c r="K210" s="143"/>
      <c r="L210" s="143"/>
      <c r="M210" s="143"/>
      <c r="N210" s="142">
        <f t="shared" si="32"/>
        <v>1035520</v>
      </c>
      <c r="O210" s="144"/>
      <c r="P210" s="144"/>
    </row>
    <row r="211" spans="1:14" s="17" customFormat="1" ht="80.25" customHeight="1">
      <c r="A211" s="118" t="s">
        <v>401</v>
      </c>
      <c r="B211" s="79" t="s">
        <v>402</v>
      </c>
      <c r="C211" s="147">
        <f t="shared" si="34"/>
        <v>0</v>
      </c>
      <c r="D211" s="147"/>
      <c r="E211" s="147"/>
      <c r="F211" s="147"/>
      <c r="G211" s="147"/>
      <c r="H211" s="177">
        <f t="shared" si="35"/>
        <v>79764.66</v>
      </c>
      <c r="I211" s="177">
        <v>79764.66</v>
      </c>
      <c r="J211" s="147"/>
      <c r="K211" s="147"/>
      <c r="L211" s="147"/>
      <c r="M211" s="147"/>
      <c r="N211" s="178">
        <f t="shared" si="32"/>
        <v>79764.66</v>
      </c>
    </row>
    <row r="212" spans="1:16" s="22" customFormat="1" ht="25.5">
      <c r="A212" s="45" t="s">
        <v>74</v>
      </c>
      <c r="B212" s="27" t="s">
        <v>75</v>
      </c>
      <c r="C212" s="143">
        <f t="shared" si="34"/>
        <v>81725000</v>
      </c>
      <c r="D212" s="143">
        <v>81725000</v>
      </c>
      <c r="E212" s="143"/>
      <c r="F212" s="143"/>
      <c r="G212" s="143"/>
      <c r="H212" s="143">
        <f t="shared" si="35"/>
        <v>0</v>
      </c>
      <c r="I212" s="143"/>
      <c r="J212" s="143"/>
      <c r="K212" s="143"/>
      <c r="L212" s="143"/>
      <c r="M212" s="143"/>
      <c r="N212" s="142">
        <f t="shared" si="32"/>
        <v>81725000</v>
      </c>
      <c r="O212" s="144"/>
      <c r="P212" s="144"/>
    </row>
    <row r="213" spans="1:16" s="22" customFormat="1" ht="25.5">
      <c r="A213" s="45" t="s">
        <v>250</v>
      </c>
      <c r="B213" s="104" t="s">
        <v>296</v>
      </c>
      <c r="C213" s="143">
        <f t="shared" si="34"/>
        <v>43300</v>
      </c>
      <c r="D213" s="143">
        <f>40000+3300</f>
        <v>43300</v>
      </c>
      <c r="E213" s="143"/>
      <c r="F213" s="143"/>
      <c r="G213" s="143"/>
      <c r="H213" s="143">
        <f t="shared" si="35"/>
        <v>0</v>
      </c>
      <c r="I213" s="143"/>
      <c r="J213" s="143"/>
      <c r="K213" s="143"/>
      <c r="L213" s="143"/>
      <c r="M213" s="143"/>
      <c r="N213" s="142">
        <f t="shared" si="32"/>
        <v>43300</v>
      </c>
      <c r="O213" s="144"/>
      <c r="P213" s="144"/>
    </row>
    <row r="214" spans="1:16" s="22" customFormat="1" ht="12.75">
      <c r="A214" s="45" t="s">
        <v>261</v>
      </c>
      <c r="B214" s="176" t="s">
        <v>297</v>
      </c>
      <c r="C214" s="143">
        <f t="shared" si="34"/>
        <v>322314489</v>
      </c>
      <c r="D214" s="143">
        <f>322840489-526000</f>
        <v>322314489</v>
      </c>
      <c r="E214" s="143"/>
      <c r="F214" s="143"/>
      <c r="G214" s="143"/>
      <c r="H214" s="143">
        <f t="shared" si="35"/>
        <v>0</v>
      </c>
      <c r="I214" s="143"/>
      <c r="J214" s="143"/>
      <c r="K214" s="143"/>
      <c r="L214" s="143"/>
      <c r="M214" s="143"/>
      <c r="N214" s="142">
        <f t="shared" si="32"/>
        <v>322314489</v>
      </c>
      <c r="O214" s="144"/>
      <c r="P214" s="144"/>
    </row>
    <row r="215" spans="1:16" s="22" customFormat="1" ht="12.75" hidden="1">
      <c r="A215" s="45" t="s">
        <v>71</v>
      </c>
      <c r="B215" s="176" t="s">
        <v>146</v>
      </c>
      <c r="C215" s="143">
        <f t="shared" si="34"/>
        <v>0</v>
      </c>
      <c r="D215" s="143"/>
      <c r="E215" s="143"/>
      <c r="F215" s="143"/>
      <c r="G215" s="143">
        <f>3000000-100000-2900000</f>
        <v>0</v>
      </c>
      <c r="H215" s="143"/>
      <c r="I215" s="143"/>
      <c r="J215" s="143"/>
      <c r="K215" s="143"/>
      <c r="L215" s="143"/>
      <c r="M215" s="143"/>
      <c r="N215" s="142">
        <f t="shared" si="32"/>
        <v>0</v>
      </c>
      <c r="O215" s="144"/>
      <c r="P215" s="144"/>
    </row>
    <row r="216" spans="1:16" s="22" customFormat="1" ht="39.75" customHeight="1">
      <c r="A216" s="45" t="s">
        <v>251</v>
      </c>
      <c r="B216" s="104" t="s">
        <v>161</v>
      </c>
      <c r="C216" s="143">
        <f t="shared" si="34"/>
        <v>19253900</v>
      </c>
      <c r="D216" s="143"/>
      <c r="E216" s="143"/>
      <c r="F216" s="143"/>
      <c r="G216" s="143">
        <v>19253900</v>
      </c>
      <c r="H216" s="143">
        <f t="shared" si="35"/>
        <v>0</v>
      </c>
      <c r="I216" s="143"/>
      <c r="J216" s="143"/>
      <c r="K216" s="143"/>
      <c r="L216" s="143"/>
      <c r="M216" s="143"/>
      <c r="N216" s="142">
        <f t="shared" si="32"/>
        <v>19253900</v>
      </c>
      <c r="O216" s="144"/>
      <c r="P216" s="144"/>
    </row>
    <row r="217" spans="1:16" s="22" customFormat="1" ht="76.5">
      <c r="A217" s="45" t="s">
        <v>422</v>
      </c>
      <c r="B217" s="104" t="s">
        <v>423</v>
      </c>
      <c r="C217" s="143">
        <f t="shared" si="34"/>
        <v>13673</v>
      </c>
      <c r="D217" s="143">
        <f>16337-2664</f>
        <v>13673</v>
      </c>
      <c r="E217" s="143"/>
      <c r="F217" s="143"/>
      <c r="G217" s="143"/>
      <c r="H217" s="143"/>
      <c r="I217" s="143"/>
      <c r="J217" s="143"/>
      <c r="K217" s="143"/>
      <c r="L217" s="143"/>
      <c r="M217" s="143"/>
      <c r="N217" s="142">
        <f t="shared" si="32"/>
        <v>13673</v>
      </c>
      <c r="O217" s="144"/>
      <c r="P217" s="144"/>
    </row>
    <row r="218" spans="1:16" s="124" customFormat="1" ht="25.5">
      <c r="A218" s="123" t="s">
        <v>275</v>
      </c>
      <c r="B218" s="125" t="s">
        <v>253</v>
      </c>
      <c r="C218" s="159">
        <f>C219+C221+C224+C225+C226+C227+C229+C220+C222+C228+C230+C234</f>
        <v>21690422</v>
      </c>
      <c r="D218" s="159">
        <f>D219+D221+D224+D225+D226+D227+D229+D220+D222+D228+D230+D234</f>
        <v>16677422</v>
      </c>
      <c r="E218" s="159">
        <f>E219+E221+E224+E225+E226+E227+E229+E220+E222+E228+E230+E234</f>
        <v>569583</v>
      </c>
      <c r="F218" s="159">
        <f>F219+F221+F224+F225+F226+F227+F229+F220+F222+F228+F230+F234</f>
        <v>0</v>
      </c>
      <c r="G218" s="159">
        <f>G219+G221+G224+G225+G226+G227+G229+G220+G222+G228+G230+G234</f>
        <v>5013000</v>
      </c>
      <c r="H218" s="159">
        <f aca="true" t="shared" si="36" ref="H218:M218">H219+H221+H224+H225+H226+H227+H231+H223</f>
        <v>298754956</v>
      </c>
      <c r="I218" s="159">
        <f t="shared" si="36"/>
        <v>50000</v>
      </c>
      <c r="J218" s="159">
        <f t="shared" si="36"/>
        <v>0</v>
      </c>
      <c r="K218" s="159">
        <f t="shared" si="36"/>
        <v>0</v>
      </c>
      <c r="L218" s="159">
        <f t="shared" si="36"/>
        <v>298704956</v>
      </c>
      <c r="M218" s="159">
        <f t="shared" si="36"/>
        <v>278658956</v>
      </c>
      <c r="N218" s="158">
        <f t="shared" si="32"/>
        <v>320445378</v>
      </c>
      <c r="O218" s="167"/>
      <c r="P218" s="167"/>
    </row>
    <row r="219" spans="1:16" s="22" customFormat="1" ht="12.75">
      <c r="A219" s="45" t="s">
        <v>22</v>
      </c>
      <c r="B219" s="51" t="s">
        <v>23</v>
      </c>
      <c r="C219" s="143">
        <f aca="true" t="shared" si="37" ref="C219:C230">D219+G219</f>
        <v>843490</v>
      </c>
      <c r="D219" s="143">
        <f>490159+37747+208896+69688+24000</f>
        <v>830490</v>
      </c>
      <c r="E219" s="143">
        <f>334271+27714+153375+36592+17631</f>
        <v>569583</v>
      </c>
      <c r="F219" s="143"/>
      <c r="G219" s="143">
        <v>13000</v>
      </c>
      <c r="H219" s="143">
        <f aca="true" t="shared" si="38" ref="H219:H233">I219+L219</f>
        <v>0</v>
      </c>
      <c r="I219" s="143"/>
      <c r="J219" s="143"/>
      <c r="K219" s="143"/>
      <c r="L219" s="143"/>
      <c r="M219" s="143"/>
      <c r="N219" s="142">
        <f t="shared" si="32"/>
        <v>843490</v>
      </c>
      <c r="O219" s="144"/>
      <c r="P219" s="144"/>
    </row>
    <row r="220" spans="1:16" s="22" customFormat="1" ht="38.25" hidden="1">
      <c r="A220" s="45" t="s">
        <v>381</v>
      </c>
      <c r="B220" s="51" t="s">
        <v>395</v>
      </c>
      <c r="C220" s="143">
        <f t="shared" si="37"/>
        <v>0</v>
      </c>
      <c r="D220" s="143"/>
      <c r="E220" s="143"/>
      <c r="F220" s="143"/>
      <c r="G220" s="143"/>
      <c r="H220" s="143"/>
      <c r="I220" s="143"/>
      <c r="J220" s="143"/>
      <c r="K220" s="143"/>
      <c r="L220" s="143"/>
      <c r="M220" s="143"/>
      <c r="N220" s="142">
        <f t="shared" si="32"/>
        <v>0</v>
      </c>
      <c r="O220" s="144"/>
      <c r="P220" s="144"/>
    </row>
    <row r="221" spans="1:16" s="22" customFormat="1" ht="12.75">
      <c r="A221" s="45" t="s">
        <v>248</v>
      </c>
      <c r="B221" s="27" t="s">
        <v>249</v>
      </c>
      <c r="C221" s="143">
        <f t="shared" si="37"/>
        <v>0</v>
      </c>
      <c r="D221" s="143"/>
      <c r="E221" s="143"/>
      <c r="F221" s="143"/>
      <c r="G221" s="143"/>
      <c r="H221" s="143">
        <f t="shared" si="38"/>
        <v>259444866</v>
      </c>
      <c r="I221" s="143"/>
      <c r="J221" s="143"/>
      <c r="K221" s="143"/>
      <c r="L221" s="143">
        <f>M221</f>
        <v>259444866</v>
      </c>
      <c r="M221" s="143">
        <f>260262837-533571-296000+111600-100000</f>
        <v>259444866</v>
      </c>
      <c r="N221" s="142">
        <f t="shared" si="32"/>
        <v>259444866</v>
      </c>
      <c r="O221" s="144"/>
      <c r="P221" s="144"/>
    </row>
    <row r="222" spans="1:16" s="22" customFormat="1" ht="204" hidden="1">
      <c r="A222" s="45" t="s">
        <v>393</v>
      </c>
      <c r="B222" s="26" t="s">
        <v>394</v>
      </c>
      <c r="C222" s="143">
        <f t="shared" si="37"/>
        <v>0</v>
      </c>
      <c r="D222" s="143"/>
      <c r="E222" s="143"/>
      <c r="F222" s="143"/>
      <c r="G222" s="143"/>
      <c r="H222" s="143"/>
      <c r="I222" s="143"/>
      <c r="J222" s="143"/>
      <c r="K222" s="143"/>
      <c r="L222" s="143"/>
      <c r="M222" s="143"/>
      <c r="N222" s="142">
        <f t="shared" si="32"/>
        <v>0</v>
      </c>
      <c r="O222" s="144"/>
      <c r="P222" s="144"/>
    </row>
    <row r="223" spans="1:16" s="22" customFormat="1" ht="38.25">
      <c r="A223" s="45" t="s">
        <v>396</v>
      </c>
      <c r="B223" s="26" t="s">
        <v>397</v>
      </c>
      <c r="C223" s="143"/>
      <c r="D223" s="143"/>
      <c r="E223" s="143"/>
      <c r="F223" s="143"/>
      <c r="G223" s="143"/>
      <c r="H223" s="143">
        <f t="shared" si="38"/>
        <v>770900</v>
      </c>
      <c r="I223" s="143"/>
      <c r="J223" s="143"/>
      <c r="K223" s="143"/>
      <c r="L223" s="143">
        <v>770900</v>
      </c>
      <c r="M223" s="143">
        <v>770900</v>
      </c>
      <c r="N223" s="142">
        <f t="shared" si="32"/>
        <v>770900</v>
      </c>
      <c r="O223" s="144"/>
      <c r="P223" s="144"/>
    </row>
    <row r="224" spans="1:16" s="22" customFormat="1" ht="63.75">
      <c r="A224" s="45" t="s">
        <v>299</v>
      </c>
      <c r="B224" s="16" t="s">
        <v>300</v>
      </c>
      <c r="C224" s="143">
        <f t="shared" si="37"/>
        <v>0</v>
      </c>
      <c r="D224" s="143"/>
      <c r="E224" s="143"/>
      <c r="F224" s="143"/>
      <c r="G224" s="143"/>
      <c r="H224" s="143">
        <f t="shared" si="38"/>
        <v>13873040</v>
      </c>
      <c r="I224" s="143"/>
      <c r="J224" s="143"/>
      <c r="K224" s="143"/>
      <c r="L224" s="143">
        <f>M224</f>
        <v>13873040</v>
      </c>
      <c r="M224" s="143">
        <f>13377020+496020</f>
        <v>13873040</v>
      </c>
      <c r="N224" s="142">
        <f t="shared" si="32"/>
        <v>13873040</v>
      </c>
      <c r="O224" s="144"/>
      <c r="P224" s="144"/>
    </row>
    <row r="225" spans="1:16" s="22" customFormat="1" ht="12.75">
      <c r="A225" s="45" t="s">
        <v>316</v>
      </c>
      <c r="B225" s="16" t="s">
        <v>317</v>
      </c>
      <c r="C225" s="143">
        <f t="shared" si="37"/>
        <v>0</v>
      </c>
      <c r="D225" s="143"/>
      <c r="E225" s="143"/>
      <c r="F225" s="143"/>
      <c r="G225" s="143"/>
      <c r="H225" s="143">
        <f t="shared" si="38"/>
        <v>4570150</v>
      </c>
      <c r="I225" s="143"/>
      <c r="J225" s="143"/>
      <c r="K225" s="143"/>
      <c r="L225" s="143">
        <f>M225</f>
        <v>4570150</v>
      </c>
      <c r="M225" s="143">
        <v>4570150</v>
      </c>
      <c r="N225" s="142">
        <f t="shared" si="32"/>
        <v>4570150</v>
      </c>
      <c r="O225" s="144"/>
      <c r="P225" s="144"/>
    </row>
    <row r="226" spans="1:16" s="22" customFormat="1" ht="25.5" hidden="1">
      <c r="A226" s="45" t="s">
        <v>65</v>
      </c>
      <c r="B226" s="27" t="s">
        <v>66</v>
      </c>
      <c r="C226" s="143">
        <f t="shared" si="37"/>
        <v>0</v>
      </c>
      <c r="D226" s="143"/>
      <c r="E226" s="143"/>
      <c r="F226" s="143"/>
      <c r="G226" s="143"/>
      <c r="H226" s="143">
        <f t="shared" si="38"/>
        <v>0</v>
      </c>
      <c r="I226" s="143"/>
      <c r="J226" s="143"/>
      <c r="K226" s="143"/>
      <c r="L226" s="143"/>
      <c r="M226" s="143"/>
      <c r="N226" s="142">
        <f t="shared" si="32"/>
        <v>0</v>
      </c>
      <c r="O226" s="144"/>
      <c r="P226" s="144"/>
    </row>
    <row r="227" spans="1:16" s="22" customFormat="1" ht="38.25" hidden="1">
      <c r="A227" s="45" t="s">
        <v>307</v>
      </c>
      <c r="B227" s="27" t="s">
        <v>308</v>
      </c>
      <c r="C227" s="143">
        <f t="shared" si="37"/>
        <v>0</v>
      </c>
      <c r="D227" s="143"/>
      <c r="E227" s="143"/>
      <c r="F227" s="143"/>
      <c r="G227" s="143"/>
      <c r="H227" s="143">
        <f t="shared" si="38"/>
        <v>0</v>
      </c>
      <c r="I227" s="143"/>
      <c r="J227" s="143"/>
      <c r="K227" s="143"/>
      <c r="L227" s="143"/>
      <c r="M227" s="143"/>
      <c r="N227" s="142">
        <f t="shared" si="32"/>
        <v>0</v>
      </c>
      <c r="O227" s="144"/>
      <c r="P227" s="144"/>
    </row>
    <row r="228" spans="1:16" s="22" customFormat="1" ht="51" hidden="1">
      <c r="A228" s="45" t="s">
        <v>387</v>
      </c>
      <c r="B228" s="27" t="s">
        <v>424</v>
      </c>
      <c r="C228" s="143">
        <f t="shared" si="37"/>
        <v>0</v>
      </c>
      <c r="D228" s="143"/>
      <c r="E228" s="143"/>
      <c r="F228" s="143"/>
      <c r="G228" s="143"/>
      <c r="H228" s="143">
        <f t="shared" si="38"/>
        <v>0</v>
      </c>
      <c r="I228" s="143"/>
      <c r="J228" s="143"/>
      <c r="K228" s="143"/>
      <c r="L228" s="143"/>
      <c r="M228" s="143"/>
      <c r="N228" s="142">
        <f t="shared" si="32"/>
        <v>0</v>
      </c>
      <c r="O228" s="144"/>
      <c r="P228" s="144"/>
    </row>
    <row r="229" spans="1:16" s="22" customFormat="1" ht="12.75">
      <c r="A229" s="45" t="s">
        <v>257</v>
      </c>
      <c r="B229" s="104" t="s">
        <v>237</v>
      </c>
      <c r="C229" s="143">
        <f t="shared" si="37"/>
        <v>15846932</v>
      </c>
      <c r="D229" s="143">
        <f>15846932</f>
        <v>15846932</v>
      </c>
      <c r="E229" s="143"/>
      <c r="F229" s="143"/>
      <c r="G229" s="143"/>
      <c r="H229" s="143">
        <f t="shared" si="38"/>
        <v>0</v>
      </c>
      <c r="I229" s="143"/>
      <c r="J229" s="143"/>
      <c r="K229" s="143"/>
      <c r="L229" s="143"/>
      <c r="M229" s="143"/>
      <c r="N229" s="142">
        <f>C229+H229</f>
        <v>15846932</v>
      </c>
      <c r="O229" s="144"/>
      <c r="P229" s="144"/>
    </row>
    <row r="230" spans="1:16" s="22" customFormat="1" ht="63.75" hidden="1">
      <c r="A230" s="25"/>
      <c r="B230" s="104" t="s">
        <v>414</v>
      </c>
      <c r="C230" s="143">
        <f t="shared" si="37"/>
        <v>0</v>
      </c>
      <c r="D230" s="143"/>
      <c r="E230" s="143"/>
      <c r="F230" s="143"/>
      <c r="G230" s="143"/>
      <c r="H230" s="143"/>
      <c r="I230" s="143"/>
      <c r="J230" s="143"/>
      <c r="K230" s="143"/>
      <c r="L230" s="143"/>
      <c r="M230" s="143"/>
      <c r="N230" s="142">
        <f>C230+H230</f>
        <v>0</v>
      </c>
      <c r="O230" s="144"/>
      <c r="P230" s="144"/>
    </row>
    <row r="231" spans="1:16" s="22" customFormat="1" ht="25.5">
      <c r="A231" s="25" t="s">
        <v>69</v>
      </c>
      <c r="B231" s="104" t="s">
        <v>218</v>
      </c>
      <c r="C231" s="143"/>
      <c r="D231" s="143"/>
      <c r="E231" s="143"/>
      <c r="F231" s="143"/>
      <c r="G231" s="143"/>
      <c r="H231" s="143">
        <f t="shared" si="38"/>
        <v>20096000</v>
      </c>
      <c r="I231" s="143">
        <v>50000</v>
      </c>
      <c r="J231" s="143"/>
      <c r="K231" s="143"/>
      <c r="L231" s="143">
        <f>20096000-50000</f>
        <v>20046000</v>
      </c>
      <c r="M231" s="143">
        <f>M233</f>
        <v>0</v>
      </c>
      <c r="N231" s="142">
        <f>C231+H231</f>
        <v>20096000</v>
      </c>
      <c r="O231" s="144"/>
      <c r="P231" s="144"/>
    </row>
    <row r="232" spans="1:16" s="22" customFormat="1" ht="12.75">
      <c r="A232" s="25"/>
      <c r="B232" s="103" t="s">
        <v>224</v>
      </c>
      <c r="C232" s="143"/>
      <c r="D232" s="143"/>
      <c r="E232" s="143"/>
      <c r="F232" s="143"/>
      <c r="G232" s="143"/>
      <c r="H232" s="143"/>
      <c r="I232" s="143"/>
      <c r="J232" s="143"/>
      <c r="K232" s="143"/>
      <c r="L232" s="143"/>
      <c r="M232" s="143"/>
      <c r="N232" s="142"/>
      <c r="O232" s="144"/>
      <c r="P232" s="144"/>
    </row>
    <row r="233" spans="1:16" s="22" customFormat="1" ht="80.25" customHeight="1">
      <c r="A233" s="25"/>
      <c r="B233" s="103" t="s">
        <v>389</v>
      </c>
      <c r="C233" s="143"/>
      <c r="D233" s="143"/>
      <c r="E233" s="143"/>
      <c r="F233" s="143"/>
      <c r="G233" s="143"/>
      <c r="H233" s="143">
        <f t="shared" si="38"/>
        <v>46000</v>
      </c>
      <c r="I233" s="143"/>
      <c r="J233" s="143"/>
      <c r="K233" s="143"/>
      <c r="L233" s="143">
        <v>46000</v>
      </c>
      <c r="M233" s="143"/>
      <c r="N233" s="142">
        <f aca="true" t="shared" si="39" ref="N233:N238">C233+H233</f>
        <v>46000</v>
      </c>
      <c r="O233" s="144"/>
      <c r="P233" s="144"/>
    </row>
    <row r="234" spans="1:16" s="22" customFormat="1" ht="51">
      <c r="A234" s="45" t="s">
        <v>387</v>
      </c>
      <c r="B234" s="27" t="s">
        <v>424</v>
      </c>
      <c r="C234" s="143">
        <f>D234+G234</f>
        <v>5000000</v>
      </c>
      <c r="D234" s="143"/>
      <c r="E234" s="143"/>
      <c r="F234" s="143"/>
      <c r="G234" s="143">
        <v>5000000</v>
      </c>
      <c r="H234" s="143">
        <f>I234+L234</f>
        <v>0</v>
      </c>
      <c r="I234" s="143"/>
      <c r="J234" s="143"/>
      <c r="K234" s="143"/>
      <c r="L234" s="143"/>
      <c r="M234" s="143"/>
      <c r="N234" s="142">
        <f t="shared" si="39"/>
        <v>5000000</v>
      </c>
      <c r="O234" s="144"/>
      <c r="P234" s="144"/>
    </row>
    <row r="235" spans="1:16" s="22" customFormat="1" ht="12.75" hidden="1">
      <c r="A235" s="45" t="s">
        <v>71</v>
      </c>
      <c r="B235" s="27" t="s">
        <v>146</v>
      </c>
      <c r="C235" s="143">
        <f>C236</f>
        <v>0</v>
      </c>
      <c r="D235" s="143">
        <f>D236</f>
        <v>0</v>
      </c>
      <c r="E235" s="143">
        <f>E236</f>
        <v>0</v>
      </c>
      <c r="F235" s="143">
        <f>F236</f>
        <v>0</v>
      </c>
      <c r="G235" s="143">
        <f>G236</f>
        <v>0</v>
      </c>
      <c r="H235" s="143"/>
      <c r="I235" s="143"/>
      <c r="J235" s="143"/>
      <c r="K235" s="143"/>
      <c r="L235" s="143"/>
      <c r="M235" s="143"/>
      <c r="N235" s="142">
        <f t="shared" si="39"/>
        <v>0</v>
      </c>
      <c r="O235" s="144"/>
      <c r="P235" s="144"/>
    </row>
    <row r="236" spans="1:16" s="22" customFormat="1" ht="12.75" hidden="1">
      <c r="A236" s="45"/>
      <c r="B236" s="27" t="s">
        <v>444</v>
      </c>
      <c r="C236" s="143">
        <f>D236+G236</f>
        <v>0</v>
      </c>
      <c r="D236" s="143"/>
      <c r="E236" s="143"/>
      <c r="F236" s="143"/>
      <c r="G236" s="143"/>
      <c r="H236" s="143"/>
      <c r="I236" s="143"/>
      <c r="J236" s="143"/>
      <c r="K236" s="143"/>
      <c r="L236" s="143"/>
      <c r="M236" s="143"/>
      <c r="N236" s="142">
        <f t="shared" si="39"/>
        <v>0</v>
      </c>
      <c r="O236" s="144"/>
      <c r="P236" s="144"/>
    </row>
    <row r="237" spans="1:16" s="124" customFormat="1" ht="25.5">
      <c r="A237" s="123" t="s">
        <v>262</v>
      </c>
      <c r="B237" s="125" t="s">
        <v>0</v>
      </c>
      <c r="C237" s="159">
        <f>C238</f>
        <v>378566</v>
      </c>
      <c r="D237" s="159">
        <f>D238</f>
        <v>296866</v>
      </c>
      <c r="E237" s="159">
        <f>E238</f>
        <v>120251.5</v>
      </c>
      <c r="F237" s="159">
        <f>F238</f>
        <v>12950</v>
      </c>
      <c r="G237" s="159">
        <f>G238</f>
        <v>81700</v>
      </c>
      <c r="H237" s="159"/>
      <c r="I237" s="159"/>
      <c r="J237" s="159"/>
      <c r="K237" s="159"/>
      <c r="L237" s="159"/>
      <c r="M237" s="159"/>
      <c r="N237" s="158">
        <f t="shared" si="39"/>
        <v>378566</v>
      </c>
      <c r="O237" s="167"/>
      <c r="P237" s="167"/>
    </row>
    <row r="238" spans="1:16" s="22" customFormat="1" ht="12.75">
      <c r="A238" s="25" t="s">
        <v>22</v>
      </c>
      <c r="B238" s="51" t="s">
        <v>23</v>
      </c>
      <c r="C238" s="143">
        <f>D238+G238</f>
        <v>378566</v>
      </c>
      <c r="D238" s="143">
        <f>212641+69331-7200+8186+5616+8292</f>
        <v>296866</v>
      </c>
      <c r="E238" s="143">
        <f>104030+6010+4123.5+6088</f>
        <v>120251.5</v>
      </c>
      <c r="F238" s="143">
        <v>12950</v>
      </c>
      <c r="G238" s="143">
        <f>74500+7200</f>
        <v>81700</v>
      </c>
      <c r="H238" s="143"/>
      <c r="I238" s="143"/>
      <c r="J238" s="143"/>
      <c r="K238" s="143"/>
      <c r="L238" s="143"/>
      <c r="M238" s="143"/>
      <c r="N238" s="142">
        <f t="shared" si="39"/>
        <v>378566</v>
      </c>
      <c r="O238" s="144"/>
      <c r="P238" s="144"/>
    </row>
    <row r="239" spans="1:16" s="22" customFormat="1" ht="15">
      <c r="A239" s="45"/>
      <c r="B239" s="105" t="s">
        <v>162</v>
      </c>
      <c r="C239" s="186">
        <f aca="true" t="shared" si="40" ref="C239:M239">C9+C30+C35+C58+C80+C84+C89+C112+C136+C151+C170+C182+C192+C194+C196+C198+C204+C209+C218+C237</f>
        <v>686969775.31</v>
      </c>
      <c r="D239" s="186">
        <f t="shared" si="40"/>
        <v>639915300.31</v>
      </c>
      <c r="E239" s="143">
        <f t="shared" si="40"/>
        <v>84625479.41999999</v>
      </c>
      <c r="F239" s="143">
        <f t="shared" si="40"/>
        <v>18100485</v>
      </c>
      <c r="G239" s="143">
        <f t="shared" si="40"/>
        <v>47054475</v>
      </c>
      <c r="H239" s="186">
        <f t="shared" si="40"/>
        <v>434530228.6</v>
      </c>
      <c r="I239" s="186">
        <f t="shared" si="40"/>
        <v>56232676.21999999</v>
      </c>
      <c r="J239" s="143">
        <f t="shared" si="40"/>
        <v>1205356</v>
      </c>
      <c r="K239" s="143">
        <f t="shared" si="40"/>
        <v>6488143</v>
      </c>
      <c r="L239" s="143">
        <f t="shared" si="40"/>
        <v>378297552.38</v>
      </c>
      <c r="M239" s="143">
        <f t="shared" si="40"/>
        <v>336500504</v>
      </c>
      <c r="N239" s="187">
        <f t="shared" si="32"/>
        <v>1121500003.9099998</v>
      </c>
      <c r="O239" s="144"/>
      <c r="P239" s="144"/>
    </row>
    <row r="240" spans="1:14" s="22" customFormat="1" ht="15">
      <c r="A240" s="96"/>
      <c r="B240" s="97"/>
      <c r="C240" s="98"/>
      <c r="D240" s="98"/>
      <c r="E240" s="98"/>
      <c r="F240" s="98"/>
      <c r="G240" s="98"/>
      <c r="H240" s="98"/>
      <c r="I240" s="98"/>
      <c r="J240" s="98"/>
      <c r="K240" s="98"/>
      <c r="L240" s="98"/>
      <c r="M240" s="98"/>
      <c r="N240" s="55"/>
    </row>
    <row r="241" spans="1:13" s="22" customFormat="1" ht="12.75" hidden="1">
      <c r="A241" s="56"/>
      <c r="B241" s="57"/>
      <c r="C241" s="58"/>
      <c r="D241" s="30"/>
      <c r="E241" s="30"/>
      <c r="F241" s="30"/>
      <c r="G241" s="30"/>
      <c r="H241" s="30"/>
      <c r="I241" s="30"/>
      <c r="J241" s="30"/>
      <c r="K241" s="30"/>
      <c r="L241" s="30"/>
      <c r="M241" s="30"/>
    </row>
    <row r="242" s="22" customFormat="1" ht="6.75" customHeight="1">
      <c r="A242" s="59"/>
    </row>
    <row r="243" spans="1:10" s="32" customFormat="1" ht="15" customHeight="1">
      <c r="A243" s="32" t="s">
        <v>239</v>
      </c>
      <c r="B243" s="190"/>
      <c r="C243" s="190"/>
      <c r="D243" s="190"/>
      <c r="E243" s="190"/>
      <c r="J243" s="32" t="s">
        <v>442</v>
      </c>
    </row>
    <row r="244" s="22" customFormat="1" ht="12.75">
      <c r="A244" s="59"/>
    </row>
    <row r="245" spans="1:14" s="22" customFormat="1" ht="12.75">
      <c r="A245" s="59"/>
      <c r="C245" s="53"/>
      <c r="D245" s="53"/>
      <c r="E245" s="53"/>
      <c r="F245" s="53"/>
      <c r="G245" s="53"/>
      <c r="H245" s="53"/>
      <c r="I245" s="53"/>
      <c r="J245" s="53"/>
      <c r="K245" s="53"/>
      <c r="L245" s="53"/>
      <c r="M245" s="53"/>
      <c r="N245" s="53"/>
    </row>
    <row r="246" s="22" customFormat="1" ht="12.75">
      <c r="A246" s="59"/>
    </row>
    <row r="247" spans="1:8" s="22" customFormat="1" ht="12.75">
      <c r="A247" s="59"/>
      <c r="C247" s="53">
        <f>C245-C246</f>
        <v>0</v>
      </c>
      <c r="H247" s="53"/>
    </row>
    <row r="248" spans="1:8" s="22" customFormat="1" ht="12.75">
      <c r="A248" s="59"/>
      <c r="H248" s="53"/>
    </row>
    <row r="249" spans="1:3" s="22" customFormat="1" ht="12.75">
      <c r="A249" s="59"/>
      <c r="C249" s="53"/>
    </row>
    <row r="250" s="22" customFormat="1" ht="12.75">
      <c r="A250" s="59"/>
    </row>
    <row r="251" s="22" customFormat="1" ht="12.75">
      <c r="A251" s="59"/>
    </row>
    <row r="252" s="22" customFormat="1" ht="12.75">
      <c r="A252" s="59"/>
    </row>
    <row r="253" s="22" customFormat="1" ht="12.75">
      <c r="A253" s="59"/>
    </row>
    <row r="254" s="22" customFormat="1" ht="12.75">
      <c r="A254" s="59"/>
    </row>
    <row r="255" s="22" customFormat="1" ht="12.75">
      <c r="A255" s="59"/>
    </row>
    <row r="256" s="22" customFormat="1" ht="12.75">
      <c r="A256" s="59"/>
    </row>
    <row r="257" s="22" customFormat="1" ht="12.75">
      <c r="A257" s="59"/>
    </row>
    <row r="258" s="22" customFormat="1" ht="12.75">
      <c r="A258" s="59"/>
    </row>
    <row r="259" s="22" customFormat="1" ht="12.75">
      <c r="A259" s="59"/>
    </row>
    <row r="260" s="22" customFormat="1" ht="12.75">
      <c r="A260" s="59"/>
    </row>
    <row r="261" s="22" customFormat="1" ht="12.75">
      <c r="A261" s="59"/>
    </row>
    <row r="262" s="22" customFormat="1" ht="12.75">
      <c r="A262" s="59"/>
    </row>
    <row r="263" s="22" customFormat="1" ht="12.75">
      <c r="A263" s="59"/>
    </row>
    <row r="264" s="22" customFormat="1" ht="12.75">
      <c r="A264" s="59"/>
    </row>
    <row r="265" s="22" customFormat="1" ht="12.75">
      <c r="A265" s="59"/>
    </row>
    <row r="266" s="22" customFormat="1" ht="12.75">
      <c r="A266" s="59"/>
    </row>
    <row r="267" s="22" customFormat="1" ht="12.75">
      <c r="A267" s="59"/>
    </row>
    <row r="268" s="22" customFormat="1" ht="12.75">
      <c r="A268" s="59"/>
    </row>
    <row r="269" s="22" customFormat="1" ht="12.75">
      <c r="A269" s="59"/>
    </row>
    <row r="270" s="22" customFormat="1" ht="12.75">
      <c r="A270" s="59"/>
    </row>
    <row r="271" s="22" customFormat="1" ht="12.75">
      <c r="A271" s="59"/>
    </row>
    <row r="272" s="22" customFormat="1" ht="12.75">
      <c r="A272" s="59"/>
    </row>
    <row r="273" s="22" customFormat="1" ht="12.75">
      <c r="A273" s="59"/>
    </row>
    <row r="274" s="22" customFormat="1" ht="12.75">
      <c r="A274" s="59"/>
    </row>
    <row r="275" s="22" customFormat="1" ht="12.75">
      <c r="A275" s="59"/>
    </row>
    <row r="276" s="22" customFormat="1" ht="12.75">
      <c r="A276" s="59"/>
    </row>
    <row r="277" s="22" customFormat="1" ht="12.75">
      <c r="A277" s="59"/>
    </row>
    <row r="278" s="22" customFormat="1" ht="12.75">
      <c r="A278" s="59"/>
    </row>
    <row r="279" s="22" customFormat="1" ht="12.75">
      <c r="A279" s="59"/>
    </row>
    <row r="280" s="22" customFormat="1" ht="12.75">
      <c r="A280" s="59"/>
    </row>
    <row r="281" s="22" customFormat="1" ht="12.75">
      <c r="A281" s="59"/>
    </row>
    <row r="282" s="22" customFormat="1" ht="12.75">
      <c r="A282" s="59"/>
    </row>
    <row r="283" s="22" customFormat="1" ht="12.75">
      <c r="A283" s="59"/>
    </row>
    <row r="284" s="22" customFormat="1" ht="12.75">
      <c r="A284" s="59"/>
    </row>
    <row r="285" s="22" customFormat="1" ht="12.75">
      <c r="A285" s="59"/>
    </row>
    <row r="286" s="22" customFormat="1" ht="12.75">
      <c r="A286" s="59"/>
    </row>
    <row r="287" s="22" customFormat="1" ht="12.75">
      <c r="A287" s="59"/>
    </row>
    <row r="288" s="22" customFormat="1" ht="12.75">
      <c r="A288" s="59"/>
    </row>
    <row r="289" s="22" customFormat="1" ht="12.75">
      <c r="A289" s="59"/>
    </row>
    <row r="290" s="22" customFormat="1" ht="12.75">
      <c r="A290" s="59"/>
    </row>
    <row r="291" s="22" customFormat="1" ht="12.75">
      <c r="A291" s="59"/>
    </row>
    <row r="292" s="22" customFormat="1" ht="12.75">
      <c r="A292" s="59"/>
    </row>
    <row r="293" s="22" customFormat="1" ht="12.75">
      <c r="A293" s="59"/>
    </row>
    <row r="294" s="22" customFormat="1" ht="12.75">
      <c r="A294" s="59"/>
    </row>
    <row r="295" s="22" customFormat="1" ht="12.75">
      <c r="A295" s="59"/>
    </row>
    <row r="296" s="22" customFormat="1" ht="12.75">
      <c r="A296" s="59"/>
    </row>
    <row r="297" s="22" customFormat="1" ht="12.75">
      <c r="A297" s="59"/>
    </row>
    <row r="298" s="22" customFormat="1" ht="12.75">
      <c r="A298" s="59"/>
    </row>
    <row r="299" s="22" customFormat="1" ht="12.75">
      <c r="A299" s="59"/>
    </row>
    <row r="300" s="22" customFormat="1" ht="12.75">
      <c r="A300" s="59"/>
    </row>
    <row r="301" s="22" customFormat="1" ht="12.75">
      <c r="A301" s="59"/>
    </row>
    <row r="302" s="22" customFormat="1" ht="12.75">
      <c r="A302" s="59"/>
    </row>
    <row r="303" s="22" customFormat="1" ht="12.75">
      <c r="A303" s="59"/>
    </row>
    <row r="304" s="22" customFormat="1" ht="12.75">
      <c r="A304" s="59"/>
    </row>
    <row r="305" s="22" customFormat="1" ht="12.75">
      <c r="A305" s="59"/>
    </row>
    <row r="306" s="22" customFormat="1" ht="12.75">
      <c r="A306" s="59"/>
    </row>
    <row r="307" s="22" customFormat="1" ht="12.75">
      <c r="A307" s="59"/>
    </row>
    <row r="308" s="22" customFormat="1" ht="12.75">
      <c r="A308" s="59"/>
    </row>
    <row r="309" s="22" customFormat="1" ht="12.75">
      <c r="A309" s="59"/>
    </row>
    <row r="310" s="22" customFormat="1" ht="12.75">
      <c r="A310" s="59"/>
    </row>
    <row r="311" s="22" customFormat="1" ht="12.75">
      <c r="A311" s="59"/>
    </row>
    <row r="312" s="22" customFormat="1" ht="12.75">
      <c r="A312" s="59"/>
    </row>
    <row r="313" s="22" customFormat="1" ht="12.75">
      <c r="A313" s="59"/>
    </row>
    <row r="314" s="22" customFormat="1" ht="12.75">
      <c r="A314" s="59"/>
    </row>
    <row r="315" s="22" customFormat="1" ht="12.75">
      <c r="A315" s="59"/>
    </row>
    <row r="316" s="22" customFormat="1" ht="12.75">
      <c r="A316" s="59"/>
    </row>
    <row r="317" s="22" customFormat="1" ht="12.75">
      <c r="A317" s="59"/>
    </row>
    <row r="318" s="22" customFormat="1" ht="12.75">
      <c r="A318" s="59"/>
    </row>
    <row r="319" s="22" customFormat="1" ht="12.75">
      <c r="A319" s="59"/>
    </row>
    <row r="320" s="22" customFormat="1" ht="12.75">
      <c r="A320" s="59"/>
    </row>
    <row r="321" s="22" customFormat="1" ht="12.75">
      <c r="A321" s="59"/>
    </row>
    <row r="322" s="22" customFormat="1" ht="12.75">
      <c r="A322" s="59"/>
    </row>
    <row r="323" s="22" customFormat="1" ht="12.75">
      <c r="A323" s="59"/>
    </row>
    <row r="324" s="22" customFormat="1" ht="12.75">
      <c r="A324" s="59"/>
    </row>
    <row r="325" s="22" customFormat="1" ht="12.75">
      <c r="A325" s="59"/>
    </row>
    <row r="326" s="22" customFormat="1" ht="12.75">
      <c r="A326" s="59"/>
    </row>
    <row r="327" s="22" customFormat="1" ht="12.75">
      <c r="A327" s="59"/>
    </row>
    <row r="328" s="22" customFormat="1" ht="12.75">
      <c r="A328" s="59"/>
    </row>
    <row r="329" s="22" customFormat="1" ht="12.75">
      <c r="A329" s="59"/>
    </row>
    <row r="330" s="22" customFormat="1" ht="12.75">
      <c r="A330" s="59"/>
    </row>
    <row r="331" s="22" customFormat="1" ht="12.75">
      <c r="A331" s="59"/>
    </row>
    <row r="332" s="22" customFormat="1" ht="12.75">
      <c r="A332" s="59"/>
    </row>
    <row r="333" s="22" customFormat="1" ht="12.75">
      <c r="A333" s="59"/>
    </row>
    <row r="334" s="22" customFormat="1" ht="12.75">
      <c r="A334" s="59"/>
    </row>
    <row r="335" s="22" customFormat="1" ht="12.75">
      <c r="A335" s="59"/>
    </row>
    <row r="336" s="22" customFormat="1" ht="12.75">
      <c r="A336" s="59"/>
    </row>
    <row r="337" s="22" customFormat="1" ht="12.75">
      <c r="A337" s="59"/>
    </row>
    <row r="338" s="22" customFormat="1" ht="12.75">
      <c r="A338" s="59"/>
    </row>
    <row r="339" s="22" customFormat="1" ht="12.75">
      <c r="A339" s="59"/>
    </row>
    <row r="340" s="22" customFormat="1" ht="12.75">
      <c r="A340" s="59"/>
    </row>
    <row r="341" s="22" customFormat="1" ht="12.75">
      <c r="A341" s="59"/>
    </row>
    <row r="342" s="22" customFormat="1" ht="12.75">
      <c r="A342" s="59"/>
    </row>
    <row r="343" s="22" customFormat="1" ht="12.75">
      <c r="A343" s="59"/>
    </row>
    <row r="344" s="22" customFormat="1" ht="12.75">
      <c r="A344" s="59"/>
    </row>
    <row r="345" s="22" customFormat="1" ht="12.75">
      <c r="A345" s="59"/>
    </row>
    <row r="346" s="22" customFormat="1" ht="12.75">
      <c r="A346" s="59"/>
    </row>
    <row r="347" s="22" customFormat="1" ht="12.75">
      <c r="A347" s="59"/>
    </row>
    <row r="348" s="22" customFormat="1" ht="12.75">
      <c r="A348" s="59"/>
    </row>
    <row r="349" s="22" customFormat="1" ht="12.75">
      <c r="A349" s="59"/>
    </row>
    <row r="350" s="22" customFormat="1" ht="12.75">
      <c r="A350" s="59"/>
    </row>
    <row r="351" s="22" customFormat="1" ht="12.75">
      <c r="A351" s="59"/>
    </row>
    <row r="352" s="22" customFormat="1" ht="12.75">
      <c r="A352" s="59"/>
    </row>
    <row r="353" s="22" customFormat="1" ht="12.75">
      <c r="A353" s="59"/>
    </row>
    <row r="354" s="22" customFormat="1" ht="12.75">
      <c r="A354" s="59"/>
    </row>
    <row r="355" s="22" customFormat="1" ht="12.75">
      <c r="A355" s="59"/>
    </row>
    <row r="356" s="22" customFormat="1" ht="12.75">
      <c r="A356" s="59"/>
    </row>
    <row r="357" s="22" customFormat="1" ht="12.75">
      <c r="A357" s="59"/>
    </row>
    <row r="358" s="22" customFormat="1" ht="12.75">
      <c r="A358" s="59"/>
    </row>
    <row r="359" s="22" customFormat="1" ht="12.75">
      <c r="A359" s="59"/>
    </row>
    <row r="360" s="22" customFormat="1" ht="12.75">
      <c r="A360" s="59"/>
    </row>
    <row r="361" s="22" customFormat="1" ht="12.75">
      <c r="A361" s="59"/>
    </row>
    <row r="362" s="22" customFormat="1" ht="12.75">
      <c r="A362" s="59"/>
    </row>
    <row r="363" s="22" customFormat="1" ht="12.75">
      <c r="A363" s="59"/>
    </row>
    <row r="364" s="22" customFormat="1" ht="12.75">
      <c r="A364" s="59"/>
    </row>
    <row r="365" s="22" customFormat="1" ht="12.75">
      <c r="A365" s="59"/>
    </row>
    <row r="366" s="22" customFormat="1" ht="12.75">
      <c r="A366" s="59"/>
    </row>
    <row r="367" s="22" customFormat="1" ht="12.75">
      <c r="A367" s="59"/>
    </row>
    <row r="368" s="22" customFormat="1" ht="12.75">
      <c r="A368" s="59"/>
    </row>
    <row r="369" s="22" customFormat="1" ht="12.75">
      <c r="A369" s="59"/>
    </row>
    <row r="370" s="22" customFormat="1" ht="12.75">
      <c r="A370" s="59"/>
    </row>
    <row r="371" s="22" customFormat="1" ht="12.75">
      <c r="A371" s="59"/>
    </row>
    <row r="372" s="22" customFormat="1" ht="12.75">
      <c r="A372" s="59"/>
    </row>
    <row r="373" s="22" customFormat="1" ht="12.75">
      <c r="A373" s="59"/>
    </row>
    <row r="374" s="22" customFormat="1" ht="12.75">
      <c r="A374" s="59"/>
    </row>
    <row r="375" s="22" customFormat="1" ht="12.75">
      <c r="A375" s="59"/>
    </row>
    <row r="376" s="22" customFormat="1" ht="12.75">
      <c r="A376" s="59"/>
    </row>
    <row r="377" s="22" customFormat="1" ht="12.75">
      <c r="A377" s="59"/>
    </row>
    <row r="378" s="22" customFormat="1" ht="12.75">
      <c r="A378" s="59"/>
    </row>
    <row r="379" s="22" customFormat="1" ht="12.75">
      <c r="A379" s="59"/>
    </row>
    <row r="380" s="22" customFormat="1" ht="12.75">
      <c r="A380" s="59"/>
    </row>
    <row r="381" s="22" customFormat="1" ht="12.75">
      <c r="A381" s="59"/>
    </row>
    <row r="382" s="22" customFormat="1" ht="12.75">
      <c r="A382" s="59"/>
    </row>
    <row r="383" s="22" customFormat="1" ht="12.75">
      <c r="A383" s="59"/>
    </row>
    <row r="384" s="22" customFormat="1" ht="12.75">
      <c r="A384" s="59"/>
    </row>
    <row r="385" s="22" customFormat="1" ht="12.75">
      <c r="A385" s="59"/>
    </row>
    <row r="386" s="22" customFormat="1" ht="12.75">
      <c r="A386" s="59"/>
    </row>
    <row r="387" s="22" customFormat="1" ht="12.75">
      <c r="A387" s="59"/>
    </row>
    <row r="388" s="22" customFormat="1" ht="12.75">
      <c r="A388" s="59"/>
    </row>
    <row r="389" s="22" customFormat="1" ht="12.75">
      <c r="A389" s="59"/>
    </row>
    <row r="390" s="22" customFormat="1" ht="12.75">
      <c r="A390" s="59"/>
    </row>
    <row r="391" s="22" customFormat="1" ht="12.75">
      <c r="A391" s="59"/>
    </row>
    <row r="392" s="22" customFormat="1" ht="12.75">
      <c r="A392" s="59"/>
    </row>
    <row r="393" s="22" customFormat="1" ht="12.75">
      <c r="A393" s="59"/>
    </row>
    <row r="394" s="22" customFormat="1" ht="12.75">
      <c r="A394" s="59"/>
    </row>
    <row r="395" s="22" customFormat="1" ht="12.75">
      <c r="A395" s="59"/>
    </row>
    <row r="396" s="22" customFormat="1" ht="12.75">
      <c r="A396" s="59"/>
    </row>
    <row r="397" s="22" customFormat="1" ht="12.75">
      <c r="A397" s="59"/>
    </row>
    <row r="398" s="22" customFormat="1" ht="12.75">
      <c r="A398" s="59"/>
    </row>
    <row r="399" s="22" customFormat="1" ht="12.75">
      <c r="A399" s="59"/>
    </row>
    <row r="400" s="22" customFormat="1" ht="12.75">
      <c r="A400" s="59"/>
    </row>
    <row r="401" s="22" customFormat="1" ht="12.75">
      <c r="A401" s="59"/>
    </row>
    <row r="402" s="22" customFormat="1" ht="12.75">
      <c r="A402" s="59"/>
    </row>
    <row r="403" s="22" customFormat="1" ht="12.75">
      <c r="A403" s="59"/>
    </row>
    <row r="404" s="22" customFormat="1" ht="12.75">
      <c r="A404" s="59"/>
    </row>
    <row r="405" s="22" customFormat="1" ht="12.75">
      <c r="A405" s="59"/>
    </row>
    <row r="406" s="22" customFormat="1" ht="12.75">
      <c r="A406" s="59"/>
    </row>
    <row r="407" s="22" customFormat="1" ht="12.75">
      <c r="A407" s="59"/>
    </row>
    <row r="408" s="22" customFormat="1" ht="12.75">
      <c r="A408" s="59"/>
    </row>
    <row r="409" s="22" customFormat="1" ht="12.75">
      <c r="A409" s="59"/>
    </row>
    <row r="410" s="22" customFormat="1" ht="12.75">
      <c r="A410" s="59"/>
    </row>
    <row r="411" s="22" customFormat="1" ht="12.75">
      <c r="A411" s="59"/>
    </row>
    <row r="412" s="22" customFormat="1" ht="12.75">
      <c r="A412" s="59"/>
    </row>
    <row r="413" s="22" customFormat="1" ht="12.75">
      <c r="A413" s="59"/>
    </row>
    <row r="414" s="22" customFormat="1" ht="12.75">
      <c r="A414" s="59"/>
    </row>
    <row r="415" s="22" customFormat="1" ht="12.75">
      <c r="A415" s="59"/>
    </row>
    <row r="416" s="22" customFormat="1" ht="12.75">
      <c r="A416" s="59"/>
    </row>
    <row r="417" s="22" customFormat="1" ht="12.75">
      <c r="A417" s="59"/>
    </row>
    <row r="418" s="22" customFormat="1" ht="12.75">
      <c r="A418" s="59"/>
    </row>
    <row r="419" s="22" customFormat="1" ht="12.75">
      <c r="A419" s="59"/>
    </row>
    <row r="420" s="22" customFormat="1" ht="12.75">
      <c r="A420" s="59"/>
    </row>
    <row r="421" s="22" customFormat="1" ht="12.75">
      <c r="A421" s="59"/>
    </row>
    <row r="422" s="22" customFormat="1" ht="12.75">
      <c r="A422" s="59"/>
    </row>
    <row r="423" s="22" customFormat="1" ht="12.75">
      <c r="A423" s="59"/>
    </row>
    <row r="424" s="22" customFormat="1" ht="12.75">
      <c r="A424" s="59"/>
    </row>
    <row r="425" s="22" customFormat="1" ht="12.75">
      <c r="A425" s="59"/>
    </row>
    <row r="426" s="22" customFormat="1" ht="12.75">
      <c r="A426" s="59"/>
    </row>
    <row r="427" s="22" customFormat="1" ht="12.75">
      <c r="A427" s="59"/>
    </row>
    <row r="428" s="22" customFormat="1" ht="12.75">
      <c r="A428" s="59"/>
    </row>
    <row r="429" s="22" customFormat="1" ht="12.75">
      <c r="A429" s="59"/>
    </row>
    <row r="430" s="22" customFormat="1" ht="12.75">
      <c r="A430" s="59"/>
    </row>
    <row r="431" s="22" customFormat="1" ht="12.75">
      <c r="A431" s="59"/>
    </row>
    <row r="432" s="22" customFormat="1" ht="12.75">
      <c r="A432" s="59"/>
    </row>
    <row r="433" s="22" customFormat="1" ht="12.75">
      <c r="A433" s="59"/>
    </row>
    <row r="434" s="22" customFormat="1" ht="12.75">
      <c r="A434" s="59"/>
    </row>
    <row r="435" s="22" customFormat="1" ht="12.75">
      <c r="A435" s="59"/>
    </row>
    <row r="436" s="22" customFormat="1" ht="12.75">
      <c r="A436" s="59"/>
    </row>
    <row r="437" s="22" customFormat="1" ht="12.75">
      <c r="A437" s="59"/>
    </row>
    <row r="438" s="22" customFormat="1" ht="12.75">
      <c r="A438" s="59"/>
    </row>
    <row r="439" s="22" customFormat="1" ht="12.75">
      <c r="A439" s="59"/>
    </row>
    <row r="440" s="22" customFormat="1" ht="12.75">
      <c r="A440" s="59"/>
    </row>
    <row r="441" s="22" customFormat="1" ht="12.75">
      <c r="A441" s="59"/>
    </row>
    <row r="442" s="22" customFormat="1" ht="12.75">
      <c r="A442" s="59"/>
    </row>
    <row r="443" s="22" customFormat="1" ht="12.75">
      <c r="A443" s="59"/>
    </row>
    <row r="444" s="22" customFormat="1" ht="12.75">
      <c r="A444" s="59"/>
    </row>
    <row r="445" s="22" customFormat="1" ht="12.75">
      <c r="A445" s="59"/>
    </row>
    <row r="446" s="22" customFormat="1" ht="12.75">
      <c r="A446" s="59"/>
    </row>
    <row r="447" s="22" customFormat="1" ht="12.75">
      <c r="A447" s="59"/>
    </row>
    <row r="448" s="22" customFormat="1" ht="12.75">
      <c r="A448" s="59"/>
    </row>
    <row r="449" s="22" customFormat="1" ht="12.75">
      <c r="A449" s="59"/>
    </row>
    <row r="450" s="22" customFormat="1" ht="12.75">
      <c r="A450" s="59"/>
    </row>
    <row r="451" s="22" customFormat="1" ht="12.75">
      <c r="A451" s="59"/>
    </row>
    <row r="452" s="22" customFormat="1" ht="12.75">
      <c r="A452" s="59"/>
    </row>
    <row r="453" s="22" customFormat="1" ht="12.75">
      <c r="A453" s="59"/>
    </row>
    <row r="454" s="22" customFormat="1" ht="12.75">
      <c r="A454" s="59"/>
    </row>
    <row r="455" s="22" customFormat="1" ht="12.75">
      <c r="A455" s="59"/>
    </row>
    <row r="456" s="22" customFormat="1" ht="12.75">
      <c r="A456" s="59"/>
    </row>
    <row r="457" s="22" customFormat="1" ht="12.75">
      <c r="A457" s="59"/>
    </row>
    <row r="458" s="22" customFormat="1" ht="12.75">
      <c r="A458" s="59"/>
    </row>
    <row r="459" s="22" customFormat="1" ht="12.75">
      <c r="A459" s="59"/>
    </row>
    <row r="460" s="22" customFormat="1" ht="12.75">
      <c r="A460" s="59"/>
    </row>
    <row r="461" s="22" customFormat="1" ht="12.75">
      <c r="A461" s="59"/>
    </row>
    <row r="462" s="22" customFormat="1" ht="12.75">
      <c r="A462" s="59"/>
    </row>
    <row r="463" s="22" customFormat="1" ht="12.75">
      <c r="A463" s="59"/>
    </row>
    <row r="464" s="22" customFormat="1" ht="12.75">
      <c r="A464" s="59"/>
    </row>
    <row r="465" s="22" customFormat="1" ht="12.75">
      <c r="A465" s="59"/>
    </row>
    <row r="466" s="22" customFormat="1" ht="12.75">
      <c r="A466" s="59"/>
    </row>
    <row r="467" s="22" customFormat="1" ht="12.75">
      <c r="A467" s="59"/>
    </row>
    <row r="468" s="22" customFormat="1" ht="12.75">
      <c r="A468" s="59"/>
    </row>
    <row r="469" s="22" customFormat="1" ht="12.75">
      <c r="A469" s="59"/>
    </row>
    <row r="470" s="22" customFormat="1" ht="12.75">
      <c r="A470" s="59"/>
    </row>
    <row r="471" s="22" customFormat="1" ht="12.75">
      <c r="A471" s="59"/>
    </row>
    <row r="472" s="22" customFormat="1" ht="12.75">
      <c r="A472" s="59"/>
    </row>
    <row r="473" s="22" customFormat="1" ht="12.75">
      <c r="A473" s="59"/>
    </row>
    <row r="474" s="22" customFormat="1" ht="12.75">
      <c r="A474" s="59"/>
    </row>
    <row r="475" s="22" customFormat="1" ht="12.75">
      <c r="A475" s="59"/>
    </row>
    <row r="476" s="22" customFormat="1" ht="12.75">
      <c r="A476" s="59"/>
    </row>
    <row r="477" s="22" customFormat="1" ht="12.75">
      <c r="A477" s="59"/>
    </row>
    <row r="478" s="22" customFormat="1" ht="12.75">
      <c r="A478" s="59"/>
    </row>
    <row r="479" s="22" customFormat="1" ht="12.75">
      <c r="A479" s="59"/>
    </row>
    <row r="480" s="22" customFormat="1" ht="12.75">
      <c r="A480" s="59"/>
    </row>
    <row r="481" s="22" customFormat="1" ht="12.75">
      <c r="A481" s="59"/>
    </row>
    <row r="482" s="22" customFormat="1" ht="12.75">
      <c r="A482" s="59"/>
    </row>
    <row r="483" s="22" customFormat="1" ht="12.75">
      <c r="A483" s="59"/>
    </row>
    <row r="484" s="22" customFormat="1" ht="12.75">
      <c r="A484" s="59"/>
    </row>
    <row r="485" s="22" customFormat="1" ht="12.75">
      <c r="A485" s="59"/>
    </row>
    <row r="486" s="22" customFormat="1" ht="12.75">
      <c r="A486" s="59"/>
    </row>
    <row r="487" s="22" customFormat="1" ht="12.75">
      <c r="A487" s="59"/>
    </row>
    <row r="488" s="22" customFormat="1" ht="12.75">
      <c r="A488" s="59"/>
    </row>
    <row r="489" s="22" customFormat="1" ht="12.75">
      <c r="A489" s="59"/>
    </row>
    <row r="490" s="22" customFormat="1" ht="12.75">
      <c r="A490" s="59"/>
    </row>
    <row r="491" s="22" customFormat="1" ht="12.75">
      <c r="A491" s="59"/>
    </row>
    <row r="492" s="22" customFormat="1" ht="12.75">
      <c r="A492" s="59"/>
    </row>
    <row r="493" s="22" customFormat="1" ht="12.75">
      <c r="A493" s="59"/>
    </row>
    <row r="494" s="22" customFormat="1" ht="12.75">
      <c r="A494" s="59"/>
    </row>
    <row r="495" s="22" customFormat="1" ht="12.75">
      <c r="A495" s="59"/>
    </row>
    <row r="496" s="22" customFormat="1" ht="12.75">
      <c r="A496" s="59"/>
    </row>
    <row r="497" s="22" customFormat="1" ht="12.75">
      <c r="A497" s="59"/>
    </row>
    <row r="498" s="22" customFormat="1" ht="12.75">
      <c r="A498" s="59"/>
    </row>
    <row r="499" s="22" customFormat="1" ht="12.75">
      <c r="A499" s="59"/>
    </row>
    <row r="500" s="22" customFormat="1" ht="12.75">
      <c r="A500" s="59"/>
    </row>
    <row r="501" s="22" customFormat="1" ht="12.75">
      <c r="A501" s="59"/>
    </row>
    <row r="502" s="22" customFormat="1" ht="12.75">
      <c r="A502" s="59"/>
    </row>
    <row r="503" s="22" customFormat="1" ht="12.75">
      <c r="A503" s="59"/>
    </row>
    <row r="504" s="22" customFormat="1" ht="12.75">
      <c r="A504" s="59"/>
    </row>
    <row r="505" s="22" customFormat="1" ht="12.75">
      <c r="A505" s="59"/>
    </row>
    <row r="506" s="22" customFormat="1" ht="12.75">
      <c r="A506" s="59"/>
    </row>
    <row r="507" s="22" customFormat="1" ht="12.75">
      <c r="A507" s="59"/>
    </row>
    <row r="508" s="22" customFormat="1" ht="12.75">
      <c r="A508" s="59"/>
    </row>
    <row r="509" s="22" customFormat="1" ht="12.75">
      <c r="A509" s="59"/>
    </row>
    <row r="510" s="22" customFormat="1" ht="12.75">
      <c r="A510" s="59"/>
    </row>
    <row r="511" s="22" customFormat="1" ht="12.75">
      <c r="A511" s="59"/>
    </row>
    <row r="512" s="22" customFormat="1" ht="12.75">
      <c r="A512" s="59"/>
    </row>
    <row r="513" s="22" customFormat="1" ht="12.75">
      <c r="A513" s="59"/>
    </row>
    <row r="514" s="22" customFormat="1" ht="12.75">
      <c r="A514" s="59"/>
    </row>
    <row r="515" s="22" customFormat="1" ht="12.75">
      <c r="A515" s="59"/>
    </row>
    <row r="516" s="22" customFormat="1" ht="12.75">
      <c r="A516" s="59"/>
    </row>
    <row r="517" s="22" customFormat="1" ht="12.75">
      <c r="A517" s="59"/>
    </row>
    <row r="518" s="22" customFormat="1" ht="12.75">
      <c r="A518" s="59"/>
    </row>
    <row r="519" s="22" customFormat="1" ht="12.75">
      <c r="A519" s="59"/>
    </row>
    <row r="520" s="22" customFormat="1" ht="12.75">
      <c r="A520" s="59"/>
    </row>
    <row r="521" s="22" customFormat="1" ht="12.75">
      <c r="A521" s="59"/>
    </row>
    <row r="522" s="22" customFormat="1" ht="12.75">
      <c r="A522" s="59"/>
    </row>
    <row r="523" s="22" customFormat="1" ht="12.75">
      <c r="A523" s="59"/>
    </row>
    <row r="524" s="22" customFormat="1" ht="12.75">
      <c r="A524" s="59"/>
    </row>
    <row r="525" s="22" customFormat="1" ht="12.75">
      <c r="A525" s="59"/>
    </row>
    <row r="526" s="22" customFormat="1" ht="12.75">
      <c r="A526" s="59"/>
    </row>
    <row r="527" s="22" customFormat="1" ht="12.75">
      <c r="A527" s="59"/>
    </row>
    <row r="528" s="22" customFormat="1" ht="12.75">
      <c r="A528" s="59"/>
    </row>
    <row r="529" s="22" customFormat="1" ht="12.75">
      <c r="A529" s="59"/>
    </row>
    <row r="530" s="22" customFormat="1" ht="12.75">
      <c r="A530" s="59"/>
    </row>
    <row r="531" s="22" customFormat="1" ht="12.75">
      <c r="A531" s="59"/>
    </row>
    <row r="532" s="22" customFormat="1" ht="12.75">
      <c r="A532" s="59"/>
    </row>
    <row r="533" s="22" customFormat="1" ht="12.75">
      <c r="A533" s="59"/>
    </row>
    <row r="534" s="22" customFormat="1" ht="12.75">
      <c r="A534" s="59"/>
    </row>
    <row r="535" s="22" customFormat="1" ht="12.75">
      <c r="A535" s="59"/>
    </row>
    <row r="536" s="22" customFormat="1" ht="12.75">
      <c r="A536" s="59"/>
    </row>
    <row r="537" s="22" customFormat="1" ht="12.75">
      <c r="A537" s="59"/>
    </row>
    <row r="538" s="22" customFormat="1" ht="12.75">
      <c r="A538" s="59"/>
    </row>
    <row r="539" s="22" customFormat="1" ht="12.75">
      <c r="A539" s="59"/>
    </row>
    <row r="540" s="22" customFormat="1" ht="12.75">
      <c r="A540" s="59"/>
    </row>
    <row r="541" s="22" customFormat="1" ht="12.75">
      <c r="A541" s="59"/>
    </row>
    <row r="542" s="22" customFormat="1" ht="12.75">
      <c r="A542" s="59"/>
    </row>
    <row r="543" s="22" customFormat="1" ht="12.75">
      <c r="A543" s="59"/>
    </row>
    <row r="544" s="22" customFormat="1" ht="12.75">
      <c r="A544" s="59"/>
    </row>
    <row r="545" s="22" customFormat="1" ht="12.75">
      <c r="A545" s="59"/>
    </row>
    <row r="546" s="22" customFormat="1" ht="12.75">
      <c r="A546" s="59"/>
    </row>
    <row r="547" s="22" customFormat="1" ht="12.75">
      <c r="A547" s="59"/>
    </row>
    <row r="548" s="22" customFormat="1" ht="12.75">
      <c r="A548" s="59"/>
    </row>
    <row r="549" s="22" customFormat="1" ht="12.75">
      <c r="A549" s="59"/>
    </row>
    <row r="550" s="22" customFormat="1" ht="12.75">
      <c r="A550" s="59"/>
    </row>
    <row r="551" s="22" customFormat="1" ht="12.75">
      <c r="A551" s="59"/>
    </row>
    <row r="552" s="22" customFormat="1" ht="12.75">
      <c r="A552" s="59"/>
    </row>
    <row r="553" s="22" customFormat="1" ht="12.75">
      <c r="A553" s="59"/>
    </row>
    <row r="554" s="22" customFormat="1" ht="12.75">
      <c r="A554" s="59"/>
    </row>
    <row r="555" s="22" customFormat="1" ht="12.75">
      <c r="A555" s="59"/>
    </row>
    <row r="556" s="22" customFormat="1" ht="12.75">
      <c r="A556" s="59"/>
    </row>
    <row r="557" s="22" customFormat="1" ht="12.75">
      <c r="A557" s="59"/>
    </row>
    <row r="558" s="22" customFormat="1" ht="12.75">
      <c r="A558" s="59"/>
    </row>
    <row r="559" s="22" customFormat="1" ht="12.75">
      <c r="A559" s="59"/>
    </row>
    <row r="560" s="22" customFormat="1" ht="12.75">
      <c r="A560" s="59"/>
    </row>
    <row r="561" s="22" customFormat="1" ht="12.75">
      <c r="A561" s="59"/>
    </row>
    <row r="562" s="22" customFormat="1" ht="12.75">
      <c r="A562" s="59"/>
    </row>
  </sheetData>
  <mergeCells count="12">
    <mergeCell ref="G1:I1"/>
    <mergeCell ref="A4:M4"/>
    <mergeCell ref="L1:N1"/>
    <mergeCell ref="L2:N2"/>
    <mergeCell ref="G2:I2"/>
    <mergeCell ref="G3:I3"/>
    <mergeCell ref="M5:N5"/>
    <mergeCell ref="A6:A7"/>
    <mergeCell ref="B6:B7"/>
    <mergeCell ref="H6:M6"/>
    <mergeCell ref="N6:N7"/>
    <mergeCell ref="C6:G6"/>
  </mergeCells>
  <printOptions/>
  <pageMargins left="0.5905511811023623" right="0.15748031496062992" top="0.4724409448818898" bottom="0.31496062992125984" header="0.35433070866141736" footer="0.2755905511811024"/>
  <pageSetup fitToHeight="22" horizontalDpi="300" verticalDpi="300" orientation="landscape" paperSize="9" scale="7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82"/>
  <sheetViews>
    <sheetView showZeros="0" view="pageBreakPreview" zoomScale="75" zoomScaleNormal="75" zoomScaleSheetLayoutView="75" workbookViewId="0" topLeftCell="A5">
      <pane xSplit="2" ySplit="6" topLeftCell="H11" activePane="bottomRight" state="frozen"/>
      <selection pane="topLeft" activeCell="A5" sqref="A5"/>
      <selection pane="topRight" activeCell="C5" sqref="C5"/>
      <selection pane="bottomLeft" activeCell="A11" sqref="A11"/>
      <selection pane="bottomRight" activeCell="L3" sqref="L3:N3"/>
    </sheetView>
  </sheetViews>
  <sheetFormatPr defaultColWidth="9.00390625" defaultRowHeight="12.75"/>
  <cols>
    <col min="1" max="1" width="8.00390625" style="17" customWidth="1"/>
    <col min="2" max="2" width="38.75390625" style="17" customWidth="1"/>
    <col min="3" max="3" width="12.125" style="17" customWidth="1"/>
    <col min="4" max="5" width="11.875" style="17" customWidth="1"/>
    <col min="6" max="6" width="9.875" style="17" customWidth="1"/>
    <col min="7" max="7" width="11.25390625" style="17" customWidth="1"/>
    <col min="8" max="8" width="13.25390625" style="17" customWidth="1"/>
    <col min="9" max="9" width="12.875" style="17" customWidth="1"/>
    <col min="10" max="10" width="11.875" style="17" customWidth="1"/>
    <col min="11" max="11" width="10.125" style="17" customWidth="1"/>
    <col min="12" max="12" width="11.625" style="17" customWidth="1"/>
    <col min="13" max="13" width="10.875" style="17" customWidth="1"/>
    <col min="14" max="14" width="13.375" style="17" customWidth="1"/>
    <col min="15" max="16384" width="9.125" style="17" customWidth="1"/>
  </cols>
  <sheetData>
    <row r="1" spans="12:14" ht="18">
      <c r="L1" s="199" t="s">
        <v>311</v>
      </c>
      <c r="M1" s="199"/>
      <c r="N1" s="199"/>
    </row>
    <row r="2" spans="12:14" ht="18">
      <c r="L2" s="199" t="s">
        <v>154</v>
      </c>
      <c r="M2" s="199"/>
      <c r="N2" s="199"/>
    </row>
    <row r="3" spans="12:14" ht="18">
      <c r="L3" s="199" t="s">
        <v>451</v>
      </c>
      <c r="M3" s="199"/>
      <c r="N3" s="199"/>
    </row>
    <row r="4" ht="21" customHeight="1">
      <c r="L4" s="48"/>
    </row>
    <row r="5" spans="1:13" ht="18">
      <c r="A5" s="200" t="s">
        <v>9</v>
      </c>
      <c r="B5" s="200"/>
      <c r="C5" s="200"/>
      <c r="D5" s="200"/>
      <c r="E5" s="200"/>
      <c r="F5" s="200"/>
      <c r="G5" s="200"/>
      <c r="H5" s="200"/>
      <c r="I5" s="200"/>
      <c r="J5" s="200"/>
      <c r="K5" s="200"/>
      <c r="L5" s="200"/>
      <c r="M5" s="200"/>
    </row>
    <row r="6" ht="15.75" customHeight="1" hidden="1"/>
    <row r="7" spans="12:13" ht="16.5" customHeight="1">
      <c r="L7" s="192" t="s">
        <v>365</v>
      </c>
      <c r="M7" s="192"/>
    </row>
    <row r="8" spans="1:14" ht="12.75">
      <c r="A8" s="193" t="s">
        <v>325</v>
      </c>
      <c r="B8" s="194" t="s">
        <v>324</v>
      </c>
      <c r="C8" s="201" t="s">
        <v>14</v>
      </c>
      <c r="D8" s="201"/>
      <c r="E8" s="201"/>
      <c r="F8" s="201"/>
      <c r="G8" s="201"/>
      <c r="H8" s="201" t="s">
        <v>15</v>
      </c>
      <c r="I8" s="201"/>
      <c r="J8" s="201"/>
      <c r="K8" s="201"/>
      <c r="L8" s="201"/>
      <c r="M8" s="201"/>
      <c r="N8" s="201" t="s">
        <v>95</v>
      </c>
    </row>
    <row r="9" spans="1:14" ht="51">
      <c r="A9" s="193"/>
      <c r="B9" s="195"/>
      <c r="C9" s="19" t="s">
        <v>16</v>
      </c>
      <c r="D9" s="18" t="s">
        <v>17</v>
      </c>
      <c r="E9" s="18" t="s">
        <v>18</v>
      </c>
      <c r="F9" s="18" t="s">
        <v>19</v>
      </c>
      <c r="G9" s="18" t="s">
        <v>20</v>
      </c>
      <c r="H9" s="19" t="s">
        <v>16</v>
      </c>
      <c r="I9" s="18" t="s">
        <v>17</v>
      </c>
      <c r="J9" s="18" t="s">
        <v>18</v>
      </c>
      <c r="K9" s="18" t="s">
        <v>19</v>
      </c>
      <c r="L9" s="18" t="s">
        <v>20</v>
      </c>
      <c r="M9" s="18" t="s">
        <v>21</v>
      </c>
      <c r="N9" s="201"/>
    </row>
    <row r="10" spans="1:14" ht="12.75">
      <c r="A10" s="46">
        <v>1</v>
      </c>
      <c r="B10" s="14">
        <v>2</v>
      </c>
      <c r="C10" s="14">
        <v>3</v>
      </c>
      <c r="D10" s="14">
        <v>4</v>
      </c>
      <c r="E10" s="14">
        <v>5</v>
      </c>
      <c r="F10" s="14">
        <v>6</v>
      </c>
      <c r="G10" s="14">
        <v>7</v>
      </c>
      <c r="H10" s="14">
        <v>8</v>
      </c>
      <c r="I10" s="14">
        <v>9</v>
      </c>
      <c r="J10" s="14">
        <v>10</v>
      </c>
      <c r="K10" s="14">
        <v>11</v>
      </c>
      <c r="L10" s="14">
        <v>12</v>
      </c>
      <c r="M10" s="14">
        <v>13</v>
      </c>
      <c r="N10" s="12">
        <v>14</v>
      </c>
    </row>
    <row r="11" spans="1:14" s="124" customFormat="1" ht="12.75">
      <c r="A11" s="123" t="s">
        <v>262</v>
      </c>
      <c r="B11" s="125" t="s">
        <v>352</v>
      </c>
      <c r="C11" s="159">
        <f>D11+G11</f>
        <v>31350363</v>
      </c>
      <c r="D11" s="159">
        <f>D12+D13+D18+D19+D20</f>
        <v>30596363</v>
      </c>
      <c r="E11" s="159">
        <f>E12+E13+E18+E19+E20</f>
        <v>17204874</v>
      </c>
      <c r="F11" s="159">
        <f>F12+F13+F18+F19+F20</f>
        <v>2238812</v>
      </c>
      <c r="G11" s="159">
        <f>G12+G13+G18+G19+G20</f>
        <v>754000</v>
      </c>
      <c r="H11" s="159">
        <f>I11+L11</f>
        <v>1679773</v>
      </c>
      <c r="I11" s="159">
        <f>I12+I13+I18+I19+I20</f>
        <v>1591423</v>
      </c>
      <c r="J11" s="159">
        <f>J12+J13+J18+J19+J20</f>
        <v>578500</v>
      </c>
      <c r="K11" s="159">
        <f>K12+K13+K18+K19+K20</f>
        <v>187974</v>
      </c>
      <c r="L11" s="159">
        <f>L12+L13+L18+L19+L20</f>
        <v>88350</v>
      </c>
      <c r="M11" s="159">
        <f>M12+M13+M18+M19+M20</f>
        <v>0</v>
      </c>
      <c r="N11" s="158">
        <f>C11+H11</f>
        <v>33030136</v>
      </c>
    </row>
    <row r="12" spans="1:14" ht="12.75">
      <c r="A12" s="46" t="s">
        <v>22</v>
      </c>
      <c r="B12" s="20" t="s">
        <v>23</v>
      </c>
      <c r="C12" s="147">
        <f aca="true" t="shared" si="0" ref="C12:C77">D12+G12</f>
        <v>2315036</v>
      </c>
      <c r="D12" s="147">
        <f>1414719+2615-12448+101502+635826+36798+13321+15322+2515+31319-30453</f>
        <v>2211036</v>
      </c>
      <c r="E12" s="147">
        <f>829612-9140+74524+470982+36798+1847-22359</f>
        <v>1382264</v>
      </c>
      <c r="F12" s="147">
        <f>99074+31319</f>
        <v>130393</v>
      </c>
      <c r="G12" s="147">
        <f>4000+100000</f>
        <v>104000</v>
      </c>
      <c r="H12" s="147">
        <f aca="true" t="shared" si="1" ref="H12:H77">I12+L12</f>
        <v>78068</v>
      </c>
      <c r="I12" s="147">
        <v>72968</v>
      </c>
      <c r="J12" s="147"/>
      <c r="K12" s="147">
        <v>62868</v>
      </c>
      <c r="L12" s="147">
        <v>5100</v>
      </c>
      <c r="M12" s="147"/>
      <c r="N12" s="146">
        <f aca="true" t="shared" si="2" ref="N12:N77">C12+H12</f>
        <v>2393104</v>
      </c>
    </row>
    <row r="13" spans="1:14" ht="15.75" customHeight="1">
      <c r="A13" s="46" t="s">
        <v>33</v>
      </c>
      <c r="B13" s="20" t="s">
        <v>113</v>
      </c>
      <c r="C13" s="147">
        <f t="shared" si="0"/>
        <v>28944787</v>
      </c>
      <c r="D13" s="147">
        <f>D14+D15+D17+D16</f>
        <v>28294787</v>
      </c>
      <c r="E13" s="147">
        <f aca="true" t="shared" si="3" ref="E13:M13">E14+E15+E17+E16</f>
        <v>15822610</v>
      </c>
      <c r="F13" s="147">
        <f t="shared" si="3"/>
        <v>2108419</v>
      </c>
      <c r="G13" s="147">
        <f t="shared" si="3"/>
        <v>650000</v>
      </c>
      <c r="H13" s="147">
        <f t="shared" si="3"/>
        <v>1396705</v>
      </c>
      <c r="I13" s="147">
        <f t="shared" si="3"/>
        <v>1339705</v>
      </c>
      <c r="J13" s="147">
        <f t="shared" si="3"/>
        <v>578500</v>
      </c>
      <c r="K13" s="147">
        <f t="shared" si="3"/>
        <v>125106</v>
      </c>
      <c r="L13" s="147">
        <f t="shared" si="3"/>
        <v>57000</v>
      </c>
      <c r="M13" s="147">
        <f t="shared" si="3"/>
        <v>0</v>
      </c>
      <c r="N13" s="146">
        <f t="shared" si="2"/>
        <v>30341492</v>
      </c>
    </row>
    <row r="14" spans="1:14" ht="12.75">
      <c r="A14" s="46" t="s">
        <v>35</v>
      </c>
      <c r="B14" s="20" t="s">
        <v>298</v>
      </c>
      <c r="C14" s="147">
        <f t="shared" si="0"/>
        <v>22377354</v>
      </c>
      <c r="D14" s="147">
        <f>19085213+28000-5600+14000+69000+51000+2222600+263141</f>
        <v>21727354</v>
      </c>
      <c r="E14" s="152">
        <f>12013375+30314</f>
        <v>12043689</v>
      </c>
      <c r="F14" s="147">
        <f>1388015+14000+71000+226921</f>
        <v>1699936</v>
      </c>
      <c r="G14" s="147">
        <f>500000-25000-25000+50000+150000</f>
        <v>650000</v>
      </c>
      <c r="H14" s="147">
        <f t="shared" si="1"/>
        <v>547786</v>
      </c>
      <c r="I14" s="147">
        <v>520786</v>
      </c>
      <c r="J14" s="147">
        <v>169500</v>
      </c>
      <c r="K14" s="147">
        <v>91700</v>
      </c>
      <c r="L14" s="147">
        <v>27000</v>
      </c>
      <c r="M14" s="147"/>
      <c r="N14" s="146">
        <f t="shared" si="2"/>
        <v>22925140</v>
      </c>
    </row>
    <row r="15" spans="1:14" ht="12.75">
      <c r="A15" s="46" t="s">
        <v>86</v>
      </c>
      <c r="B15" s="20" t="s">
        <v>87</v>
      </c>
      <c r="C15" s="147">
        <f t="shared" si="0"/>
        <v>2845299</v>
      </c>
      <c r="D15" s="147">
        <f>2503084+10919+288200+43096</f>
        <v>2845299</v>
      </c>
      <c r="E15" s="147">
        <v>1563901</v>
      </c>
      <c r="F15" s="147">
        <f>250055+10919+43096</f>
        <v>304070</v>
      </c>
      <c r="G15" s="147"/>
      <c r="H15" s="147">
        <f t="shared" si="1"/>
        <v>16406</v>
      </c>
      <c r="I15" s="147">
        <v>16406</v>
      </c>
      <c r="J15" s="147"/>
      <c r="K15" s="147">
        <v>15206</v>
      </c>
      <c r="L15" s="147"/>
      <c r="M15" s="147"/>
      <c r="N15" s="146">
        <f t="shared" si="2"/>
        <v>2861705</v>
      </c>
    </row>
    <row r="16" spans="1:14" ht="12.75">
      <c r="A16" s="45" t="s">
        <v>37</v>
      </c>
      <c r="B16" s="52" t="s">
        <v>117</v>
      </c>
      <c r="C16" s="147">
        <f>D16+G16</f>
        <v>2137344</v>
      </c>
      <c r="D16" s="153">
        <f>2034596-1000+98300+5448</f>
        <v>2137344</v>
      </c>
      <c r="E16" s="147">
        <f>1414089+4000</f>
        <v>1418089</v>
      </c>
      <c r="F16" s="147">
        <f>25061-1000</f>
        <v>24061</v>
      </c>
      <c r="G16" s="147"/>
      <c r="H16" s="147">
        <f>I16+L16</f>
        <v>2013</v>
      </c>
      <c r="I16" s="147">
        <v>2013</v>
      </c>
      <c r="J16" s="147"/>
      <c r="K16" s="147"/>
      <c r="L16" s="147"/>
      <c r="M16" s="147"/>
      <c r="N16" s="146">
        <f>C16+H16</f>
        <v>2139357</v>
      </c>
    </row>
    <row r="17" spans="1:14" ht="25.5">
      <c r="A17" s="46" t="s">
        <v>39</v>
      </c>
      <c r="B17" s="20" t="s">
        <v>40</v>
      </c>
      <c r="C17" s="147">
        <f t="shared" si="0"/>
        <v>1584790</v>
      </c>
      <c r="D17" s="153">
        <f>1480307+93700+10783</f>
        <v>1584790</v>
      </c>
      <c r="E17" s="147">
        <v>796931</v>
      </c>
      <c r="F17" s="147">
        <f>69569+10783</f>
        <v>80352</v>
      </c>
      <c r="G17" s="147"/>
      <c r="H17" s="147">
        <f t="shared" si="1"/>
        <v>830500</v>
      </c>
      <c r="I17" s="147">
        <v>800500</v>
      </c>
      <c r="J17" s="147">
        <v>409000</v>
      </c>
      <c r="K17" s="147">
        <v>18200</v>
      </c>
      <c r="L17" s="147">
        <v>30000</v>
      </c>
      <c r="M17" s="147"/>
      <c r="N17" s="146">
        <f t="shared" si="2"/>
        <v>2415290</v>
      </c>
    </row>
    <row r="18" spans="1:14" ht="40.5" customHeight="1" hidden="1">
      <c r="A18" s="46" t="s">
        <v>160</v>
      </c>
      <c r="B18" s="79" t="s">
        <v>227</v>
      </c>
      <c r="C18" s="147">
        <f t="shared" si="0"/>
        <v>0</v>
      </c>
      <c r="D18" s="147"/>
      <c r="E18" s="147"/>
      <c r="F18" s="147"/>
      <c r="G18" s="147"/>
      <c r="H18" s="147">
        <f t="shared" si="1"/>
        <v>0</v>
      </c>
      <c r="I18" s="147"/>
      <c r="J18" s="147"/>
      <c r="K18" s="147"/>
      <c r="L18" s="147"/>
      <c r="M18" s="147"/>
      <c r="N18" s="146">
        <f t="shared" si="2"/>
        <v>0</v>
      </c>
    </row>
    <row r="19" spans="1:14" ht="12.75">
      <c r="A19" s="49" t="s">
        <v>69</v>
      </c>
      <c r="B19" s="20" t="s">
        <v>91</v>
      </c>
      <c r="C19" s="147">
        <f t="shared" si="0"/>
        <v>0</v>
      </c>
      <c r="D19" s="147"/>
      <c r="E19" s="147"/>
      <c r="F19" s="147"/>
      <c r="G19" s="147"/>
      <c r="H19" s="147">
        <f t="shared" si="1"/>
        <v>205000</v>
      </c>
      <c r="I19" s="147">
        <f>110000+68750</f>
        <v>178750</v>
      </c>
      <c r="J19" s="147"/>
      <c r="K19" s="147"/>
      <c r="L19" s="147">
        <f>95000-68750</f>
        <v>26250</v>
      </c>
      <c r="M19" s="147"/>
      <c r="N19" s="146">
        <f t="shared" si="2"/>
        <v>205000</v>
      </c>
    </row>
    <row r="20" spans="1:14" ht="12.75">
      <c r="A20" s="49" t="s">
        <v>71</v>
      </c>
      <c r="B20" s="79" t="s">
        <v>72</v>
      </c>
      <c r="C20" s="147">
        <f t="shared" si="0"/>
        <v>90540</v>
      </c>
      <c r="D20" s="147">
        <f>D21+D22+D23</f>
        <v>90540</v>
      </c>
      <c r="E20" s="147">
        <f>E21+E22+E23</f>
        <v>0</v>
      </c>
      <c r="F20" s="147">
        <f>F21+F22+F23</f>
        <v>0</v>
      </c>
      <c r="G20" s="147">
        <f>G21+G22+G23</f>
        <v>0</v>
      </c>
      <c r="H20" s="147">
        <f t="shared" si="1"/>
        <v>0</v>
      </c>
      <c r="I20" s="147">
        <f>I21+I22+I23</f>
        <v>0</v>
      </c>
      <c r="J20" s="147">
        <f>J21+J22+J23</f>
        <v>0</v>
      </c>
      <c r="K20" s="147">
        <f>K21+K22+K23</f>
        <v>0</v>
      </c>
      <c r="L20" s="147">
        <f>L21+L22+L23</f>
        <v>0</v>
      </c>
      <c r="M20" s="147">
        <f>M21+M22+M23</f>
        <v>0</v>
      </c>
      <c r="N20" s="146">
        <f t="shared" si="2"/>
        <v>90540</v>
      </c>
    </row>
    <row r="21" spans="1:14" ht="25.5">
      <c r="A21" s="49"/>
      <c r="B21" s="79" t="s">
        <v>242</v>
      </c>
      <c r="C21" s="147">
        <f t="shared" si="0"/>
        <v>53040</v>
      </c>
      <c r="D21" s="147">
        <v>53040</v>
      </c>
      <c r="E21" s="147"/>
      <c r="F21" s="147"/>
      <c r="G21" s="147"/>
      <c r="H21" s="147">
        <f t="shared" si="1"/>
        <v>0</v>
      </c>
      <c r="I21" s="147"/>
      <c r="J21" s="147"/>
      <c r="K21" s="147"/>
      <c r="L21" s="147"/>
      <c r="M21" s="147"/>
      <c r="N21" s="146">
        <f t="shared" si="2"/>
        <v>53040</v>
      </c>
    </row>
    <row r="22" spans="1:14" ht="25.5">
      <c r="A22" s="49"/>
      <c r="B22" s="79" t="s">
        <v>241</v>
      </c>
      <c r="C22" s="147">
        <f t="shared" si="0"/>
        <v>32500</v>
      </c>
      <c r="D22" s="160">
        <v>32500</v>
      </c>
      <c r="E22" s="147"/>
      <c r="F22" s="147"/>
      <c r="G22" s="147"/>
      <c r="H22" s="147">
        <f t="shared" si="1"/>
        <v>0</v>
      </c>
      <c r="I22" s="147"/>
      <c r="J22" s="147"/>
      <c r="K22" s="147"/>
      <c r="L22" s="147"/>
      <c r="M22" s="147"/>
      <c r="N22" s="146">
        <f t="shared" si="2"/>
        <v>32500</v>
      </c>
    </row>
    <row r="23" spans="1:14" ht="38.25">
      <c r="A23" s="49"/>
      <c r="B23" s="26" t="s">
        <v>446</v>
      </c>
      <c r="C23" s="147">
        <f t="shared" si="0"/>
        <v>5000</v>
      </c>
      <c r="D23" s="147">
        <f>10000-5000</f>
        <v>5000</v>
      </c>
      <c r="E23" s="147"/>
      <c r="F23" s="147"/>
      <c r="G23" s="147"/>
      <c r="H23" s="147">
        <f t="shared" si="1"/>
        <v>0</v>
      </c>
      <c r="I23" s="147"/>
      <c r="J23" s="147"/>
      <c r="K23" s="147"/>
      <c r="L23" s="147"/>
      <c r="M23" s="147"/>
      <c r="N23" s="146">
        <f t="shared" si="2"/>
        <v>5000</v>
      </c>
    </row>
    <row r="24" spans="1:14" s="124" customFormat="1" ht="25.5">
      <c r="A24" s="123" t="s">
        <v>266</v>
      </c>
      <c r="B24" s="131" t="s">
        <v>353</v>
      </c>
      <c r="C24" s="159">
        <f>D24+G24</f>
        <v>41142632</v>
      </c>
      <c r="D24" s="159">
        <f>D25+D26+D35+D36</f>
        <v>40989306</v>
      </c>
      <c r="E24" s="159">
        <f>E25+E26+E35+E36</f>
        <v>23109350</v>
      </c>
      <c r="F24" s="159">
        <f>F25+F26+F35+F36</f>
        <v>3903719</v>
      </c>
      <c r="G24" s="159">
        <f>G25+G26+G35+G36</f>
        <v>153326</v>
      </c>
      <c r="H24" s="159">
        <f t="shared" si="1"/>
        <v>2368693</v>
      </c>
      <c r="I24" s="159">
        <f>I25+I26</f>
        <v>2368693</v>
      </c>
      <c r="J24" s="159">
        <f>J25+J26</f>
        <v>395000</v>
      </c>
      <c r="K24" s="159">
        <f>K25+K26</f>
        <v>54466</v>
      </c>
      <c r="L24" s="159">
        <f>L25+L26</f>
        <v>0</v>
      </c>
      <c r="M24" s="159">
        <f>M25+M26</f>
        <v>0</v>
      </c>
      <c r="N24" s="158">
        <f t="shared" si="2"/>
        <v>43511325</v>
      </c>
    </row>
    <row r="25" spans="1:14" ht="14.25" customHeight="1">
      <c r="A25" s="46" t="s">
        <v>22</v>
      </c>
      <c r="B25" s="20" t="s">
        <v>23</v>
      </c>
      <c r="C25" s="147">
        <f t="shared" si="0"/>
        <v>191435</v>
      </c>
      <c r="D25" s="147">
        <f>120707+9652+46764+9867+3575-5915+2785</f>
        <v>187435</v>
      </c>
      <c r="E25" s="147">
        <f>84776+7087+34335+9867-4343+2045</f>
        <v>133767</v>
      </c>
      <c r="F25" s="147"/>
      <c r="G25" s="147">
        <v>4000</v>
      </c>
      <c r="H25" s="147">
        <f t="shared" si="1"/>
        <v>0</v>
      </c>
      <c r="I25" s="147"/>
      <c r="J25" s="147"/>
      <c r="K25" s="147"/>
      <c r="L25" s="147"/>
      <c r="M25" s="147"/>
      <c r="N25" s="146">
        <f t="shared" si="2"/>
        <v>191435</v>
      </c>
    </row>
    <row r="26" spans="1:14" ht="12.75">
      <c r="A26" s="46" t="s">
        <v>24</v>
      </c>
      <c r="B26" s="20" t="s">
        <v>25</v>
      </c>
      <c r="C26" s="147">
        <f t="shared" si="0"/>
        <v>40892984</v>
      </c>
      <c r="D26" s="147">
        <f>D27+D28+D30+D31+D32+D29+D33+D34</f>
        <v>40743658</v>
      </c>
      <c r="E26" s="147">
        <f>E27+E28+E30+E31+E32+E29+E33+E34</f>
        <v>22975583</v>
      </c>
      <c r="F26" s="147">
        <f>F27+F28+F30+F31+F32+F29+F33+F34</f>
        <v>3903719</v>
      </c>
      <c r="G26" s="147">
        <f>G27+G28+G30+G31+G32+G29+G33+G34</f>
        <v>149326</v>
      </c>
      <c r="H26" s="147">
        <f t="shared" si="1"/>
        <v>2368693</v>
      </c>
      <c r="I26" s="147">
        <f>I27+I28+I30+I31+I32+I29+I33+I34</f>
        <v>2368693</v>
      </c>
      <c r="J26" s="147">
        <f>J27+J28+J30+J31+J32+J29+J33+J34</f>
        <v>395000</v>
      </c>
      <c r="K26" s="147">
        <f>K27+K28+K30+K31+K32+K29+K33+K34</f>
        <v>54466</v>
      </c>
      <c r="L26" s="147">
        <f>L27+L28+L30+L31+L32+L29+L33+L34</f>
        <v>0</v>
      </c>
      <c r="M26" s="147">
        <f>M27+M28+M30+M31+M32+M29</f>
        <v>0</v>
      </c>
      <c r="N26" s="146">
        <f t="shared" si="2"/>
        <v>43261677</v>
      </c>
    </row>
    <row r="27" spans="1:14" ht="12.75">
      <c r="A27" s="118" t="s">
        <v>80</v>
      </c>
      <c r="B27" s="79" t="s">
        <v>76</v>
      </c>
      <c r="C27" s="147">
        <f t="shared" si="0"/>
        <v>13170461</v>
      </c>
      <c r="D27" s="147">
        <f>12363583+22900+200500-1000+147593+294132+108753+674</f>
        <v>13137135</v>
      </c>
      <c r="E27" s="147">
        <f>6684484+17000</f>
        <v>6701484</v>
      </c>
      <c r="F27" s="147">
        <f>1152662+107161+148687+108753</f>
        <v>1517263</v>
      </c>
      <c r="G27" s="147">
        <f>34000-674</f>
        <v>33326</v>
      </c>
      <c r="H27" s="147">
        <f t="shared" si="1"/>
        <v>1439201</v>
      </c>
      <c r="I27" s="147">
        <v>1439201</v>
      </c>
      <c r="J27" s="147">
        <v>20000</v>
      </c>
      <c r="K27" s="147">
        <v>1392</v>
      </c>
      <c r="L27" s="147"/>
      <c r="M27" s="147"/>
      <c r="N27" s="146">
        <f t="shared" si="2"/>
        <v>14609662</v>
      </c>
    </row>
    <row r="28" spans="1:14" ht="45" customHeight="1">
      <c r="A28" s="118" t="s">
        <v>26</v>
      </c>
      <c r="B28" s="16" t="s">
        <v>280</v>
      </c>
      <c r="C28" s="147">
        <f t="shared" si="0"/>
        <v>25941587</v>
      </c>
      <c r="D28" s="147">
        <f>24659822+8627+719600-261100+122191+265000+311447</f>
        <v>25825587</v>
      </c>
      <c r="E28" s="147">
        <f>15664055-18474-21953</f>
        <v>15623628</v>
      </c>
      <c r="F28" s="147">
        <f>1875771+56327+141480+311447</f>
        <v>2385025</v>
      </c>
      <c r="G28" s="147">
        <f>116000</f>
        <v>116000</v>
      </c>
      <c r="H28" s="147">
        <f t="shared" si="1"/>
        <v>875682</v>
      </c>
      <c r="I28" s="147">
        <v>875682</v>
      </c>
      <c r="J28" s="147">
        <v>375000</v>
      </c>
      <c r="K28" s="147">
        <v>52164</v>
      </c>
      <c r="L28" s="147"/>
      <c r="M28" s="147"/>
      <c r="N28" s="146">
        <f t="shared" si="2"/>
        <v>26817269</v>
      </c>
    </row>
    <row r="29" spans="1:14" ht="51" hidden="1">
      <c r="A29" s="45" t="s">
        <v>373</v>
      </c>
      <c r="B29" s="51" t="s">
        <v>374</v>
      </c>
      <c r="C29" s="147">
        <f t="shared" si="0"/>
        <v>0</v>
      </c>
      <c r="D29" s="147"/>
      <c r="E29" s="147"/>
      <c r="F29" s="147"/>
      <c r="G29" s="147"/>
      <c r="H29" s="147">
        <f t="shared" si="1"/>
        <v>0</v>
      </c>
      <c r="I29" s="147"/>
      <c r="J29" s="147"/>
      <c r="K29" s="147"/>
      <c r="L29" s="147"/>
      <c r="M29" s="147"/>
      <c r="N29" s="146">
        <f t="shared" si="2"/>
        <v>0</v>
      </c>
    </row>
    <row r="30" spans="1:14" ht="25.5">
      <c r="A30" s="118" t="s">
        <v>29</v>
      </c>
      <c r="B30" s="107" t="s">
        <v>281</v>
      </c>
      <c r="C30" s="147">
        <f t="shared" si="0"/>
        <v>209926</v>
      </c>
      <c r="D30" s="147">
        <f>233053-22900-227</f>
        <v>209926</v>
      </c>
      <c r="E30" s="147">
        <f>167798-17000</f>
        <v>150798</v>
      </c>
      <c r="F30" s="147"/>
      <c r="G30" s="147"/>
      <c r="H30" s="147">
        <f t="shared" si="1"/>
        <v>0</v>
      </c>
      <c r="I30" s="147"/>
      <c r="J30" s="147"/>
      <c r="K30" s="147"/>
      <c r="L30" s="147"/>
      <c r="M30" s="147"/>
      <c r="N30" s="146">
        <f t="shared" si="2"/>
        <v>209926</v>
      </c>
    </row>
    <row r="31" spans="1:14" ht="25.5">
      <c r="A31" s="118" t="s">
        <v>30</v>
      </c>
      <c r="B31" s="79" t="s">
        <v>282</v>
      </c>
      <c r="C31" s="147">
        <f t="shared" si="0"/>
        <v>523274</v>
      </c>
      <c r="D31" s="147">
        <f>534114-6970-3870</f>
        <v>523274</v>
      </c>
      <c r="E31" s="147">
        <v>349320</v>
      </c>
      <c r="F31" s="147"/>
      <c r="G31" s="147"/>
      <c r="H31" s="147">
        <f t="shared" si="1"/>
        <v>46000</v>
      </c>
      <c r="I31" s="147">
        <v>46000</v>
      </c>
      <c r="J31" s="147"/>
      <c r="K31" s="147"/>
      <c r="L31" s="147"/>
      <c r="M31" s="147"/>
      <c r="N31" s="146">
        <f t="shared" si="2"/>
        <v>569274</v>
      </c>
    </row>
    <row r="32" spans="1:14" ht="25.5">
      <c r="A32" s="118" t="s">
        <v>31</v>
      </c>
      <c r="B32" s="79" t="s">
        <v>13</v>
      </c>
      <c r="C32" s="147">
        <f t="shared" si="0"/>
        <v>244322</v>
      </c>
      <c r="D32" s="147">
        <f>244783+900-1361</f>
        <v>244322</v>
      </c>
      <c r="E32" s="147">
        <v>150353</v>
      </c>
      <c r="F32" s="147">
        <f>1892+900-1361</f>
        <v>1431</v>
      </c>
      <c r="G32" s="147"/>
      <c r="H32" s="147">
        <f t="shared" si="1"/>
        <v>7810</v>
      </c>
      <c r="I32" s="147">
        <v>7810</v>
      </c>
      <c r="J32" s="147"/>
      <c r="K32" s="147">
        <v>910</v>
      </c>
      <c r="L32" s="147"/>
      <c r="M32" s="147"/>
      <c r="N32" s="146">
        <f t="shared" si="2"/>
        <v>252132</v>
      </c>
    </row>
    <row r="33" spans="1:14" ht="38.25">
      <c r="A33" s="45" t="s">
        <v>371</v>
      </c>
      <c r="B33" s="27" t="s">
        <v>372</v>
      </c>
      <c r="C33" s="147">
        <f t="shared" si="0"/>
        <v>24645</v>
      </c>
      <c r="D33" s="147">
        <v>24645</v>
      </c>
      <c r="E33" s="147"/>
      <c r="F33" s="147"/>
      <c r="G33" s="147"/>
      <c r="H33" s="147">
        <f t="shared" si="1"/>
        <v>0</v>
      </c>
      <c r="I33" s="147"/>
      <c r="J33" s="147"/>
      <c r="K33" s="147"/>
      <c r="L33" s="147"/>
      <c r="M33" s="147"/>
      <c r="N33" s="146">
        <f t="shared" si="2"/>
        <v>24645</v>
      </c>
    </row>
    <row r="34" spans="1:16" s="22" customFormat="1" ht="83.25" customHeight="1">
      <c r="A34" s="45" t="s">
        <v>398</v>
      </c>
      <c r="B34" s="27" t="s">
        <v>399</v>
      </c>
      <c r="C34" s="143">
        <f t="shared" si="0"/>
        <v>778769</v>
      </c>
      <c r="D34" s="143">
        <f>578769+200000</f>
        <v>778769</v>
      </c>
      <c r="E34" s="143"/>
      <c r="F34" s="143"/>
      <c r="G34" s="143"/>
      <c r="H34" s="143">
        <f t="shared" si="1"/>
        <v>0</v>
      </c>
      <c r="I34" s="143"/>
      <c r="J34" s="143"/>
      <c r="K34" s="143"/>
      <c r="L34" s="143"/>
      <c r="M34" s="143"/>
      <c r="N34" s="142">
        <f t="shared" si="2"/>
        <v>778769</v>
      </c>
      <c r="O34" s="144"/>
      <c r="P34" s="144"/>
    </row>
    <row r="35" spans="1:16" s="22" customFormat="1" ht="63.75">
      <c r="A35" s="45" t="s">
        <v>309</v>
      </c>
      <c r="B35" s="27" t="s">
        <v>415</v>
      </c>
      <c r="C35" s="143">
        <f t="shared" si="0"/>
        <v>6213</v>
      </c>
      <c r="D35" s="147">
        <f>8770-2557</f>
        <v>6213</v>
      </c>
      <c r="E35" s="143"/>
      <c r="F35" s="143"/>
      <c r="G35" s="143"/>
      <c r="H35" s="143">
        <f t="shared" si="1"/>
        <v>0</v>
      </c>
      <c r="I35" s="143"/>
      <c r="J35" s="143"/>
      <c r="K35" s="143"/>
      <c r="L35" s="143"/>
      <c r="M35" s="143"/>
      <c r="N35" s="142">
        <f t="shared" si="2"/>
        <v>6213</v>
      </c>
      <c r="O35" s="144"/>
      <c r="P35" s="144"/>
    </row>
    <row r="36" spans="1:16" s="22" customFormat="1" ht="38.25">
      <c r="A36" s="45" t="s">
        <v>71</v>
      </c>
      <c r="B36" s="26" t="s">
        <v>446</v>
      </c>
      <c r="C36" s="143">
        <f t="shared" si="0"/>
        <v>52000</v>
      </c>
      <c r="D36" s="147">
        <f>47000+5000</f>
        <v>52000</v>
      </c>
      <c r="E36" s="143"/>
      <c r="F36" s="143"/>
      <c r="G36" s="143"/>
      <c r="H36" s="143"/>
      <c r="I36" s="143"/>
      <c r="J36" s="143"/>
      <c r="K36" s="143"/>
      <c r="L36" s="143"/>
      <c r="M36" s="143"/>
      <c r="N36" s="142">
        <f t="shared" si="2"/>
        <v>52000</v>
      </c>
      <c r="O36" s="144"/>
      <c r="P36" s="144"/>
    </row>
    <row r="37" spans="1:14" s="124" customFormat="1" ht="38.25">
      <c r="A37" s="123" t="s">
        <v>267</v>
      </c>
      <c r="B37" s="125" t="s">
        <v>354</v>
      </c>
      <c r="C37" s="159">
        <f>D37+G37</f>
        <v>19156472</v>
      </c>
      <c r="D37" s="159">
        <f>D38+D39+D69</f>
        <v>19124472</v>
      </c>
      <c r="E37" s="159">
        <f>E38+E39+E69</f>
        <v>1267602</v>
      </c>
      <c r="F37" s="159">
        <f>F38+F39+F69</f>
        <v>30860</v>
      </c>
      <c r="G37" s="159">
        <f>G38+G39+G69</f>
        <v>32000</v>
      </c>
      <c r="H37" s="159">
        <f t="shared" si="1"/>
        <v>0</v>
      </c>
      <c r="I37" s="159">
        <f>I38+I39</f>
        <v>0</v>
      </c>
      <c r="J37" s="159">
        <f>J38+J39</f>
        <v>0</v>
      </c>
      <c r="K37" s="159">
        <f>K38+K39</f>
        <v>0</v>
      </c>
      <c r="L37" s="159">
        <f>L38+L39</f>
        <v>0</v>
      </c>
      <c r="M37" s="159">
        <f>M38+M39</f>
        <v>0</v>
      </c>
      <c r="N37" s="158">
        <f t="shared" si="2"/>
        <v>19156472</v>
      </c>
    </row>
    <row r="38" spans="1:14" ht="12.75">
      <c r="A38" s="46" t="s">
        <v>22</v>
      </c>
      <c r="B38" s="20" t="s">
        <v>23</v>
      </c>
      <c r="C38" s="147">
        <f t="shared" si="0"/>
        <v>1837470</v>
      </c>
      <c r="D38" s="147">
        <f>1095167+2036+88079+529942+59960+21706+8580</f>
        <v>1805470</v>
      </c>
      <c r="E38" s="147">
        <f>753470+64669+389503+59960</f>
        <v>1267602</v>
      </c>
      <c r="F38" s="147">
        <f>22280+8580</f>
        <v>30860</v>
      </c>
      <c r="G38" s="147">
        <f>28000+4000</f>
        <v>32000</v>
      </c>
      <c r="H38" s="147">
        <f t="shared" si="1"/>
        <v>0</v>
      </c>
      <c r="I38" s="147"/>
      <c r="J38" s="147"/>
      <c r="K38" s="147"/>
      <c r="L38" s="147"/>
      <c r="M38" s="147"/>
      <c r="N38" s="146">
        <f t="shared" si="2"/>
        <v>1837470</v>
      </c>
    </row>
    <row r="39" spans="1:14" ht="25.5">
      <c r="A39" s="46" t="s">
        <v>47</v>
      </c>
      <c r="B39" s="88" t="s">
        <v>147</v>
      </c>
      <c r="C39" s="147">
        <f t="shared" si="0"/>
        <v>17279374</v>
      </c>
      <c r="D39" s="147">
        <f>D40+D41+D42+D43+D44+D45+D46+D47+D48+D49+D50+D51+D52+D53+D54+D56+D57+D61+D64+D68+D62+D63+D55</f>
        <v>17279374</v>
      </c>
      <c r="E39" s="147">
        <f>E40+E41+E42+E43+E44+E45+E46+E47+E48+E49+E50+E51+E52+E53+E54+E56+E57+E61+E64+E68+E62+E63+E55</f>
        <v>0</v>
      </c>
      <c r="F39" s="147">
        <f>F40+F41+F42+F43+F44+F45+F46+F47+F48+F49+F50+F51+F52+F53+F54+F56+F57+F61+F64+F68+F62+F63+F55</f>
        <v>0</v>
      </c>
      <c r="G39" s="147">
        <f>G40+G41+G42+G43+G44+G45+G46+G47+G48+G49+G50+G51+G52+G53+G54+G56+G57+G61+G64+G68+G62+G63+G55</f>
        <v>0</v>
      </c>
      <c r="H39" s="147">
        <f t="shared" si="1"/>
        <v>0</v>
      </c>
      <c r="I39" s="147"/>
      <c r="J39" s="147"/>
      <c r="K39" s="147"/>
      <c r="L39" s="147"/>
      <c r="M39" s="147"/>
      <c r="N39" s="146">
        <f>C39+H39</f>
        <v>17279374</v>
      </c>
    </row>
    <row r="40" spans="1:14" ht="229.5">
      <c r="A40" s="46" t="s">
        <v>158</v>
      </c>
      <c r="B40" s="88" t="s">
        <v>429</v>
      </c>
      <c r="C40" s="147">
        <f t="shared" si="0"/>
        <v>7897367</v>
      </c>
      <c r="D40" s="147">
        <v>7897367</v>
      </c>
      <c r="E40" s="147"/>
      <c r="F40" s="147"/>
      <c r="G40" s="147"/>
      <c r="H40" s="147">
        <f t="shared" si="1"/>
        <v>0</v>
      </c>
      <c r="I40" s="147"/>
      <c r="J40" s="147"/>
      <c r="K40" s="147"/>
      <c r="L40" s="147"/>
      <c r="M40" s="147"/>
      <c r="N40" s="146">
        <f t="shared" si="2"/>
        <v>7897367</v>
      </c>
    </row>
    <row r="41" spans="1:14" ht="191.25">
      <c r="A41" s="46" t="s">
        <v>164</v>
      </c>
      <c r="B41" s="88" t="s">
        <v>430</v>
      </c>
      <c r="C41" s="147">
        <f t="shared" si="0"/>
        <v>68000</v>
      </c>
      <c r="D41" s="147">
        <v>68000</v>
      </c>
      <c r="E41" s="147"/>
      <c r="F41" s="147"/>
      <c r="G41" s="147"/>
      <c r="H41" s="147">
        <f t="shared" si="1"/>
        <v>0</v>
      </c>
      <c r="I41" s="147"/>
      <c r="J41" s="147"/>
      <c r="K41" s="147"/>
      <c r="L41" s="147"/>
      <c r="M41" s="147"/>
      <c r="N41" s="146">
        <f t="shared" si="2"/>
        <v>68000</v>
      </c>
    </row>
    <row r="42" spans="1:14" ht="216.75">
      <c r="A42" s="46" t="s">
        <v>165</v>
      </c>
      <c r="B42" s="88" t="s">
        <v>432</v>
      </c>
      <c r="C42" s="147">
        <f t="shared" si="0"/>
        <v>1132287</v>
      </c>
      <c r="D42" s="147">
        <f>1160333-9080+1033+9080-29079</f>
        <v>1132287</v>
      </c>
      <c r="E42" s="147"/>
      <c r="F42" s="147"/>
      <c r="G42" s="147">
        <f>9080-9080</f>
        <v>0</v>
      </c>
      <c r="H42" s="147">
        <f t="shared" si="1"/>
        <v>0</v>
      </c>
      <c r="I42" s="147"/>
      <c r="J42" s="147"/>
      <c r="K42" s="147"/>
      <c r="L42" s="147"/>
      <c r="M42" s="147"/>
      <c r="N42" s="146">
        <f t="shared" si="2"/>
        <v>1132287</v>
      </c>
    </row>
    <row r="43" spans="1:14" ht="344.25">
      <c r="A43" s="46" t="s">
        <v>166</v>
      </c>
      <c r="B43" s="20" t="s">
        <v>436</v>
      </c>
      <c r="C43" s="147">
        <f t="shared" si="0"/>
        <v>507356</v>
      </c>
      <c r="D43" s="147">
        <v>507356</v>
      </c>
      <c r="E43" s="147"/>
      <c r="F43" s="147"/>
      <c r="G43" s="147"/>
      <c r="H43" s="147">
        <f t="shared" si="1"/>
        <v>0</v>
      </c>
      <c r="I43" s="147"/>
      <c r="J43" s="147"/>
      <c r="K43" s="147"/>
      <c r="L43" s="147"/>
      <c r="M43" s="147"/>
      <c r="N43" s="146">
        <f t="shared" si="2"/>
        <v>507356</v>
      </c>
    </row>
    <row r="44" spans="1:14" ht="280.5">
      <c r="A44" s="46" t="s">
        <v>167</v>
      </c>
      <c r="B44" s="20" t="s">
        <v>1</v>
      </c>
      <c r="C44" s="147">
        <f t="shared" si="0"/>
        <v>2080</v>
      </c>
      <c r="D44" s="147">
        <v>2080</v>
      </c>
      <c r="E44" s="147"/>
      <c r="F44" s="147"/>
      <c r="G44" s="147"/>
      <c r="H44" s="147">
        <f t="shared" si="1"/>
        <v>0</v>
      </c>
      <c r="I44" s="147"/>
      <c r="J44" s="147"/>
      <c r="K44" s="147"/>
      <c r="L44" s="147"/>
      <c r="M44" s="147"/>
      <c r="N44" s="146">
        <f t="shared" si="2"/>
        <v>2080</v>
      </c>
    </row>
    <row r="45" spans="1:14" ht="127.5">
      <c r="A45" s="46" t="s">
        <v>159</v>
      </c>
      <c r="B45" s="20" t="s">
        <v>11</v>
      </c>
      <c r="C45" s="147">
        <f t="shared" si="0"/>
        <v>35305</v>
      </c>
      <c r="D45" s="147">
        <f>30972+3613+720</f>
        <v>35305</v>
      </c>
      <c r="E45" s="147"/>
      <c r="F45" s="147"/>
      <c r="G45" s="147"/>
      <c r="H45" s="147">
        <f t="shared" si="1"/>
        <v>0</v>
      </c>
      <c r="I45" s="147"/>
      <c r="J45" s="147"/>
      <c r="K45" s="147"/>
      <c r="L45" s="147"/>
      <c r="M45" s="147"/>
      <c r="N45" s="146">
        <f t="shared" si="2"/>
        <v>35305</v>
      </c>
    </row>
    <row r="46" spans="1:14" ht="76.5">
      <c r="A46" s="46" t="s">
        <v>168</v>
      </c>
      <c r="B46" s="20" t="s">
        <v>433</v>
      </c>
      <c r="C46" s="147">
        <f t="shared" si="0"/>
        <v>289947</v>
      </c>
      <c r="D46" s="147">
        <v>289947</v>
      </c>
      <c r="E46" s="147"/>
      <c r="F46" s="147"/>
      <c r="G46" s="147"/>
      <c r="H46" s="147">
        <f t="shared" si="1"/>
        <v>0</v>
      </c>
      <c r="I46" s="147"/>
      <c r="J46" s="147"/>
      <c r="K46" s="147"/>
      <c r="L46" s="147"/>
      <c r="M46" s="147"/>
      <c r="N46" s="146">
        <f t="shared" si="2"/>
        <v>289947</v>
      </c>
    </row>
    <row r="47" spans="1:14" ht="76.5">
      <c r="A47" s="46" t="s">
        <v>169</v>
      </c>
      <c r="B47" s="20" t="s">
        <v>434</v>
      </c>
      <c r="C47" s="147">
        <f t="shared" si="0"/>
        <v>624</v>
      </c>
      <c r="D47" s="147">
        <v>624</v>
      </c>
      <c r="E47" s="147"/>
      <c r="F47" s="147"/>
      <c r="G47" s="147"/>
      <c r="H47" s="147">
        <f t="shared" si="1"/>
        <v>0</v>
      </c>
      <c r="I47" s="147"/>
      <c r="J47" s="147"/>
      <c r="K47" s="147"/>
      <c r="L47" s="147"/>
      <c r="M47" s="147"/>
      <c r="N47" s="146">
        <f t="shared" si="2"/>
        <v>624</v>
      </c>
    </row>
    <row r="48" spans="1:14" ht="63.75">
      <c r="A48" s="46" t="s">
        <v>170</v>
      </c>
      <c r="B48" s="20" t="s">
        <v>435</v>
      </c>
      <c r="C48" s="147">
        <f t="shared" si="0"/>
        <v>38170</v>
      </c>
      <c r="D48" s="147">
        <f>44035-6163+298</f>
        <v>38170</v>
      </c>
      <c r="E48" s="147"/>
      <c r="F48" s="147"/>
      <c r="G48" s="147"/>
      <c r="H48" s="147">
        <f t="shared" si="1"/>
        <v>0</v>
      </c>
      <c r="I48" s="147"/>
      <c r="J48" s="147"/>
      <c r="K48" s="147"/>
      <c r="L48" s="147"/>
      <c r="M48" s="147"/>
      <c r="N48" s="146">
        <f t="shared" si="2"/>
        <v>38170</v>
      </c>
    </row>
    <row r="49" spans="1:14" ht="25.5" hidden="1">
      <c r="A49" s="46" t="s">
        <v>126</v>
      </c>
      <c r="B49" s="88" t="s">
        <v>243</v>
      </c>
      <c r="C49" s="147">
        <f t="shared" si="0"/>
        <v>0</v>
      </c>
      <c r="D49" s="147"/>
      <c r="E49" s="147"/>
      <c r="F49" s="147"/>
      <c r="G49" s="147"/>
      <c r="H49" s="147">
        <f t="shared" si="1"/>
        <v>0</v>
      </c>
      <c r="I49" s="147"/>
      <c r="J49" s="147"/>
      <c r="K49" s="147"/>
      <c r="L49" s="147"/>
      <c r="M49" s="147"/>
      <c r="N49" s="146">
        <f t="shared" si="2"/>
        <v>0</v>
      </c>
    </row>
    <row r="50" spans="1:14" ht="13.5" customHeight="1">
      <c r="A50" s="46" t="s">
        <v>127</v>
      </c>
      <c r="B50" s="88" t="s">
        <v>102</v>
      </c>
      <c r="C50" s="147">
        <f t="shared" si="0"/>
        <v>191805</v>
      </c>
      <c r="D50" s="147">
        <v>191805</v>
      </c>
      <c r="E50" s="147"/>
      <c r="F50" s="147"/>
      <c r="G50" s="147"/>
      <c r="H50" s="147">
        <f t="shared" si="1"/>
        <v>0</v>
      </c>
      <c r="I50" s="147"/>
      <c r="J50" s="147"/>
      <c r="K50" s="147"/>
      <c r="L50" s="147"/>
      <c r="M50" s="147"/>
      <c r="N50" s="146">
        <f t="shared" si="2"/>
        <v>191805</v>
      </c>
    </row>
    <row r="51" spans="1:14" ht="25.5">
      <c r="A51" s="46" t="s">
        <v>128</v>
      </c>
      <c r="B51" s="88" t="s">
        <v>191</v>
      </c>
      <c r="C51" s="147">
        <f t="shared" si="0"/>
        <v>1221626</v>
      </c>
      <c r="D51" s="147">
        <v>1221626</v>
      </c>
      <c r="E51" s="147"/>
      <c r="F51" s="147"/>
      <c r="G51" s="147"/>
      <c r="H51" s="147">
        <f t="shared" si="1"/>
        <v>0</v>
      </c>
      <c r="I51" s="147"/>
      <c r="J51" s="147"/>
      <c r="K51" s="147"/>
      <c r="L51" s="147"/>
      <c r="M51" s="147"/>
      <c r="N51" s="146">
        <f t="shared" si="2"/>
        <v>1221626</v>
      </c>
    </row>
    <row r="52" spans="1:14" ht="25.5">
      <c r="A52" s="46" t="s">
        <v>129</v>
      </c>
      <c r="B52" s="88" t="s">
        <v>103</v>
      </c>
      <c r="C52" s="147">
        <f t="shared" si="0"/>
        <v>2115420</v>
      </c>
      <c r="D52" s="147">
        <f>2115420</f>
        <v>2115420</v>
      </c>
      <c r="E52" s="147"/>
      <c r="F52" s="147"/>
      <c r="G52" s="147"/>
      <c r="H52" s="147">
        <f t="shared" si="1"/>
        <v>0</v>
      </c>
      <c r="I52" s="147"/>
      <c r="J52" s="147"/>
      <c r="K52" s="147"/>
      <c r="L52" s="147"/>
      <c r="M52" s="147"/>
      <c r="N52" s="146">
        <f t="shared" si="2"/>
        <v>2115420</v>
      </c>
    </row>
    <row r="53" spans="1:14" ht="25.5">
      <c r="A53" s="46" t="s">
        <v>89</v>
      </c>
      <c r="B53" s="88" t="s">
        <v>172</v>
      </c>
      <c r="C53" s="147">
        <f t="shared" si="0"/>
        <v>208570</v>
      </c>
      <c r="D53" s="147">
        <f>208570</f>
        <v>208570</v>
      </c>
      <c r="E53" s="147"/>
      <c r="F53" s="147"/>
      <c r="G53" s="147"/>
      <c r="H53" s="147">
        <f t="shared" si="1"/>
        <v>0</v>
      </c>
      <c r="I53" s="147"/>
      <c r="J53" s="147"/>
      <c r="K53" s="147"/>
      <c r="L53" s="147"/>
      <c r="M53" s="147"/>
      <c r="N53" s="146">
        <f t="shared" si="2"/>
        <v>208570</v>
      </c>
    </row>
    <row r="54" spans="1:14" ht="12.75">
      <c r="A54" s="46" t="s">
        <v>233</v>
      </c>
      <c r="B54" s="102" t="s">
        <v>171</v>
      </c>
      <c r="C54" s="147">
        <f t="shared" si="0"/>
        <v>1076399</v>
      </c>
      <c r="D54" s="147">
        <v>1076399</v>
      </c>
      <c r="E54" s="147"/>
      <c r="F54" s="147"/>
      <c r="G54" s="147"/>
      <c r="H54" s="147">
        <f t="shared" si="1"/>
        <v>0</v>
      </c>
      <c r="I54" s="147"/>
      <c r="J54" s="147"/>
      <c r="K54" s="147"/>
      <c r="L54" s="147"/>
      <c r="M54" s="147"/>
      <c r="N54" s="146">
        <f t="shared" si="2"/>
        <v>1076399</v>
      </c>
    </row>
    <row r="55" spans="1:14" ht="12.75">
      <c r="A55" s="46" t="s">
        <v>419</v>
      </c>
      <c r="B55" s="102" t="s">
        <v>420</v>
      </c>
      <c r="C55" s="147">
        <f t="shared" si="0"/>
        <v>48115</v>
      </c>
      <c r="D55" s="147">
        <v>48115</v>
      </c>
      <c r="E55" s="147"/>
      <c r="F55" s="147"/>
      <c r="G55" s="147"/>
      <c r="H55" s="147"/>
      <c r="I55" s="147"/>
      <c r="J55" s="147"/>
      <c r="K55" s="147"/>
      <c r="L55" s="147"/>
      <c r="M55" s="147"/>
      <c r="N55" s="146">
        <f t="shared" si="2"/>
        <v>48115</v>
      </c>
    </row>
    <row r="56" spans="1:14" ht="25.5">
      <c r="A56" s="46" t="s">
        <v>173</v>
      </c>
      <c r="B56" s="102" t="s">
        <v>174</v>
      </c>
      <c r="C56" s="147">
        <f t="shared" si="0"/>
        <v>443654</v>
      </c>
      <c r="D56" s="147">
        <v>443654</v>
      </c>
      <c r="E56" s="147"/>
      <c r="F56" s="147"/>
      <c r="G56" s="147"/>
      <c r="H56" s="147">
        <f t="shared" si="1"/>
        <v>0</v>
      </c>
      <c r="I56" s="147"/>
      <c r="J56" s="147"/>
      <c r="K56" s="147"/>
      <c r="L56" s="147"/>
      <c r="M56" s="147"/>
      <c r="N56" s="146">
        <f t="shared" si="2"/>
        <v>443654</v>
      </c>
    </row>
    <row r="57" spans="1:14" ht="38.25">
      <c r="A57" s="46" t="s">
        <v>90</v>
      </c>
      <c r="B57" s="88" t="s">
        <v>148</v>
      </c>
      <c r="C57" s="147">
        <f t="shared" si="0"/>
        <v>781205</v>
      </c>
      <c r="D57" s="147">
        <f>D59+D60</f>
        <v>781205</v>
      </c>
      <c r="E57" s="147"/>
      <c r="F57" s="147"/>
      <c r="G57" s="147"/>
      <c r="H57" s="147">
        <f t="shared" si="1"/>
        <v>0</v>
      </c>
      <c r="I57" s="147"/>
      <c r="J57" s="147"/>
      <c r="K57" s="147"/>
      <c r="L57" s="147"/>
      <c r="M57" s="147"/>
      <c r="N57" s="146">
        <f t="shared" si="2"/>
        <v>781205</v>
      </c>
    </row>
    <row r="58" spans="1:14" ht="12.75">
      <c r="A58" s="46"/>
      <c r="B58" s="20" t="s">
        <v>145</v>
      </c>
      <c r="C58" s="147"/>
      <c r="D58" s="147"/>
      <c r="E58" s="147"/>
      <c r="F58" s="147"/>
      <c r="G58" s="147"/>
      <c r="H58" s="147"/>
      <c r="I58" s="147"/>
      <c r="J58" s="147"/>
      <c r="K58" s="147"/>
      <c r="L58" s="147"/>
      <c r="M58" s="147"/>
      <c r="N58" s="146"/>
    </row>
    <row r="59" spans="1:14" ht="63.75">
      <c r="A59" s="46"/>
      <c r="B59" s="20" t="s">
        <v>175</v>
      </c>
      <c r="C59" s="147">
        <f t="shared" si="0"/>
        <v>775980</v>
      </c>
      <c r="D59" s="147">
        <v>775980</v>
      </c>
      <c r="E59" s="147"/>
      <c r="F59" s="147"/>
      <c r="G59" s="147"/>
      <c r="H59" s="147">
        <f t="shared" si="1"/>
        <v>0</v>
      </c>
      <c r="I59" s="147"/>
      <c r="J59" s="147"/>
      <c r="K59" s="147"/>
      <c r="L59" s="147"/>
      <c r="M59" s="147"/>
      <c r="N59" s="146">
        <f t="shared" si="2"/>
        <v>775980</v>
      </c>
    </row>
    <row r="60" spans="1:14" ht="25.5">
      <c r="A60" s="46"/>
      <c r="B60" s="20" t="s">
        <v>176</v>
      </c>
      <c r="C60" s="147">
        <f t="shared" si="0"/>
        <v>5225</v>
      </c>
      <c r="D60" s="147">
        <v>5225</v>
      </c>
      <c r="E60" s="147"/>
      <c r="F60" s="147"/>
      <c r="G60" s="147"/>
      <c r="H60" s="147">
        <f t="shared" si="1"/>
        <v>0</v>
      </c>
      <c r="I60" s="147"/>
      <c r="J60" s="147"/>
      <c r="K60" s="147"/>
      <c r="L60" s="147"/>
      <c r="M60" s="147"/>
      <c r="N60" s="146">
        <f t="shared" si="2"/>
        <v>5225</v>
      </c>
    </row>
    <row r="61" spans="1:14" ht="25.5">
      <c r="A61" s="46" t="s">
        <v>48</v>
      </c>
      <c r="B61" s="20" t="s">
        <v>177</v>
      </c>
      <c r="C61" s="147">
        <f t="shared" si="0"/>
        <v>143983</v>
      </c>
      <c r="D61" s="147">
        <f>92100+36700+15183</f>
        <v>143983</v>
      </c>
      <c r="E61" s="147"/>
      <c r="F61" s="147"/>
      <c r="G61" s="147"/>
      <c r="H61" s="147">
        <f t="shared" si="1"/>
        <v>0</v>
      </c>
      <c r="I61" s="147"/>
      <c r="J61" s="147"/>
      <c r="K61" s="147"/>
      <c r="L61" s="147"/>
      <c r="M61" s="147"/>
      <c r="N61" s="146">
        <f t="shared" si="2"/>
        <v>143983</v>
      </c>
    </row>
    <row r="62" spans="1:14" ht="25.5">
      <c r="A62" s="46" t="s">
        <v>160</v>
      </c>
      <c r="B62" s="184" t="s">
        <v>417</v>
      </c>
      <c r="C62" s="147">
        <f>D62+G62</f>
        <v>25350</v>
      </c>
      <c r="D62" s="147">
        <v>25350</v>
      </c>
      <c r="E62" s="147"/>
      <c r="F62" s="147"/>
      <c r="G62" s="147"/>
      <c r="H62" s="147">
        <f>I62+L62</f>
        <v>0</v>
      </c>
      <c r="I62" s="147"/>
      <c r="J62" s="147"/>
      <c r="K62" s="147"/>
      <c r="L62" s="147"/>
      <c r="M62" s="147"/>
      <c r="N62" s="146">
        <f>C62+H62</f>
        <v>25350</v>
      </c>
    </row>
    <row r="63" spans="1:14" ht="25.5" hidden="1">
      <c r="A63" s="46" t="s">
        <v>321</v>
      </c>
      <c r="B63" s="79" t="s">
        <v>392</v>
      </c>
      <c r="C63" s="147">
        <f t="shared" si="0"/>
        <v>0</v>
      </c>
      <c r="D63" s="147"/>
      <c r="E63" s="147"/>
      <c r="F63" s="147"/>
      <c r="G63" s="147"/>
      <c r="H63" s="147"/>
      <c r="I63" s="147"/>
      <c r="J63" s="147"/>
      <c r="K63" s="147"/>
      <c r="L63" s="147"/>
      <c r="M63" s="147"/>
      <c r="N63" s="146">
        <f t="shared" si="2"/>
        <v>0</v>
      </c>
    </row>
    <row r="64" spans="1:14" ht="76.5" hidden="1">
      <c r="A64" s="45" t="s">
        <v>318</v>
      </c>
      <c r="B64" s="52" t="s">
        <v>320</v>
      </c>
      <c r="C64" s="147">
        <f t="shared" si="0"/>
        <v>0</v>
      </c>
      <c r="D64" s="147">
        <f>D66+D67</f>
        <v>0</v>
      </c>
      <c r="E64" s="147"/>
      <c r="F64" s="147"/>
      <c r="G64" s="147"/>
      <c r="H64" s="147">
        <f t="shared" si="1"/>
        <v>0</v>
      </c>
      <c r="I64" s="147"/>
      <c r="J64" s="147"/>
      <c r="K64" s="147"/>
      <c r="L64" s="147"/>
      <c r="M64" s="146"/>
      <c r="N64" s="146">
        <f t="shared" si="2"/>
        <v>0</v>
      </c>
    </row>
    <row r="65" spans="1:14" ht="12.75" hidden="1">
      <c r="A65" s="45"/>
      <c r="B65" s="20" t="s">
        <v>145</v>
      </c>
      <c r="C65" s="147"/>
      <c r="D65" s="147"/>
      <c r="E65" s="147"/>
      <c r="F65" s="147"/>
      <c r="G65" s="147"/>
      <c r="H65" s="147"/>
      <c r="I65" s="147"/>
      <c r="J65" s="147"/>
      <c r="K65" s="147"/>
      <c r="L65" s="147"/>
      <c r="M65" s="146"/>
      <c r="N65" s="146"/>
    </row>
    <row r="66" spans="1:14" ht="63.75" hidden="1">
      <c r="A66" s="45"/>
      <c r="B66" s="20" t="s">
        <v>175</v>
      </c>
      <c r="C66" s="147">
        <f t="shared" si="0"/>
        <v>0</v>
      </c>
      <c r="D66" s="147"/>
      <c r="E66" s="147"/>
      <c r="F66" s="147"/>
      <c r="G66" s="147"/>
      <c r="H66" s="147"/>
      <c r="I66" s="147"/>
      <c r="J66" s="147"/>
      <c r="K66" s="147"/>
      <c r="L66" s="147"/>
      <c r="M66" s="146"/>
      <c r="N66" s="146">
        <f t="shared" si="2"/>
        <v>0</v>
      </c>
    </row>
    <row r="67" spans="1:14" ht="25.5" hidden="1">
      <c r="A67" s="45"/>
      <c r="B67" s="20" t="s">
        <v>176</v>
      </c>
      <c r="C67" s="147">
        <f t="shared" si="0"/>
        <v>0</v>
      </c>
      <c r="D67" s="147"/>
      <c r="E67" s="147"/>
      <c r="F67" s="147"/>
      <c r="G67" s="147"/>
      <c r="H67" s="147"/>
      <c r="I67" s="147"/>
      <c r="J67" s="147"/>
      <c r="K67" s="147"/>
      <c r="L67" s="147"/>
      <c r="M67" s="146"/>
      <c r="N67" s="146">
        <f t="shared" si="2"/>
        <v>0</v>
      </c>
    </row>
    <row r="68" spans="1:14" ht="25.5">
      <c r="A68" s="46" t="s">
        <v>120</v>
      </c>
      <c r="B68" s="88" t="s">
        <v>149</v>
      </c>
      <c r="C68" s="147">
        <f t="shared" si="0"/>
        <v>1052111</v>
      </c>
      <c r="D68" s="147">
        <v>1052111</v>
      </c>
      <c r="E68" s="147"/>
      <c r="F68" s="147"/>
      <c r="G68" s="147"/>
      <c r="H68" s="147">
        <f t="shared" si="1"/>
        <v>0</v>
      </c>
      <c r="I68" s="147"/>
      <c r="J68" s="147"/>
      <c r="K68" s="147"/>
      <c r="L68" s="147"/>
      <c r="M68" s="147"/>
      <c r="N68" s="146">
        <f t="shared" si="2"/>
        <v>1052111</v>
      </c>
    </row>
    <row r="69" spans="1:14" ht="38.25">
      <c r="A69" s="45" t="s">
        <v>71</v>
      </c>
      <c r="B69" s="26" t="s">
        <v>446</v>
      </c>
      <c r="C69" s="147">
        <f t="shared" si="0"/>
        <v>39628</v>
      </c>
      <c r="D69" s="147">
        <f>57000-10000-1000-1000-5372</f>
        <v>39628</v>
      </c>
      <c r="E69" s="147"/>
      <c r="F69" s="147"/>
      <c r="G69" s="147"/>
      <c r="H69" s="147"/>
      <c r="I69" s="147"/>
      <c r="J69" s="147"/>
      <c r="K69" s="147"/>
      <c r="L69" s="147"/>
      <c r="M69" s="147"/>
      <c r="N69" s="146">
        <f t="shared" si="2"/>
        <v>39628</v>
      </c>
    </row>
    <row r="70" spans="1:14" s="124" customFormat="1" ht="25.5">
      <c r="A70" s="123" t="s">
        <v>376</v>
      </c>
      <c r="B70" s="131" t="s">
        <v>355</v>
      </c>
      <c r="C70" s="159">
        <f t="shared" si="0"/>
        <v>542761</v>
      </c>
      <c r="D70" s="159">
        <f>D71+D72+D73</f>
        <v>538761</v>
      </c>
      <c r="E70" s="159">
        <f>E71+E72</f>
        <v>106069</v>
      </c>
      <c r="F70" s="159">
        <f>F71+F72+F73</f>
        <v>130000</v>
      </c>
      <c r="G70" s="159">
        <f>G71+G72</f>
        <v>4000</v>
      </c>
      <c r="H70" s="159">
        <f t="shared" si="1"/>
        <v>36000</v>
      </c>
      <c r="I70" s="159">
        <f>I71+I72</f>
        <v>36000</v>
      </c>
      <c r="J70" s="159">
        <f>J71+J72</f>
        <v>0</v>
      </c>
      <c r="K70" s="159">
        <f>K71+K72</f>
        <v>6000</v>
      </c>
      <c r="L70" s="159">
        <f>L71+L72</f>
        <v>0</v>
      </c>
      <c r="M70" s="159">
        <f>M71+M72</f>
        <v>0</v>
      </c>
      <c r="N70" s="158">
        <f t="shared" si="2"/>
        <v>578761</v>
      </c>
    </row>
    <row r="71" spans="1:14" ht="12.75">
      <c r="A71" s="118" t="s">
        <v>22</v>
      </c>
      <c r="B71" s="79" t="s">
        <v>23</v>
      </c>
      <c r="C71" s="147">
        <f t="shared" si="0"/>
        <v>164261</v>
      </c>
      <c r="D71" s="147">
        <f>107343+7586+31906+7361+2665+3400</f>
        <v>160261</v>
      </c>
      <c r="E71" s="147">
        <f>67216+5570+23426+7361+2496</f>
        <v>106069</v>
      </c>
      <c r="F71" s="147"/>
      <c r="G71" s="147">
        <v>4000</v>
      </c>
      <c r="H71" s="147">
        <f t="shared" si="1"/>
        <v>0</v>
      </c>
      <c r="I71" s="147"/>
      <c r="J71" s="147"/>
      <c r="K71" s="147"/>
      <c r="L71" s="147"/>
      <c r="M71" s="147"/>
      <c r="N71" s="146">
        <f t="shared" si="2"/>
        <v>164261</v>
      </c>
    </row>
    <row r="72" spans="1:14" ht="12.75">
      <c r="A72" s="46">
        <v>100203</v>
      </c>
      <c r="B72" s="88" t="s">
        <v>53</v>
      </c>
      <c r="C72" s="147">
        <f t="shared" si="0"/>
        <v>325000</v>
      </c>
      <c r="D72" s="147">
        <f>275000+50000</f>
        <v>325000</v>
      </c>
      <c r="E72" s="147"/>
      <c r="F72" s="147">
        <f>80000+50000</f>
        <v>130000</v>
      </c>
      <c r="G72" s="147"/>
      <c r="H72" s="147">
        <f t="shared" si="1"/>
        <v>36000</v>
      </c>
      <c r="I72" s="147">
        <v>36000</v>
      </c>
      <c r="J72" s="147"/>
      <c r="K72" s="147">
        <v>6000</v>
      </c>
      <c r="L72" s="147"/>
      <c r="M72" s="147"/>
      <c r="N72" s="146">
        <f t="shared" si="2"/>
        <v>361000</v>
      </c>
    </row>
    <row r="73" spans="1:14" ht="38.25">
      <c r="A73" s="45" t="s">
        <v>71</v>
      </c>
      <c r="B73" s="26" t="s">
        <v>446</v>
      </c>
      <c r="C73" s="147">
        <f t="shared" si="0"/>
        <v>53500</v>
      </c>
      <c r="D73" s="147">
        <f>43500+10000</f>
        <v>53500</v>
      </c>
      <c r="E73" s="147"/>
      <c r="F73" s="147"/>
      <c r="G73" s="147"/>
      <c r="H73" s="147">
        <f t="shared" si="1"/>
        <v>0</v>
      </c>
      <c r="I73" s="147"/>
      <c r="J73" s="147"/>
      <c r="K73" s="147"/>
      <c r="L73" s="147"/>
      <c r="M73" s="147"/>
      <c r="N73" s="146">
        <f t="shared" si="2"/>
        <v>53500</v>
      </c>
    </row>
    <row r="74" spans="1:14" s="124" customFormat="1" ht="25.5">
      <c r="A74" s="123" t="s">
        <v>274</v>
      </c>
      <c r="B74" s="125" t="s">
        <v>356</v>
      </c>
      <c r="C74" s="159">
        <f t="shared" si="0"/>
        <v>311687</v>
      </c>
      <c r="D74" s="159">
        <f>D75</f>
        <v>303687</v>
      </c>
      <c r="E74" s="159">
        <f>E75</f>
        <v>199019</v>
      </c>
      <c r="F74" s="159">
        <f>F75</f>
        <v>0</v>
      </c>
      <c r="G74" s="159">
        <f>G75</f>
        <v>8000</v>
      </c>
      <c r="H74" s="179">
        <f t="shared" si="1"/>
        <v>971919.44</v>
      </c>
      <c r="I74" s="179">
        <f>I75+I76</f>
        <v>971919.44</v>
      </c>
      <c r="J74" s="159">
        <f>J75+J76</f>
        <v>0</v>
      </c>
      <c r="K74" s="159">
        <f>K75+K76</f>
        <v>0</v>
      </c>
      <c r="L74" s="159">
        <f>L75+L76</f>
        <v>0</v>
      </c>
      <c r="M74" s="159">
        <f>M75+M76</f>
        <v>0</v>
      </c>
      <c r="N74" s="180">
        <f t="shared" si="2"/>
        <v>1283606.44</v>
      </c>
    </row>
    <row r="75" spans="1:14" ht="12.75">
      <c r="A75" s="118" t="s">
        <v>22</v>
      </c>
      <c r="B75" s="79" t="s">
        <v>23</v>
      </c>
      <c r="C75" s="147">
        <f t="shared" si="0"/>
        <v>311687</v>
      </c>
      <c r="D75" s="147">
        <f>202673+714+14739+77232+6114+2215</f>
        <v>303687</v>
      </c>
      <c r="E75" s="147">
        <f>125379+10821+56705+6114</f>
        <v>199019</v>
      </c>
      <c r="F75" s="147"/>
      <c r="G75" s="147">
        <v>8000</v>
      </c>
      <c r="H75" s="147">
        <f t="shared" si="1"/>
        <v>0</v>
      </c>
      <c r="I75" s="147"/>
      <c r="J75" s="147"/>
      <c r="K75" s="147"/>
      <c r="L75" s="147"/>
      <c r="M75" s="147"/>
      <c r="N75" s="146">
        <f t="shared" si="2"/>
        <v>311687</v>
      </c>
    </row>
    <row r="76" spans="1:14" ht="59.25" customHeight="1">
      <c r="A76" s="118" t="s">
        <v>401</v>
      </c>
      <c r="B76" s="189" t="s">
        <v>402</v>
      </c>
      <c r="C76" s="147">
        <f t="shared" si="0"/>
        <v>0</v>
      </c>
      <c r="D76" s="147"/>
      <c r="E76" s="147"/>
      <c r="F76" s="147"/>
      <c r="G76" s="147"/>
      <c r="H76" s="177">
        <f t="shared" si="1"/>
        <v>971919.44</v>
      </c>
      <c r="I76" s="177">
        <v>971919.44</v>
      </c>
      <c r="J76" s="147"/>
      <c r="K76" s="147"/>
      <c r="L76" s="147"/>
      <c r="M76" s="147"/>
      <c r="N76" s="178">
        <f t="shared" si="2"/>
        <v>971919.44</v>
      </c>
    </row>
    <row r="77" spans="1:14" ht="12.75">
      <c r="A77" s="46"/>
      <c r="B77" s="88" t="s">
        <v>73</v>
      </c>
      <c r="C77" s="147">
        <f t="shared" si="0"/>
        <v>92503915</v>
      </c>
      <c r="D77" s="147">
        <f>D11+D24+D37+D70+D74</f>
        <v>91552589</v>
      </c>
      <c r="E77" s="147">
        <f>E11+E24+E37+E70+E74</f>
        <v>41886914</v>
      </c>
      <c r="F77" s="147">
        <f>F11+F24+F37+F70+F74</f>
        <v>6303391</v>
      </c>
      <c r="G77" s="147">
        <f>G11+G24+G37+G70+G74</f>
        <v>951326</v>
      </c>
      <c r="H77" s="177">
        <f t="shared" si="1"/>
        <v>5056385.4399999995</v>
      </c>
      <c r="I77" s="177">
        <f>I11+I24+I37+I70+I74</f>
        <v>4968035.4399999995</v>
      </c>
      <c r="J77" s="147">
        <f>J11+J24+J37+J70+J74</f>
        <v>973500</v>
      </c>
      <c r="K77" s="147">
        <f>K11+K24+K37+K70+K74</f>
        <v>248440</v>
      </c>
      <c r="L77" s="147">
        <f>L11+L24+L37+L70+L74</f>
        <v>88350</v>
      </c>
      <c r="M77" s="147">
        <f>M11+M24+M37+M70+M74</f>
        <v>0</v>
      </c>
      <c r="N77" s="178">
        <f t="shared" si="2"/>
        <v>97560300.44</v>
      </c>
    </row>
    <row r="78" ht="9" customHeight="1"/>
    <row r="79" spans="1:10" s="32" customFormat="1" ht="15" customHeight="1">
      <c r="A79" s="32" t="s">
        <v>239</v>
      </c>
      <c r="B79" s="190"/>
      <c r="C79" s="190"/>
      <c r="D79" s="190"/>
      <c r="E79" s="190"/>
      <c r="J79" s="32" t="s">
        <v>442</v>
      </c>
    </row>
    <row r="82" spans="3:8" ht="12.75">
      <c r="C82" s="78"/>
      <c r="H82" s="78"/>
    </row>
  </sheetData>
  <mergeCells count="10">
    <mergeCell ref="L1:N1"/>
    <mergeCell ref="L7:M7"/>
    <mergeCell ref="A5:M5"/>
    <mergeCell ref="C8:G8"/>
    <mergeCell ref="H8:M8"/>
    <mergeCell ref="L2:N2"/>
    <mergeCell ref="L3:N3"/>
    <mergeCell ref="N8:N9"/>
    <mergeCell ref="A8:A9"/>
    <mergeCell ref="B8:B9"/>
  </mergeCells>
  <printOptions/>
  <pageMargins left="0.9055118110236221" right="0.35433070866141736" top="0.54" bottom="0.28" header="0.38" footer="0.1968503937007874"/>
  <pageSetup fitToHeight="5" fitToWidth="1" horizontalDpi="300" verticalDpi="300" orientation="landscape" paperSize="9" scale="72"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showZeros="0" view="pageBreakPreview" zoomScale="75" zoomScaleNormal="75" zoomScaleSheetLayoutView="75" workbookViewId="0" topLeftCell="A1">
      <pane xSplit="2" ySplit="10" topLeftCell="G11" activePane="bottomRight" state="frozen"/>
      <selection pane="topLeft" activeCell="A1" sqref="A1"/>
      <selection pane="topRight" activeCell="C1" sqref="C1"/>
      <selection pane="bottomLeft" activeCell="A12" sqref="A12"/>
      <selection pane="bottomRight" activeCell="L3" sqref="L3"/>
    </sheetView>
  </sheetViews>
  <sheetFormatPr defaultColWidth="9.00390625" defaultRowHeight="12.75"/>
  <cols>
    <col min="1" max="1" width="8.00390625" style="21" customWidth="1"/>
    <col min="2" max="2" width="40.75390625" style="5" customWidth="1"/>
    <col min="3" max="3" width="12.125" style="22" customWidth="1"/>
    <col min="4" max="4" width="11.875" style="22" customWidth="1"/>
    <col min="5" max="5" width="12.00390625" style="22" customWidth="1"/>
    <col min="6" max="6" width="10.125" style="22" customWidth="1"/>
    <col min="7" max="7" width="11.375" style="22" customWidth="1"/>
    <col min="8" max="8" width="12.875" style="22" customWidth="1"/>
    <col min="9" max="9" width="13.00390625" style="22" customWidth="1"/>
    <col min="10" max="10" width="12.00390625" style="22" customWidth="1"/>
    <col min="11" max="11" width="10.00390625" style="22" customWidth="1"/>
    <col min="12" max="12" width="11.25390625" style="22" customWidth="1"/>
    <col min="13" max="13" width="9.00390625" style="22" customWidth="1"/>
    <col min="14" max="14" width="13.625" style="22" customWidth="1"/>
    <col min="15" max="16384" width="9.125" style="22" customWidth="1"/>
  </cols>
  <sheetData>
    <row r="1" spans="12:14" ht="18">
      <c r="L1" s="197" t="s">
        <v>225</v>
      </c>
      <c r="M1" s="197"/>
      <c r="N1" s="197"/>
    </row>
    <row r="2" spans="12:14" ht="18">
      <c r="L2" s="197" t="s">
        <v>112</v>
      </c>
      <c r="M2" s="197"/>
      <c r="N2" s="197"/>
    </row>
    <row r="3" spans="12:13" ht="18">
      <c r="L3" s="32" t="s">
        <v>451</v>
      </c>
      <c r="M3" s="32"/>
    </row>
    <row r="4" ht="9.75" customHeight="1"/>
    <row r="5" spans="1:14" ht="18">
      <c r="A5" s="198" t="s">
        <v>8</v>
      </c>
      <c r="B5" s="198"/>
      <c r="C5" s="198"/>
      <c r="D5" s="198"/>
      <c r="E5" s="198"/>
      <c r="F5" s="198"/>
      <c r="G5" s="198"/>
      <c r="H5" s="198"/>
      <c r="I5" s="198"/>
      <c r="J5" s="198"/>
      <c r="K5" s="198"/>
      <c r="L5" s="198"/>
      <c r="M5" s="198"/>
      <c r="N5" s="198"/>
    </row>
    <row r="6" ht="18" hidden="1">
      <c r="E6" s="32"/>
    </row>
    <row r="7" ht="12.75" customHeight="1">
      <c r="N7" s="22" t="s">
        <v>365</v>
      </c>
    </row>
    <row r="8" spans="1:14" ht="12.75">
      <c r="A8" s="193" t="s">
        <v>325</v>
      </c>
      <c r="B8" s="193" t="s">
        <v>326</v>
      </c>
      <c r="C8" s="196" t="s">
        <v>14</v>
      </c>
      <c r="D8" s="196"/>
      <c r="E8" s="196"/>
      <c r="F8" s="196"/>
      <c r="G8" s="196"/>
      <c r="H8" s="196" t="s">
        <v>15</v>
      </c>
      <c r="I8" s="196"/>
      <c r="J8" s="196"/>
      <c r="K8" s="196"/>
      <c r="L8" s="196"/>
      <c r="M8" s="196"/>
      <c r="N8" s="193" t="s">
        <v>179</v>
      </c>
    </row>
    <row r="9" spans="1:14" ht="51">
      <c r="A9" s="193"/>
      <c r="B9" s="193"/>
      <c r="C9" s="6" t="s">
        <v>180</v>
      </c>
      <c r="D9" s="6" t="s">
        <v>79</v>
      </c>
      <c r="E9" s="6" t="s">
        <v>181</v>
      </c>
      <c r="F9" s="6" t="s">
        <v>182</v>
      </c>
      <c r="G9" s="6" t="s">
        <v>254</v>
      </c>
      <c r="H9" s="6" t="s">
        <v>183</v>
      </c>
      <c r="I9" s="6" t="s">
        <v>184</v>
      </c>
      <c r="J9" s="6" t="s">
        <v>185</v>
      </c>
      <c r="K9" s="6" t="s">
        <v>182</v>
      </c>
      <c r="L9" s="6" t="s">
        <v>186</v>
      </c>
      <c r="M9" s="6" t="s">
        <v>187</v>
      </c>
      <c r="N9" s="193"/>
    </row>
    <row r="10" spans="1:14" ht="12.75">
      <c r="A10" s="6">
        <v>1</v>
      </c>
      <c r="B10" s="6">
        <v>2</v>
      </c>
      <c r="C10" s="6">
        <v>3</v>
      </c>
      <c r="D10" s="6">
        <v>4</v>
      </c>
      <c r="E10" s="6">
        <v>5</v>
      </c>
      <c r="F10" s="6">
        <v>6</v>
      </c>
      <c r="G10" s="6">
        <v>7</v>
      </c>
      <c r="H10" s="6">
        <v>8</v>
      </c>
      <c r="I10" s="6">
        <v>9</v>
      </c>
      <c r="J10" s="6">
        <v>10</v>
      </c>
      <c r="K10" s="6">
        <v>11</v>
      </c>
      <c r="L10" s="6">
        <v>12</v>
      </c>
      <c r="M10" s="6">
        <v>13</v>
      </c>
      <c r="N10" s="6">
        <v>14</v>
      </c>
    </row>
    <row r="11" spans="1:43" s="124" customFormat="1" ht="12.75">
      <c r="A11" s="126" t="s">
        <v>262</v>
      </c>
      <c r="B11" s="127" t="s">
        <v>357</v>
      </c>
      <c r="C11" s="170">
        <f>D11+G11</f>
        <v>9798716</v>
      </c>
      <c r="D11" s="170">
        <f>D12+D13+D17+D18+D19+D20+D21</f>
        <v>9651416</v>
      </c>
      <c r="E11" s="170">
        <f>E12+E13+E17+E18+E19+E20+E21</f>
        <v>5703057</v>
      </c>
      <c r="F11" s="170">
        <f>F12+F13+F17+F18+F19+F20+F21</f>
        <v>554373</v>
      </c>
      <c r="G11" s="170">
        <f>G12+G13+G17+G18+G19+G20+G21</f>
        <v>147300</v>
      </c>
      <c r="H11" s="170">
        <f>I11+L11</f>
        <v>970311</v>
      </c>
      <c r="I11" s="170">
        <f>I12+I13+I17+I18+I19+I20+I21</f>
        <v>920311</v>
      </c>
      <c r="J11" s="170">
        <f>J12+J13+J17+J18+J19+J20+J21</f>
        <v>316844</v>
      </c>
      <c r="K11" s="170">
        <f>K12+K13+K17+K18+K19+K20+K21</f>
        <v>21891</v>
      </c>
      <c r="L11" s="170">
        <f>L12+L13+L17+L18+L19+L20+L21</f>
        <v>50000</v>
      </c>
      <c r="M11" s="170">
        <f>M12+M13+M17+M18+M19+M20+M21</f>
        <v>0</v>
      </c>
      <c r="N11" s="170">
        <f>C11+H11</f>
        <v>10769027</v>
      </c>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row>
    <row r="12" spans="1:43" ht="12.75">
      <c r="A12" s="90" t="s">
        <v>22</v>
      </c>
      <c r="B12" s="7" t="s">
        <v>23</v>
      </c>
      <c r="C12" s="154">
        <f aca="true" t="shared" si="0" ref="C12:C85">D12+G12</f>
        <v>2320470</v>
      </c>
      <c r="D12" s="154">
        <f>1453322-12449+107050+698747+16800+10000</f>
        <v>2273470</v>
      </c>
      <c r="E12" s="154">
        <f>921969-9140+78598+513030</f>
        <v>1504457</v>
      </c>
      <c r="F12" s="154">
        <f>40100+10000</f>
        <v>50100</v>
      </c>
      <c r="G12" s="154">
        <f>40000+7000</f>
        <v>47000</v>
      </c>
      <c r="H12" s="154">
        <f aca="true" t="shared" si="1" ref="H12:H85">I12+L12</f>
        <v>0</v>
      </c>
      <c r="I12" s="154"/>
      <c r="J12" s="154"/>
      <c r="K12" s="154"/>
      <c r="L12" s="154"/>
      <c r="M12" s="154"/>
      <c r="N12" s="154">
        <f aca="true" t="shared" si="2" ref="N12:N85">C12+H12</f>
        <v>2320470</v>
      </c>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90" t="s">
        <v>33</v>
      </c>
      <c r="B13" s="7" t="s">
        <v>84</v>
      </c>
      <c r="C13" s="154">
        <f t="shared" si="0"/>
        <v>7357300</v>
      </c>
      <c r="D13" s="147">
        <f>D14+D15+D16</f>
        <v>7257000</v>
      </c>
      <c r="E13" s="147">
        <f>E14+E15+E16</f>
        <v>4198600</v>
      </c>
      <c r="F13" s="147">
        <f>F14+F15+F16</f>
        <v>504273</v>
      </c>
      <c r="G13" s="147">
        <f>G14+G15+G16</f>
        <v>100300</v>
      </c>
      <c r="H13" s="154">
        <f t="shared" si="1"/>
        <v>770311</v>
      </c>
      <c r="I13" s="147">
        <f>I14+I15+I16</f>
        <v>770311</v>
      </c>
      <c r="J13" s="147">
        <f>J14+J15+J16</f>
        <v>316844</v>
      </c>
      <c r="K13" s="147">
        <f>K14+K15+K16</f>
        <v>21891</v>
      </c>
      <c r="L13" s="147">
        <f>L14+L15+L16</f>
        <v>0</v>
      </c>
      <c r="M13" s="147">
        <f>M14+M15+M16</f>
        <v>0</v>
      </c>
      <c r="N13" s="154">
        <f t="shared" si="2"/>
        <v>8127611</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2.75">
      <c r="A14" s="90" t="s">
        <v>86</v>
      </c>
      <c r="B14" s="7" t="s">
        <v>87</v>
      </c>
      <c r="C14" s="154">
        <f t="shared" si="0"/>
        <v>3207111</v>
      </c>
      <c r="D14" s="154">
        <f>2818117-4406+16000+283400+43000+11000</f>
        <v>3167111</v>
      </c>
      <c r="E14" s="154">
        <f>1807043-14689</f>
        <v>1792354</v>
      </c>
      <c r="F14" s="154">
        <f>225162+15600+12000+16000+43000</f>
        <v>311762</v>
      </c>
      <c r="G14" s="154">
        <f>50000-10000</f>
        <v>40000</v>
      </c>
      <c r="H14" s="154">
        <f t="shared" si="1"/>
        <v>14000</v>
      </c>
      <c r="I14" s="154">
        <v>14000</v>
      </c>
      <c r="J14" s="154"/>
      <c r="K14" s="154">
        <v>6500</v>
      </c>
      <c r="L14" s="154"/>
      <c r="M14" s="154"/>
      <c r="N14" s="154">
        <f t="shared" si="2"/>
        <v>3221111</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c r="A15" s="90" t="s">
        <v>37</v>
      </c>
      <c r="B15" s="7" t="s">
        <v>88</v>
      </c>
      <c r="C15" s="154">
        <f t="shared" si="0"/>
        <v>4150189</v>
      </c>
      <c r="D15" s="154">
        <f>3719483+23000-4600+28406+16400+270200+37000</f>
        <v>4089889</v>
      </c>
      <c r="E15" s="154">
        <f>2391557+14689</f>
        <v>2406246</v>
      </c>
      <c r="F15" s="154">
        <f>119338+8400+11373+16400+37000</f>
        <v>192511</v>
      </c>
      <c r="G15" s="154">
        <f>67300-7000</f>
        <v>60300</v>
      </c>
      <c r="H15" s="154">
        <f t="shared" si="1"/>
        <v>756311</v>
      </c>
      <c r="I15" s="154">
        <v>756311</v>
      </c>
      <c r="J15" s="154">
        <v>316844</v>
      </c>
      <c r="K15" s="154">
        <v>15391</v>
      </c>
      <c r="L15" s="154"/>
      <c r="M15" s="154"/>
      <c r="N15" s="154">
        <f t="shared" si="2"/>
        <v>4906500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12.75" hidden="1">
      <c r="A16" s="89" t="s">
        <v>42</v>
      </c>
      <c r="B16" s="27" t="s">
        <v>43</v>
      </c>
      <c r="C16" s="154">
        <f t="shared" si="0"/>
        <v>0</v>
      </c>
      <c r="D16" s="154"/>
      <c r="E16" s="154"/>
      <c r="F16" s="154"/>
      <c r="G16" s="154"/>
      <c r="H16" s="154">
        <f t="shared" si="1"/>
        <v>0</v>
      </c>
      <c r="I16" s="154"/>
      <c r="J16" s="154"/>
      <c r="K16" s="154"/>
      <c r="L16" s="154"/>
      <c r="M16" s="154"/>
      <c r="N16" s="154">
        <f t="shared" si="2"/>
        <v>0</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25.5">
      <c r="A17" s="90" t="s">
        <v>48</v>
      </c>
      <c r="B17" s="7" t="s">
        <v>197</v>
      </c>
      <c r="C17" s="154">
        <f t="shared" si="0"/>
        <v>19360</v>
      </c>
      <c r="D17" s="147">
        <f>14060+5300</f>
        <v>19360</v>
      </c>
      <c r="E17" s="147"/>
      <c r="F17" s="147"/>
      <c r="G17" s="147"/>
      <c r="H17" s="154">
        <f t="shared" si="1"/>
        <v>0</v>
      </c>
      <c r="I17" s="147"/>
      <c r="J17" s="147"/>
      <c r="K17" s="147"/>
      <c r="L17" s="147"/>
      <c r="M17" s="147"/>
      <c r="N17" s="154">
        <f t="shared" si="2"/>
        <v>19360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38.25" hidden="1">
      <c r="A18" s="90" t="s">
        <v>160</v>
      </c>
      <c r="B18" s="7" t="s">
        <v>228</v>
      </c>
      <c r="C18" s="154">
        <f t="shared" si="0"/>
        <v>0</v>
      </c>
      <c r="D18" s="147"/>
      <c r="E18" s="147"/>
      <c r="F18" s="147"/>
      <c r="G18" s="147"/>
      <c r="H18" s="154">
        <f t="shared" si="1"/>
        <v>0</v>
      </c>
      <c r="I18" s="147"/>
      <c r="J18" s="147"/>
      <c r="K18" s="147"/>
      <c r="L18" s="147"/>
      <c r="M18" s="147"/>
      <c r="N18" s="154">
        <f t="shared" si="2"/>
        <v>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12.75" hidden="1">
      <c r="A19" s="90">
        <v>120201</v>
      </c>
      <c r="B19" s="7" t="s">
        <v>200</v>
      </c>
      <c r="C19" s="154">
        <f t="shared" si="0"/>
        <v>0</v>
      </c>
      <c r="D19" s="147"/>
      <c r="E19" s="147"/>
      <c r="F19" s="147"/>
      <c r="G19" s="147"/>
      <c r="H19" s="154">
        <f t="shared" si="1"/>
        <v>0</v>
      </c>
      <c r="I19" s="147"/>
      <c r="J19" s="147"/>
      <c r="K19" s="147"/>
      <c r="L19" s="147"/>
      <c r="M19" s="147"/>
      <c r="N19" s="154">
        <f t="shared" si="2"/>
        <v>0</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12.75">
      <c r="A20" s="90">
        <v>240900</v>
      </c>
      <c r="B20" s="7" t="s">
        <v>91</v>
      </c>
      <c r="C20" s="154">
        <f t="shared" si="0"/>
        <v>0</v>
      </c>
      <c r="D20" s="147"/>
      <c r="E20" s="147"/>
      <c r="F20" s="147"/>
      <c r="G20" s="147"/>
      <c r="H20" s="154">
        <f t="shared" si="1"/>
        <v>200000</v>
      </c>
      <c r="I20" s="147">
        <v>150000</v>
      </c>
      <c r="J20" s="147"/>
      <c r="K20" s="147"/>
      <c r="L20" s="147">
        <v>50000</v>
      </c>
      <c r="M20" s="147"/>
      <c r="N20" s="154">
        <f t="shared" si="2"/>
        <v>200000</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12.75">
      <c r="A21" s="90">
        <v>250404</v>
      </c>
      <c r="B21" s="27" t="s">
        <v>72</v>
      </c>
      <c r="C21" s="154">
        <f t="shared" si="0"/>
        <v>101586</v>
      </c>
      <c r="D21" s="147">
        <f>D22+D23+D24+D25+D26</f>
        <v>101586</v>
      </c>
      <c r="E21" s="147">
        <f>E22+E23+E24+E25</f>
        <v>0</v>
      </c>
      <c r="F21" s="147">
        <f>F22+F23+F24+F25</f>
        <v>0</v>
      </c>
      <c r="G21" s="147">
        <f>G22+G23+G24+G25</f>
        <v>0</v>
      </c>
      <c r="H21" s="154">
        <f t="shared" si="1"/>
        <v>0</v>
      </c>
      <c r="I21" s="147">
        <f>I22+I23+I24+I25</f>
        <v>0</v>
      </c>
      <c r="J21" s="147">
        <f>J22+J23+J24+J25</f>
        <v>0</v>
      </c>
      <c r="K21" s="147">
        <f>K22+K23+K24+K25</f>
        <v>0</v>
      </c>
      <c r="L21" s="147">
        <f>L22+L23+L24+L25</f>
        <v>0</v>
      </c>
      <c r="M21" s="147">
        <f>M22+M23+M24+M25</f>
        <v>0</v>
      </c>
      <c r="N21" s="154">
        <f t="shared" si="2"/>
        <v>101586</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43" ht="25.5">
      <c r="A22" s="90"/>
      <c r="B22" s="79" t="s">
        <v>241</v>
      </c>
      <c r="C22" s="154">
        <f t="shared" si="0"/>
        <v>21800</v>
      </c>
      <c r="D22" s="147">
        <v>21800</v>
      </c>
      <c r="E22" s="147"/>
      <c r="F22" s="147"/>
      <c r="G22" s="147"/>
      <c r="H22" s="154">
        <f t="shared" si="1"/>
        <v>0</v>
      </c>
      <c r="I22" s="147"/>
      <c r="J22" s="147"/>
      <c r="K22" s="147"/>
      <c r="L22" s="147"/>
      <c r="M22" s="147"/>
      <c r="N22" s="154">
        <f t="shared" si="2"/>
        <v>21800</v>
      </c>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38.25">
      <c r="A23" s="90"/>
      <c r="B23" s="26" t="s">
        <v>446</v>
      </c>
      <c r="C23" s="154">
        <f t="shared" si="0"/>
        <v>6666</v>
      </c>
      <c r="D23" s="147">
        <v>6666</v>
      </c>
      <c r="E23" s="147"/>
      <c r="F23" s="147"/>
      <c r="G23" s="147"/>
      <c r="H23" s="154">
        <f t="shared" si="1"/>
        <v>0</v>
      </c>
      <c r="I23" s="147"/>
      <c r="J23" s="147"/>
      <c r="K23" s="147"/>
      <c r="L23" s="147"/>
      <c r="M23" s="147"/>
      <c r="N23" s="154">
        <f t="shared" si="2"/>
        <v>6666</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38.25" hidden="1">
      <c r="A24" s="90"/>
      <c r="B24" s="108" t="s">
        <v>236</v>
      </c>
      <c r="C24" s="154">
        <f t="shared" si="0"/>
        <v>0</v>
      </c>
      <c r="D24" s="147"/>
      <c r="E24" s="147"/>
      <c r="F24" s="147"/>
      <c r="G24" s="147"/>
      <c r="H24" s="154">
        <f t="shared" si="1"/>
        <v>0</v>
      </c>
      <c r="I24" s="147"/>
      <c r="J24" s="147"/>
      <c r="K24" s="147"/>
      <c r="L24" s="147"/>
      <c r="M24" s="147"/>
      <c r="N24" s="154">
        <f t="shared" si="2"/>
        <v>0</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25.5">
      <c r="A25" s="90"/>
      <c r="B25" s="7" t="s">
        <v>242</v>
      </c>
      <c r="C25" s="154">
        <f t="shared" si="0"/>
        <v>3120</v>
      </c>
      <c r="D25" s="147">
        <v>3120</v>
      </c>
      <c r="E25" s="147"/>
      <c r="F25" s="147"/>
      <c r="G25" s="147"/>
      <c r="H25" s="154">
        <f t="shared" si="1"/>
        <v>0</v>
      </c>
      <c r="I25" s="147"/>
      <c r="J25" s="147"/>
      <c r="K25" s="147"/>
      <c r="L25" s="147"/>
      <c r="M25" s="147"/>
      <c r="N25" s="154">
        <f t="shared" si="2"/>
        <v>3120</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12.75">
      <c r="A26" s="90"/>
      <c r="B26" s="7" t="s">
        <v>146</v>
      </c>
      <c r="C26" s="154">
        <f t="shared" si="0"/>
        <v>70000</v>
      </c>
      <c r="D26" s="147">
        <f>45000+25000</f>
        <v>70000</v>
      </c>
      <c r="E26" s="147"/>
      <c r="F26" s="147"/>
      <c r="G26" s="147"/>
      <c r="H26" s="154"/>
      <c r="I26" s="147"/>
      <c r="J26" s="147"/>
      <c r="K26" s="147"/>
      <c r="L26" s="147"/>
      <c r="M26" s="147"/>
      <c r="N26" s="154">
        <f t="shared" si="2"/>
        <v>70000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s="124" customFormat="1" ht="25.5">
      <c r="A27" s="126" t="s">
        <v>266</v>
      </c>
      <c r="B27" s="127" t="s">
        <v>358</v>
      </c>
      <c r="C27" s="170">
        <f t="shared" si="0"/>
        <v>31967408</v>
      </c>
      <c r="D27" s="170">
        <f>D28+D29+D40+D41</f>
        <v>31788908</v>
      </c>
      <c r="E27" s="170">
        <f>E28+E29+E40+E41</f>
        <v>18213471</v>
      </c>
      <c r="F27" s="170">
        <f>F28+F29+F40+F41</f>
        <v>2871015</v>
      </c>
      <c r="G27" s="170">
        <f>G28+G29+G40+G41</f>
        <v>178500</v>
      </c>
      <c r="H27" s="170">
        <f t="shared" si="1"/>
        <v>1432835</v>
      </c>
      <c r="I27" s="170">
        <f>I28+I29</f>
        <v>1423658</v>
      </c>
      <c r="J27" s="170">
        <f>J28+J29</f>
        <v>60595</v>
      </c>
      <c r="K27" s="170">
        <f>K28+K29</f>
        <v>120713</v>
      </c>
      <c r="L27" s="170">
        <f>L28+L29</f>
        <v>9177</v>
      </c>
      <c r="M27" s="170">
        <f>M28+M29</f>
        <v>0</v>
      </c>
      <c r="N27" s="170">
        <f t="shared" si="2"/>
        <v>33400243</v>
      </c>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row>
    <row r="28" spans="1:43" ht="12.75">
      <c r="A28" s="90" t="s">
        <v>22</v>
      </c>
      <c r="B28" s="7" t="s">
        <v>23</v>
      </c>
      <c r="C28" s="154">
        <f t="shared" si="0"/>
        <v>172531</v>
      </c>
      <c r="D28" s="154">
        <f>116832+8032+44167</f>
        <v>169031</v>
      </c>
      <c r="E28" s="154">
        <f>83443+5897+32428</f>
        <v>121768</v>
      </c>
      <c r="F28" s="154"/>
      <c r="G28" s="154">
        <v>3500</v>
      </c>
      <c r="H28" s="154">
        <f t="shared" si="1"/>
        <v>0</v>
      </c>
      <c r="I28" s="154"/>
      <c r="J28" s="154"/>
      <c r="K28" s="154"/>
      <c r="L28" s="154"/>
      <c r="M28" s="154"/>
      <c r="N28" s="154">
        <f t="shared" si="2"/>
        <v>172531</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12.75">
      <c r="A29" s="90" t="s">
        <v>24</v>
      </c>
      <c r="B29" s="7" t="s">
        <v>188</v>
      </c>
      <c r="C29" s="154">
        <f t="shared" si="0"/>
        <v>31778410</v>
      </c>
      <c r="D29" s="147">
        <f>D31+D30+D32+D33+D35+D36+D37+D34+D38+D39</f>
        <v>31603410</v>
      </c>
      <c r="E29" s="147">
        <f>E31+E30+E32+E33+E35+E36+E37+E34+E38+E39</f>
        <v>18091703</v>
      </c>
      <c r="F29" s="147">
        <f>F31+F30+F32+F33+F35+F36+F37+F34+F38+F39</f>
        <v>2871015</v>
      </c>
      <c r="G29" s="147">
        <f>G31+G30+G32+G33+G35+G36+G37+G34+G38+G39</f>
        <v>175000</v>
      </c>
      <c r="H29" s="154">
        <f t="shared" si="1"/>
        <v>1432835</v>
      </c>
      <c r="I29" s="147">
        <f>I31+I30+I32+I33+I35+I36+I37+I34+I38+I39</f>
        <v>1423658</v>
      </c>
      <c r="J29" s="147">
        <f>J31+J30+J32+J33+J35+J36+J37+J34+J38+J39</f>
        <v>60595</v>
      </c>
      <c r="K29" s="147">
        <f>K31+K30+K32+K33+K35+K36+K37+K34+K38+K39</f>
        <v>120713</v>
      </c>
      <c r="L29" s="147">
        <f>L31+L30+L32+L33+L35+L36+L37+L34+L38+L39</f>
        <v>9177</v>
      </c>
      <c r="M29" s="147">
        <f>M31+M30+M32+M33+M35+M36+M37</f>
        <v>0</v>
      </c>
      <c r="N29" s="154">
        <f t="shared" si="2"/>
        <v>33211245</v>
      </c>
      <c r="O29" s="54"/>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12.75">
      <c r="A30" s="90" t="s">
        <v>80</v>
      </c>
      <c r="B30" s="7" t="s">
        <v>76</v>
      </c>
      <c r="C30" s="154">
        <f t="shared" si="0"/>
        <v>10142210</v>
      </c>
      <c r="D30" s="154">
        <f>9306739-43801+320800-130800+19739+364475+190058</f>
        <v>10027210</v>
      </c>
      <c r="E30" s="154">
        <f>5194818+37400-1512</f>
        <v>5230706</v>
      </c>
      <c r="F30" s="154">
        <f>904296+65397+21251+190058</f>
        <v>1181002</v>
      </c>
      <c r="G30" s="154">
        <f>115000</f>
        <v>115000</v>
      </c>
      <c r="H30" s="154">
        <f t="shared" si="1"/>
        <v>1129135</v>
      </c>
      <c r="I30" s="154">
        <v>1129135</v>
      </c>
      <c r="J30" s="154"/>
      <c r="K30" s="154">
        <v>2525</v>
      </c>
      <c r="L30" s="154"/>
      <c r="M30" s="154"/>
      <c r="N30" s="154">
        <f t="shared" si="2"/>
        <v>11271345</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45.75" customHeight="1">
      <c r="A31" s="90" t="s">
        <v>26</v>
      </c>
      <c r="B31" s="7" t="s">
        <v>280</v>
      </c>
      <c r="C31" s="154">
        <f t="shared" si="0"/>
        <v>19175753</v>
      </c>
      <c r="D31" s="154">
        <f>18375774+76780+388000-280000-18071+280000+303270</f>
        <v>19125753</v>
      </c>
      <c r="E31" s="154">
        <v>11936438</v>
      </c>
      <c r="F31" s="154">
        <f>1288250+62639-15903+303270</f>
        <v>1638256</v>
      </c>
      <c r="G31" s="154">
        <f>50000</f>
        <v>50000</v>
      </c>
      <c r="H31" s="154">
        <f t="shared" si="1"/>
        <v>273505</v>
      </c>
      <c r="I31" s="154">
        <v>267405</v>
      </c>
      <c r="J31" s="154">
        <v>60595</v>
      </c>
      <c r="K31" s="154">
        <v>103503</v>
      </c>
      <c r="L31" s="154">
        <v>6100</v>
      </c>
      <c r="M31" s="154"/>
      <c r="N31" s="154">
        <f t="shared" si="2"/>
        <v>19449258</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12.75" hidden="1">
      <c r="A32" s="90" t="s">
        <v>81</v>
      </c>
      <c r="B32" s="7" t="s">
        <v>96</v>
      </c>
      <c r="C32" s="154">
        <f t="shared" si="0"/>
        <v>0</v>
      </c>
      <c r="D32" s="154"/>
      <c r="E32" s="154"/>
      <c r="F32" s="154"/>
      <c r="G32" s="154"/>
      <c r="H32" s="154">
        <f t="shared" si="1"/>
        <v>0</v>
      </c>
      <c r="I32" s="154"/>
      <c r="J32" s="154"/>
      <c r="K32" s="154"/>
      <c r="L32" s="154"/>
      <c r="M32" s="154"/>
      <c r="N32" s="154">
        <f t="shared" si="2"/>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48" customHeight="1">
      <c r="A33" s="90" t="s">
        <v>82</v>
      </c>
      <c r="B33" s="7" t="s">
        <v>83</v>
      </c>
      <c r="C33" s="154">
        <f t="shared" si="0"/>
        <v>247867</v>
      </c>
      <c r="D33" s="154">
        <f>238291+9576</f>
        <v>247867</v>
      </c>
      <c r="E33" s="154">
        <f>174957+7053</f>
        <v>182010</v>
      </c>
      <c r="F33" s="154"/>
      <c r="G33" s="154"/>
      <c r="H33" s="154">
        <f t="shared" si="1"/>
        <v>0</v>
      </c>
      <c r="I33" s="154"/>
      <c r="J33" s="154"/>
      <c r="K33" s="154"/>
      <c r="L33" s="154"/>
      <c r="M33" s="154"/>
      <c r="N33" s="154">
        <f t="shared" si="2"/>
        <v>247867</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45.75" customHeight="1" hidden="1">
      <c r="A34" s="45" t="s">
        <v>373</v>
      </c>
      <c r="B34" s="51" t="s">
        <v>374</v>
      </c>
      <c r="C34" s="154">
        <f t="shared" si="0"/>
        <v>0</v>
      </c>
      <c r="D34" s="154"/>
      <c r="E34" s="154"/>
      <c r="F34" s="154"/>
      <c r="G34" s="154"/>
      <c r="H34" s="154">
        <f t="shared" si="1"/>
        <v>0</v>
      </c>
      <c r="I34" s="154"/>
      <c r="J34" s="154"/>
      <c r="K34" s="154"/>
      <c r="L34" s="154"/>
      <c r="M34" s="154"/>
      <c r="N34" s="154">
        <f t="shared" si="2"/>
        <v>0</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25.5">
      <c r="A35" s="90" t="s">
        <v>29</v>
      </c>
      <c r="B35" s="7" t="s">
        <v>281</v>
      </c>
      <c r="C35" s="154">
        <f t="shared" si="0"/>
        <v>251052</v>
      </c>
      <c r="D35" s="154">
        <f>304993-46600-7341</f>
        <v>251052</v>
      </c>
      <c r="E35" s="154">
        <f>223930-35000-5541</f>
        <v>183389</v>
      </c>
      <c r="F35" s="154"/>
      <c r="G35" s="154"/>
      <c r="H35" s="154">
        <f t="shared" si="1"/>
        <v>0</v>
      </c>
      <c r="I35" s="154"/>
      <c r="J35" s="154"/>
      <c r="K35" s="154"/>
      <c r="L35" s="154"/>
      <c r="M35" s="154"/>
      <c r="N35" s="154">
        <f t="shared" si="2"/>
        <v>251052</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5.5">
      <c r="A36" s="90" t="s">
        <v>30</v>
      </c>
      <c r="B36" s="7" t="s">
        <v>282</v>
      </c>
      <c r="C36" s="154">
        <f t="shared" si="0"/>
        <v>497672</v>
      </c>
      <c r="D36" s="154">
        <f>491872-4200</f>
        <v>487672</v>
      </c>
      <c r="E36" s="154">
        <f>343458-2400</f>
        <v>341058</v>
      </c>
      <c r="F36" s="154"/>
      <c r="G36" s="154">
        <v>10000</v>
      </c>
      <c r="H36" s="154">
        <f t="shared" si="1"/>
        <v>0</v>
      </c>
      <c r="I36" s="154"/>
      <c r="J36" s="154"/>
      <c r="K36" s="154"/>
      <c r="L36" s="154"/>
      <c r="M36" s="154"/>
      <c r="N36" s="154">
        <f t="shared" si="2"/>
        <v>497672</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c r="A37" s="90" t="s">
        <v>31</v>
      </c>
      <c r="B37" s="7" t="s">
        <v>32</v>
      </c>
      <c r="C37" s="154">
        <f t="shared" si="0"/>
        <v>427481</v>
      </c>
      <c r="D37" s="154">
        <f>417226+7486-3903+6672</f>
        <v>427481</v>
      </c>
      <c r="E37" s="154">
        <v>218102</v>
      </c>
      <c r="F37" s="154">
        <f>42947+7486-5348+6672</f>
        <v>51757</v>
      </c>
      <c r="G37" s="154"/>
      <c r="H37" s="154">
        <f t="shared" si="1"/>
        <v>30195</v>
      </c>
      <c r="I37" s="154">
        <v>27118</v>
      </c>
      <c r="J37" s="154"/>
      <c r="K37" s="154">
        <v>14685</v>
      </c>
      <c r="L37" s="154">
        <v>3077</v>
      </c>
      <c r="M37" s="154"/>
      <c r="N37" s="154">
        <f t="shared" si="2"/>
        <v>457676</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14" s="17" customFormat="1" ht="38.25">
      <c r="A38" s="45" t="s">
        <v>371</v>
      </c>
      <c r="B38" s="27" t="s">
        <v>372</v>
      </c>
      <c r="C38" s="147">
        <f t="shared" si="0"/>
        <v>25440</v>
      </c>
      <c r="D38" s="147">
        <f>15105+10335</f>
        <v>25440</v>
      </c>
      <c r="E38" s="147"/>
      <c r="F38" s="147"/>
      <c r="G38" s="147"/>
      <c r="H38" s="147">
        <f t="shared" si="1"/>
        <v>0</v>
      </c>
      <c r="I38" s="147"/>
      <c r="J38" s="147"/>
      <c r="K38" s="147"/>
      <c r="L38" s="147"/>
      <c r="M38" s="147"/>
      <c r="N38" s="146">
        <f t="shared" si="2"/>
        <v>25440</v>
      </c>
    </row>
    <row r="39" spans="1:16" ht="88.5" customHeight="1">
      <c r="A39" s="45" t="s">
        <v>398</v>
      </c>
      <c r="B39" s="27" t="s">
        <v>399</v>
      </c>
      <c r="C39" s="143">
        <f t="shared" si="0"/>
        <v>1010935</v>
      </c>
      <c r="D39" s="143">
        <v>1010935</v>
      </c>
      <c r="E39" s="143"/>
      <c r="F39" s="143"/>
      <c r="G39" s="143"/>
      <c r="H39" s="143">
        <f t="shared" si="1"/>
        <v>0</v>
      </c>
      <c r="I39" s="143"/>
      <c r="J39" s="143"/>
      <c r="K39" s="143"/>
      <c r="L39" s="143"/>
      <c r="M39" s="143"/>
      <c r="N39" s="142">
        <f t="shared" si="2"/>
        <v>1010935</v>
      </c>
      <c r="O39" s="144"/>
      <c r="P39" s="144"/>
    </row>
    <row r="40" spans="1:16" ht="63.75">
      <c r="A40" s="45" t="s">
        <v>309</v>
      </c>
      <c r="B40" s="27" t="s">
        <v>415</v>
      </c>
      <c r="C40" s="143">
        <f t="shared" si="0"/>
        <v>8467</v>
      </c>
      <c r="D40" s="154">
        <v>8467</v>
      </c>
      <c r="E40" s="143"/>
      <c r="F40" s="143"/>
      <c r="G40" s="143"/>
      <c r="H40" s="143">
        <f t="shared" si="1"/>
        <v>0</v>
      </c>
      <c r="I40" s="143"/>
      <c r="J40" s="143"/>
      <c r="K40" s="143"/>
      <c r="L40" s="143"/>
      <c r="M40" s="143"/>
      <c r="N40" s="142">
        <f t="shared" si="2"/>
        <v>8467</v>
      </c>
      <c r="O40" s="144"/>
      <c r="P40" s="144"/>
    </row>
    <row r="41" spans="1:16" ht="38.25">
      <c r="A41" s="45" t="s">
        <v>71</v>
      </c>
      <c r="B41" s="26" t="s">
        <v>446</v>
      </c>
      <c r="C41" s="143">
        <f t="shared" si="0"/>
        <v>8000</v>
      </c>
      <c r="D41" s="154">
        <v>8000</v>
      </c>
      <c r="E41" s="143"/>
      <c r="F41" s="143"/>
      <c r="G41" s="143"/>
      <c r="H41" s="143"/>
      <c r="I41" s="143"/>
      <c r="J41" s="143"/>
      <c r="K41" s="143"/>
      <c r="L41" s="143"/>
      <c r="M41" s="143"/>
      <c r="N41" s="142">
        <f t="shared" si="2"/>
        <v>8000</v>
      </c>
      <c r="O41" s="144"/>
      <c r="P41" s="144"/>
    </row>
    <row r="42" spans="1:43" s="124" customFormat="1" ht="38.25">
      <c r="A42" s="126" t="s">
        <v>267</v>
      </c>
      <c r="B42" s="127" t="s">
        <v>359</v>
      </c>
      <c r="C42" s="170">
        <f t="shared" si="0"/>
        <v>13731708</v>
      </c>
      <c r="D42" s="170">
        <f>D43+D44+D74</f>
        <v>13690208</v>
      </c>
      <c r="E42" s="170">
        <f>E43+E44+E74</f>
        <v>1044598</v>
      </c>
      <c r="F42" s="170">
        <f>F43+F44+F74</f>
        <v>30558</v>
      </c>
      <c r="G42" s="170">
        <f>G43+G44+G74</f>
        <v>41500</v>
      </c>
      <c r="H42" s="170">
        <f t="shared" si="1"/>
        <v>0</v>
      </c>
      <c r="I42" s="170">
        <f>I43+I44</f>
        <v>0</v>
      </c>
      <c r="J42" s="170">
        <f>J43+J44</f>
        <v>0</v>
      </c>
      <c r="K42" s="170">
        <f>K43+K44</f>
        <v>0</v>
      </c>
      <c r="L42" s="170">
        <f>L43+L44</f>
        <v>0</v>
      </c>
      <c r="M42" s="170">
        <f>M43+M44</f>
        <v>0</v>
      </c>
      <c r="N42" s="170">
        <f t="shared" si="2"/>
        <v>13731708</v>
      </c>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row>
    <row r="43" spans="1:43" ht="12.75">
      <c r="A43" s="90" t="s">
        <v>22</v>
      </c>
      <c r="B43" s="7" t="s">
        <v>23</v>
      </c>
      <c r="C43" s="154">
        <f t="shared" si="0"/>
        <v>1536615</v>
      </c>
      <c r="D43" s="154">
        <f>929140+72159+423350+66208+4258</f>
        <v>1495115</v>
      </c>
      <c r="E43" s="154">
        <f>632188+52980+310830+48600</f>
        <v>1044598</v>
      </c>
      <c r="F43" s="154">
        <f>26300+4258</f>
        <v>30558</v>
      </c>
      <c r="G43" s="154">
        <f>38000+3500</f>
        <v>41500</v>
      </c>
      <c r="H43" s="154">
        <f t="shared" si="1"/>
        <v>0</v>
      </c>
      <c r="I43" s="154"/>
      <c r="J43" s="154"/>
      <c r="K43" s="154"/>
      <c r="L43" s="154"/>
      <c r="M43" s="154"/>
      <c r="N43" s="154">
        <f t="shared" si="2"/>
        <v>1536615</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25.5">
      <c r="A44" s="90" t="s">
        <v>47</v>
      </c>
      <c r="B44" s="7" t="s">
        <v>147</v>
      </c>
      <c r="C44" s="154">
        <f t="shared" si="0"/>
        <v>12177259</v>
      </c>
      <c r="D44" s="147">
        <f>D45+D46+D47+D48+D49+D50+D51+D52+D53+D56+D57+D58+D59+D60+D62+D63+D67+D70+D73+D54+D68+D69+D61</f>
        <v>12177259</v>
      </c>
      <c r="E44" s="147"/>
      <c r="F44" s="147"/>
      <c r="G44" s="147"/>
      <c r="H44" s="154">
        <f t="shared" si="1"/>
        <v>0</v>
      </c>
      <c r="I44" s="147"/>
      <c r="J44" s="147"/>
      <c r="K44" s="147"/>
      <c r="L44" s="147"/>
      <c r="M44" s="147"/>
      <c r="N44" s="154">
        <f t="shared" si="2"/>
        <v>12177259</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16.75">
      <c r="A45" s="90" t="s">
        <v>158</v>
      </c>
      <c r="B45" s="88" t="s">
        <v>429</v>
      </c>
      <c r="C45" s="154">
        <f t="shared" si="0"/>
        <v>4937994</v>
      </c>
      <c r="D45" s="147">
        <f>4545994+392000</f>
        <v>4937994</v>
      </c>
      <c r="E45" s="147"/>
      <c r="F45" s="147"/>
      <c r="G45" s="147"/>
      <c r="H45" s="154">
        <f t="shared" si="1"/>
        <v>0</v>
      </c>
      <c r="I45" s="147"/>
      <c r="J45" s="147"/>
      <c r="K45" s="147"/>
      <c r="L45" s="147"/>
      <c r="M45" s="147"/>
      <c r="N45" s="154">
        <f t="shared" si="2"/>
        <v>4937994</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191.25">
      <c r="A46" s="90" t="s">
        <v>164</v>
      </c>
      <c r="B46" s="88" t="s">
        <v>430</v>
      </c>
      <c r="C46" s="154">
        <f t="shared" si="0"/>
        <v>3038</v>
      </c>
      <c r="D46" s="154">
        <v>3038</v>
      </c>
      <c r="E46" s="154"/>
      <c r="F46" s="154"/>
      <c r="G46" s="154"/>
      <c r="H46" s="154">
        <f t="shared" si="1"/>
        <v>0</v>
      </c>
      <c r="I46" s="154"/>
      <c r="J46" s="154"/>
      <c r="K46" s="154"/>
      <c r="L46" s="154"/>
      <c r="M46" s="154"/>
      <c r="N46" s="154">
        <f t="shared" si="2"/>
        <v>3038</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04">
      <c r="A47" s="90" t="s">
        <v>165</v>
      </c>
      <c r="B47" s="88" t="s">
        <v>432</v>
      </c>
      <c r="C47" s="154">
        <f t="shared" si="0"/>
        <v>551917</v>
      </c>
      <c r="D47" s="154">
        <f>719717-125000-42800</f>
        <v>551917</v>
      </c>
      <c r="E47" s="154"/>
      <c r="F47" s="154"/>
      <c r="G47" s="154"/>
      <c r="H47" s="154">
        <f t="shared" si="1"/>
        <v>0</v>
      </c>
      <c r="I47" s="154"/>
      <c r="J47" s="154"/>
      <c r="K47" s="154"/>
      <c r="L47" s="154"/>
      <c r="M47" s="154"/>
      <c r="N47" s="154">
        <f t="shared" si="2"/>
        <v>551917</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ht="344.25">
      <c r="A48" s="90" t="s">
        <v>166</v>
      </c>
      <c r="B48" s="20" t="s">
        <v>436</v>
      </c>
      <c r="C48" s="154">
        <f t="shared" si="0"/>
        <v>383722</v>
      </c>
      <c r="D48" s="154">
        <v>383722</v>
      </c>
      <c r="E48" s="154"/>
      <c r="F48" s="154"/>
      <c r="G48" s="154"/>
      <c r="H48" s="154">
        <f t="shared" si="1"/>
        <v>0</v>
      </c>
      <c r="I48" s="154"/>
      <c r="J48" s="154"/>
      <c r="K48" s="154"/>
      <c r="L48" s="154"/>
      <c r="M48" s="154"/>
      <c r="N48" s="154">
        <f t="shared" si="2"/>
        <v>383722</v>
      </c>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ht="51" hidden="1">
      <c r="A49" s="90" t="s">
        <v>167</v>
      </c>
      <c r="B49" s="7" t="s">
        <v>189</v>
      </c>
      <c r="C49" s="154">
        <f t="shared" si="0"/>
        <v>0</v>
      </c>
      <c r="D49" s="154"/>
      <c r="E49" s="154"/>
      <c r="F49" s="154"/>
      <c r="G49" s="154"/>
      <c r="H49" s="154">
        <f t="shared" si="1"/>
        <v>0</v>
      </c>
      <c r="I49" s="154"/>
      <c r="J49" s="154"/>
      <c r="K49" s="154"/>
      <c r="L49" s="154"/>
      <c r="M49" s="154"/>
      <c r="N49" s="154">
        <f t="shared" si="2"/>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127.5">
      <c r="A50" s="90" t="s">
        <v>159</v>
      </c>
      <c r="B50" s="20" t="s">
        <v>11</v>
      </c>
      <c r="C50" s="154">
        <f t="shared" si="0"/>
        <v>31798</v>
      </c>
      <c r="D50" s="154">
        <f>34598-2800</f>
        <v>31798</v>
      </c>
      <c r="E50" s="154"/>
      <c r="F50" s="154"/>
      <c r="G50" s="154"/>
      <c r="H50" s="154">
        <f t="shared" si="1"/>
        <v>0</v>
      </c>
      <c r="I50" s="154"/>
      <c r="J50" s="154"/>
      <c r="K50" s="154"/>
      <c r="L50" s="154"/>
      <c r="M50" s="154"/>
      <c r="N50" s="154">
        <f t="shared" si="2"/>
        <v>31798</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76.5">
      <c r="A51" s="90" t="s">
        <v>168</v>
      </c>
      <c r="B51" s="20" t="s">
        <v>433</v>
      </c>
      <c r="C51" s="154">
        <f t="shared" si="0"/>
        <v>238927</v>
      </c>
      <c r="D51" s="154">
        <f>240287-1360</f>
        <v>238927</v>
      </c>
      <c r="E51" s="154"/>
      <c r="F51" s="154"/>
      <c r="G51" s="154"/>
      <c r="H51" s="154">
        <f t="shared" si="1"/>
        <v>0</v>
      </c>
      <c r="I51" s="154"/>
      <c r="J51" s="154"/>
      <c r="K51" s="154"/>
      <c r="L51" s="154"/>
      <c r="M51" s="154"/>
      <c r="N51" s="154">
        <f t="shared" si="2"/>
        <v>238927</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76.5">
      <c r="A52" s="90" t="s">
        <v>169</v>
      </c>
      <c r="B52" s="20" t="s">
        <v>434</v>
      </c>
      <c r="C52" s="154">
        <f t="shared" si="0"/>
        <v>420</v>
      </c>
      <c r="D52" s="154">
        <f>400+20</f>
        <v>420</v>
      </c>
      <c r="E52" s="154"/>
      <c r="F52" s="154"/>
      <c r="G52" s="154"/>
      <c r="H52" s="154">
        <f t="shared" si="1"/>
        <v>0</v>
      </c>
      <c r="I52" s="154"/>
      <c r="J52" s="154"/>
      <c r="K52" s="154"/>
      <c r="L52" s="154"/>
      <c r="M52" s="154"/>
      <c r="N52" s="154">
        <f t="shared" si="2"/>
        <v>420</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63.75">
      <c r="A53" s="90" t="s">
        <v>170</v>
      </c>
      <c r="B53" s="20" t="s">
        <v>435</v>
      </c>
      <c r="C53" s="154">
        <f t="shared" si="0"/>
        <v>28612</v>
      </c>
      <c r="D53" s="154">
        <f>70112-30000-11500</f>
        <v>28612</v>
      </c>
      <c r="E53" s="154"/>
      <c r="F53" s="154"/>
      <c r="G53" s="154"/>
      <c r="H53" s="154">
        <f t="shared" si="1"/>
        <v>0</v>
      </c>
      <c r="I53" s="154"/>
      <c r="J53" s="154"/>
      <c r="K53" s="154"/>
      <c r="L53" s="154"/>
      <c r="M53" s="154"/>
      <c r="N53" s="154">
        <f t="shared" si="2"/>
        <v>28612</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40.25">
      <c r="A54" s="89" t="s">
        <v>380</v>
      </c>
      <c r="B54" s="7" t="s">
        <v>2</v>
      </c>
      <c r="C54" s="154">
        <f t="shared" si="0"/>
        <v>37</v>
      </c>
      <c r="D54" s="154">
        <v>37</v>
      </c>
      <c r="E54" s="154"/>
      <c r="F54" s="154"/>
      <c r="G54" s="154"/>
      <c r="H54" s="154"/>
      <c r="I54" s="154"/>
      <c r="J54" s="154"/>
      <c r="K54" s="154"/>
      <c r="L54" s="154"/>
      <c r="M54" s="154"/>
      <c r="N54" s="154">
        <f t="shared" si="2"/>
        <v>37</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ht="12.75" hidden="1">
      <c r="A55" s="90" t="s">
        <v>126</v>
      </c>
      <c r="B55" s="88" t="s">
        <v>243</v>
      </c>
      <c r="C55" s="154">
        <f t="shared" si="0"/>
        <v>0</v>
      </c>
      <c r="D55" s="154"/>
      <c r="E55" s="154"/>
      <c r="F55" s="154"/>
      <c r="G55" s="154"/>
      <c r="H55" s="154">
        <f t="shared" si="1"/>
        <v>0</v>
      </c>
      <c r="I55" s="154"/>
      <c r="J55" s="154"/>
      <c r="K55" s="154"/>
      <c r="L55" s="154"/>
      <c r="M55" s="154"/>
      <c r="N55" s="154">
        <f t="shared" si="2"/>
        <v>0</v>
      </c>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row>
    <row r="56" spans="1:43" ht="12.75">
      <c r="A56" s="90" t="s">
        <v>127</v>
      </c>
      <c r="B56" s="7" t="s">
        <v>190</v>
      </c>
      <c r="C56" s="154">
        <f t="shared" si="0"/>
        <v>161000</v>
      </c>
      <c r="D56" s="154">
        <f>161000</f>
        <v>161000</v>
      </c>
      <c r="E56" s="154"/>
      <c r="F56" s="154"/>
      <c r="G56" s="154"/>
      <c r="H56" s="154">
        <f t="shared" si="1"/>
        <v>0</v>
      </c>
      <c r="I56" s="154"/>
      <c r="J56" s="154"/>
      <c r="K56" s="154"/>
      <c r="L56" s="154"/>
      <c r="M56" s="154"/>
      <c r="N56" s="154">
        <f t="shared" si="2"/>
        <v>161000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25.5">
      <c r="A57" s="90" t="s">
        <v>128</v>
      </c>
      <c r="B57" s="7" t="s">
        <v>191</v>
      </c>
      <c r="C57" s="154">
        <f t="shared" si="0"/>
        <v>1078514</v>
      </c>
      <c r="D57" s="154">
        <f>1078514</f>
        <v>1078514</v>
      </c>
      <c r="E57" s="154"/>
      <c r="F57" s="154"/>
      <c r="G57" s="154"/>
      <c r="H57" s="154">
        <f t="shared" si="1"/>
        <v>0</v>
      </c>
      <c r="I57" s="154"/>
      <c r="J57" s="154"/>
      <c r="K57" s="154"/>
      <c r="L57" s="154"/>
      <c r="M57" s="154"/>
      <c r="N57" s="154">
        <f t="shared" si="2"/>
        <v>1078514</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25.5">
      <c r="A58" s="90" t="s">
        <v>129</v>
      </c>
      <c r="B58" s="7" t="s">
        <v>103</v>
      </c>
      <c r="C58" s="154">
        <f t="shared" si="0"/>
        <v>1705280</v>
      </c>
      <c r="D58" s="154">
        <f>1705280</f>
        <v>1705280</v>
      </c>
      <c r="E58" s="154"/>
      <c r="F58" s="154"/>
      <c r="G58" s="154"/>
      <c r="H58" s="154">
        <f t="shared" si="1"/>
        <v>0</v>
      </c>
      <c r="I58" s="154"/>
      <c r="J58" s="154"/>
      <c r="K58" s="154"/>
      <c r="L58" s="154"/>
      <c r="M58" s="154"/>
      <c r="N58" s="154">
        <f t="shared" si="2"/>
        <v>1705280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25.5">
      <c r="A59" s="90" t="s">
        <v>89</v>
      </c>
      <c r="B59" s="7" t="s">
        <v>192</v>
      </c>
      <c r="C59" s="154">
        <f t="shared" si="0"/>
        <v>345700</v>
      </c>
      <c r="D59" s="154">
        <v>345700</v>
      </c>
      <c r="E59" s="154"/>
      <c r="F59" s="154"/>
      <c r="G59" s="154"/>
      <c r="H59" s="154">
        <f t="shared" si="1"/>
        <v>0</v>
      </c>
      <c r="I59" s="154"/>
      <c r="J59" s="154"/>
      <c r="K59" s="154"/>
      <c r="L59" s="154"/>
      <c r="M59" s="154"/>
      <c r="N59" s="154">
        <f t="shared" si="2"/>
        <v>345700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 r="A60" s="90" t="s">
        <v>233</v>
      </c>
      <c r="B60" s="7" t="s">
        <v>171</v>
      </c>
      <c r="C60" s="154">
        <f t="shared" si="0"/>
        <v>972090</v>
      </c>
      <c r="D60" s="154">
        <f>972090</f>
        <v>972090</v>
      </c>
      <c r="E60" s="154"/>
      <c r="F60" s="154"/>
      <c r="G60" s="154"/>
      <c r="H60" s="154">
        <f t="shared" si="1"/>
        <v>0</v>
      </c>
      <c r="I60" s="154"/>
      <c r="J60" s="154"/>
      <c r="K60" s="154"/>
      <c r="L60" s="154"/>
      <c r="M60" s="154"/>
      <c r="N60" s="154">
        <f t="shared" si="2"/>
        <v>972090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75">
      <c r="A61" s="89" t="s">
        <v>419</v>
      </c>
      <c r="B61" s="102" t="s">
        <v>420</v>
      </c>
      <c r="C61" s="154">
        <f t="shared" si="0"/>
        <v>43188</v>
      </c>
      <c r="D61" s="154">
        <v>43188</v>
      </c>
      <c r="E61" s="154"/>
      <c r="F61" s="154"/>
      <c r="G61" s="154"/>
      <c r="H61" s="154"/>
      <c r="I61" s="154"/>
      <c r="J61" s="154"/>
      <c r="K61" s="154"/>
      <c r="L61" s="154"/>
      <c r="M61" s="154"/>
      <c r="N61" s="154">
        <f t="shared" si="2"/>
        <v>43188</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25.5">
      <c r="A62" s="90" t="s">
        <v>173</v>
      </c>
      <c r="B62" s="7" t="s">
        <v>193</v>
      </c>
      <c r="C62" s="154">
        <f t="shared" si="0"/>
        <v>337923</v>
      </c>
      <c r="D62" s="154">
        <f>337923</f>
        <v>337923</v>
      </c>
      <c r="E62" s="154"/>
      <c r="F62" s="154"/>
      <c r="G62" s="154"/>
      <c r="H62" s="154">
        <f t="shared" si="1"/>
        <v>0</v>
      </c>
      <c r="I62" s="154"/>
      <c r="J62" s="154"/>
      <c r="K62" s="154"/>
      <c r="L62" s="154"/>
      <c r="M62" s="154"/>
      <c r="N62" s="154">
        <f t="shared" si="2"/>
        <v>337923</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38.25">
      <c r="A63" s="90" t="s">
        <v>90</v>
      </c>
      <c r="B63" s="7" t="s">
        <v>148</v>
      </c>
      <c r="C63" s="154">
        <f t="shared" si="0"/>
        <v>363024</v>
      </c>
      <c r="D63" s="147">
        <f>D65+D66</f>
        <v>363024</v>
      </c>
      <c r="E63" s="147"/>
      <c r="F63" s="147"/>
      <c r="G63" s="147"/>
      <c r="H63" s="154">
        <f t="shared" si="1"/>
        <v>0</v>
      </c>
      <c r="I63" s="147"/>
      <c r="J63" s="147"/>
      <c r="K63" s="147"/>
      <c r="L63" s="147"/>
      <c r="M63" s="147"/>
      <c r="N63" s="154">
        <f t="shared" si="2"/>
        <v>363024</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ht="12.75">
      <c r="A64" s="90"/>
      <c r="B64" s="7" t="s">
        <v>194</v>
      </c>
      <c r="C64" s="154"/>
      <c r="D64" s="147"/>
      <c r="E64" s="147"/>
      <c r="F64" s="147"/>
      <c r="G64" s="147"/>
      <c r="H64" s="154"/>
      <c r="I64" s="147"/>
      <c r="J64" s="147"/>
      <c r="K64" s="147"/>
      <c r="L64" s="147"/>
      <c r="M64" s="147"/>
      <c r="N64" s="154"/>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row>
    <row r="65" spans="1:43" ht="63.75">
      <c r="A65" s="90"/>
      <c r="B65" s="7" t="s">
        <v>195</v>
      </c>
      <c r="C65" s="154">
        <f t="shared" si="0"/>
        <v>362768</v>
      </c>
      <c r="D65" s="154">
        <f>753408-390640</f>
        <v>362768</v>
      </c>
      <c r="E65" s="154"/>
      <c r="F65" s="154"/>
      <c r="G65" s="154"/>
      <c r="H65" s="154">
        <f t="shared" si="1"/>
        <v>0</v>
      </c>
      <c r="I65" s="154"/>
      <c r="J65" s="154"/>
      <c r="K65" s="154"/>
      <c r="L65" s="154"/>
      <c r="M65" s="154"/>
      <c r="N65" s="154">
        <f t="shared" si="2"/>
        <v>362768</v>
      </c>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ht="25.5">
      <c r="A66" s="90"/>
      <c r="B66" s="7" t="s">
        <v>196</v>
      </c>
      <c r="C66" s="154">
        <f t="shared" si="0"/>
        <v>256</v>
      </c>
      <c r="D66" s="154">
        <f>276-20</f>
        <v>256</v>
      </c>
      <c r="E66" s="154"/>
      <c r="F66" s="154"/>
      <c r="G66" s="154"/>
      <c r="H66" s="154">
        <f t="shared" si="1"/>
        <v>0</v>
      </c>
      <c r="I66" s="154"/>
      <c r="J66" s="154"/>
      <c r="K66" s="154"/>
      <c r="L66" s="154"/>
      <c r="M66" s="154"/>
      <c r="N66" s="154">
        <f t="shared" si="2"/>
        <v>256</v>
      </c>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row>
    <row r="67" spans="1:43" ht="25.5">
      <c r="A67" s="90" t="s">
        <v>48</v>
      </c>
      <c r="B67" s="7" t="s">
        <v>197</v>
      </c>
      <c r="C67" s="154">
        <f t="shared" si="0"/>
        <v>85940</v>
      </c>
      <c r="D67" s="147">
        <f>62340+22000+1600</f>
        <v>85940</v>
      </c>
      <c r="E67" s="147"/>
      <c r="F67" s="147"/>
      <c r="G67" s="147"/>
      <c r="H67" s="154">
        <f t="shared" si="1"/>
        <v>0</v>
      </c>
      <c r="I67" s="147"/>
      <c r="J67" s="147"/>
      <c r="K67" s="147"/>
      <c r="L67" s="147"/>
      <c r="M67" s="147"/>
      <c r="N67" s="154">
        <f t="shared" si="2"/>
        <v>85940</v>
      </c>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row>
    <row r="68" spans="1:43" ht="25.5">
      <c r="A68" s="90" t="s">
        <v>160</v>
      </c>
      <c r="B68" s="184" t="s">
        <v>417</v>
      </c>
      <c r="C68" s="154">
        <f>D68+G68</f>
        <v>19500</v>
      </c>
      <c r="D68" s="147">
        <v>19500</v>
      </c>
      <c r="E68" s="147"/>
      <c r="F68" s="147"/>
      <c r="G68" s="147"/>
      <c r="H68" s="154">
        <f>I68+L68</f>
        <v>0</v>
      </c>
      <c r="I68" s="147"/>
      <c r="J68" s="147"/>
      <c r="K68" s="147"/>
      <c r="L68" s="147"/>
      <c r="M68" s="147"/>
      <c r="N68" s="154">
        <f>C68+H68</f>
        <v>19500</v>
      </c>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row>
    <row r="69" spans="1:43" ht="25.5" hidden="1">
      <c r="A69" s="89" t="s">
        <v>321</v>
      </c>
      <c r="B69" s="79" t="s">
        <v>392</v>
      </c>
      <c r="C69" s="154">
        <f t="shared" si="0"/>
        <v>0</v>
      </c>
      <c r="D69" s="147"/>
      <c r="E69" s="147"/>
      <c r="F69" s="147"/>
      <c r="G69" s="147"/>
      <c r="H69" s="154"/>
      <c r="I69" s="147"/>
      <c r="J69" s="147"/>
      <c r="K69" s="147"/>
      <c r="L69" s="147"/>
      <c r="M69" s="147"/>
      <c r="N69" s="154">
        <f t="shared" si="2"/>
        <v>0</v>
      </c>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ht="76.5" hidden="1">
      <c r="A70" s="89" t="s">
        <v>318</v>
      </c>
      <c r="B70" s="7" t="s">
        <v>320</v>
      </c>
      <c r="C70" s="154">
        <f t="shared" si="0"/>
        <v>0</v>
      </c>
      <c r="D70" s="147"/>
      <c r="E70" s="147"/>
      <c r="F70" s="147"/>
      <c r="G70" s="147"/>
      <c r="H70" s="154">
        <f t="shared" si="1"/>
        <v>0</v>
      </c>
      <c r="I70" s="147"/>
      <c r="J70" s="147"/>
      <c r="K70" s="147"/>
      <c r="L70" s="147"/>
      <c r="M70" s="147"/>
      <c r="N70" s="154">
        <f t="shared" si="2"/>
        <v>0</v>
      </c>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row>
    <row r="71" spans="1:43" ht="12.75" hidden="1">
      <c r="A71" s="89"/>
      <c r="B71" s="7" t="s">
        <v>194</v>
      </c>
      <c r="C71" s="154"/>
      <c r="D71" s="147"/>
      <c r="E71" s="147"/>
      <c r="F71" s="147"/>
      <c r="G71" s="147"/>
      <c r="H71" s="154"/>
      <c r="I71" s="147"/>
      <c r="J71" s="147"/>
      <c r="K71" s="147"/>
      <c r="L71" s="147"/>
      <c r="M71" s="147"/>
      <c r="N71" s="154"/>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row>
    <row r="72" spans="1:43" ht="63.75" hidden="1">
      <c r="A72" s="89"/>
      <c r="B72" s="7" t="s">
        <v>195</v>
      </c>
      <c r="C72" s="154">
        <f t="shared" si="0"/>
        <v>0</v>
      </c>
      <c r="D72" s="147"/>
      <c r="E72" s="147"/>
      <c r="F72" s="147"/>
      <c r="G72" s="147"/>
      <c r="H72" s="154"/>
      <c r="I72" s="147"/>
      <c r="J72" s="147"/>
      <c r="K72" s="147"/>
      <c r="L72" s="147"/>
      <c r="M72" s="147"/>
      <c r="N72" s="154">
        <f t="shared" si="2"/>
        <v>0</v>
      </c>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row>
    <row r="73" spans="1:43" ht="25.5">
      <c r="A73" s="90" t="s">
        <v>120</v>
      </c>
      <c r="B73" s="7" t="s">
        <v>198</v>
      </c>
      <c r="C73" s="154">
        <f t="shared" si="0"/>
        <v>888635</v>
      </c>
      <c r="D73" s="154">
        <f>888635</f>
        <v>888635</v>
      </c>
      <c r="E73" s="154"/>
      <c r="F73" s="154"/>
      <c r="G73" s="154"/>
      <c r="H73" s="154">
        <f t="shared" si="1"/>
        <v>0</v>
      </c>
      <c r="I73" s="154"/>
      <c r="J73" s="154"/>
      <c r="K73" s="154"/>
      <c r="L73" s="154"/>
      <c r="M73" s="154"/>
      <c r="N73" s="154">
        <f t="shared" si="2"/>
        <v>888635</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row>
    <row r="74" spans="1:43" ht="38.25">
      <c r="A74" s="45" t="s">
        <v>71</v>
      </c>
      <c r="B74" s="26" t="s">
        <v>446</v>
      </c>
      <c r="C74" s="154">
        <f t="shared" si="0"/>
        <v>17834</v>
      </c>
      <c r="D74" s="154">
        <f>16834+1000</f>
        <v>17834</v>
      </c>
      <c r="E74" s="154"/>
      <c r="F74" s="154"/>
      <c r="G74" s="154"/>
      <c r="H74" s="154"/>
      <c r="I74" s="154"/>
      <c r="J74" s="154"/>
      <c r="K74" s="154"/>
      <c r="L74" s="154"/>
      <c r="M74" s="154"/>
      <c r="N74" s="154">
        <f t="shared" si="2"/>
        <v>17834</v>
      </c>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row>
    <row r="75" spans="1:43" s="124" customFormat="1" ht="25.5">
      <c r="A75" s="126" t="s">
        <v>274</v>
      </c>
      <c r="B75" s="127" t="s">
        <v>360</v>
      </c>
      <c r="C75" s="170">
        <f t="shared" si="0"/>
        <v>331845</v>
      </c>
      <c r="D75" s="170">
        <f>D76</f>
        <v>323045</v>
      </c>
      <c r="E75" s="170">
        <f>E76</f>
        <v>200547</v>
      </c>
      <c r="F75" s="170">
        <f>F76</f>
        <v>8600</v>
      </c>
      <c r="G75" s="170">
        <f>G76</f>
        <v>8800</v>
      </c>
      <c r="H75" s="181">
        <f t="shared" si="1"/>
        <v>3089012.54</v>
      </c>
      <c r="I75" s="181">
        <f>I76+I77</f>
        <v>3089012.54</v>
      </c>
      <c r="J75" s="170">
        <f>J76</f>
        <v>0</v>
      </c>
      <c r="K75" s="170">
        <f>K76</f>
        <v>0</v>
      </c>
      <c r="L75" s="170">
        <f>L76</f>
        <v>0</v>
      </c>
      <c r="M75" s="170">
        <f>M76</f>
        <v>0</v>
      </c>
      <c r="N75" s="181">
        <f t="shared" si="2"/>
        <v>3420857.54</v>
      </c>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row>
    <row r="76" spans="1:43" ht="12.75">
      <c r="A76" s="90" t="s">
        <v>22</v>
      </c>
      <c r="B76" s="7" t="s">
        <v>23</v>
      </c>
      <c r="C76" s="154">
        <f t="shared" si="0"/>
        <v>331845</v>
      </c>
      <c r="D76" s="154">
        <f>224740+14256+82649+1400</f>
        <v>323045</v>
      </c>
      <c r="E76" s="154">
        <f>129398+10467+60682</f>
        <v>200547</v>
      </c>
      <c r="F76" s="154">
        <f>7200+1400</f>
        <v>8600</v>
      </c>
      <c r="G76" s="154">
        <f>1800+7000</f>
        <v>8800</v>
      </c>
      <c r="H76" s="154">
        <f t="shared" si="1"/>
        <v>0</v>
      </c>
      <c r="I76" s="154"/>
      <c r="J76" s="154"/>
      <c r="K76" s="154"/>
      <c r="L76" s="154"/>
      <c r="M76" s="154"/>
      <c r="N76" s="154">
        <f t="shared" si="2"/>
        <v>331845</v>
      </c>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row>
    <row r="77" spans="1:14" s="17" customFormat="1" ht="76.5">
      <c r="A77" s="118" t="s">
        <v>401</v>
      </c>
      <c r="B77" s="79" t="s">
        <v>402</v>
      </c>
      <c r="C77" s="147">
        <f t="shared" si="0"/>
        <v>0</v>
      </c>
      <c r="D77" s="147"/>
      <c r="E77" s="147"/>
      <c r="F77" s="147"/>
      <c r="G77" s="147"/>
      <c r="H77" s="177">
        <f t="shared" si="1"/>
        <v>3089012.54</v>
      </c>
      <c r="I77" s="177">
        <v>3089012.54</v>
      </c>
      <c r="J77" s="147"/>
      <c r="K77" s="147"/>
      <c r="L77" s="147"/>
      <c r="M77" s="147"/>
      <c r="N77" s="178">
        <f t="shared" si="2"/>
        <v>3089012.54</v>
      </c>
    </row>
    <row r="78" spans="1:43" s="124" customFormat="1" ht="25.5">
      <c r="A78" s="129" t="s">
        <v>376</v>
      </c>
      <c r="B78" s="127" t="s">
        <v>361</v>
      </c>
      <c r="C78" s="170">
        <f t="shared" si="0"/>
        <v>321500</v>
      </c>
      <c r="D78" s="159">
        <f>D79+D80</f>
        <v>231500</v>
      </c>
      <c r="E78" s="159">
        <f>E79+E80</f>
        <v>0</v>
      </c>
      <c r="F78" s="159">
        <f>F79+F80</f>
        <v>111000</v>
      </c>
      <c r="G78" s="159">
        <f>G79+G80</f>
        <v>90000</v>
      </c>
      <c r="H78" s="170">
        <f t="shared" si="1"/>
        <v>2500</v>
      </c>
      <c r="I78" s="159">
        <f>I79</f>
        <v>2500</v>
      </c>
      <c r="J78" s="159">
        <f>J79</f>
        <v>0</v>
      </c>
      <c r="K78" s="159">
        <f>K79</f>
        <v>0</v>
      </c>
      <c r="L78" s="159">
        <f>L79</f>
        <v>0</v>
      </c>
      <c r="M78" s="159">
        <f>M79</f>
        <v>0</v>
      </c>
      <c r="N78" s="170">
        <f t="shared" si="2"/>
        <v>324000</v>
      </c>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row>
    <row r="79" spans="1:43" ht="12.75">
      <c r="A79" s="89">
        <v>100203</v>
      </c>
      <c r="B79" s="7" t="s">
        <v>199</v>
      </c>
      <c r="C79" s="154">
        <f t="shared" si="0"/>
        <v>305000</v>
      </c>
      <c r="D79" s="147">
        <f>158000+30000+27000</f>
        <v>215000</v>
      </c>
      <c r="E79" s="147"/>
      <c r="F79" s="147">
        <f>81000+30000</f>
        <v>111000</v>
      </c>
      <c r="G79" s="147">
        <f>117000-27000</f>
        <v>90000</v>
      </c>
      <c r="H79" s="154">
        <f t="shared" si="1"/>
        <v>2500</v>
      </c>
      <c r="I79" s="147">
        <v>2500</v>
      </c>
      <c r="J79" s="147"/>
      <c r="K79" s="147"/>
      <c r="L79" s="147"/>
      <c r="M79" s="147"/>
      <c r="N79" s="154">
        <f t="shared" si="2"/>
        <v>307500</v>
      </c>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row>
    <row r="80" spans="1:43" ht="38.25">
      <c r="A80" s="45" t="s">
        <v>71</v>
      </c>
      <c r="B80" s="26" t="s">
        <v>446</v>
      </c>
      <c r="C80" s="154">
        <f t="shared" si="0"/>
        <v>16500</v>
      </c>
      <c r="D80" s="147">
        <v>16500</v>
      </c>
      <c r="E80" s="147"/>
      <c r="F80" s="147"/>
      <c r="G80" s="147"/>
      <c r="H80" s="154"/>
      <c r="I80" s="147"/>
      <c r="J80" s="147"/>
      <c r="K80" s="147"/>
      <c r="L80" s="147"/>
      <c r="M80" s="147"/>
      <c r="N80" s="154">
        <f t="shared" si="2"/>
        <v>16500</v>
      </c>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1:43" ht="12.75" hidden="1">
      <c r="A81" s="90">
        <v>120200</v>
      </c>
      <c r="B81" s="7" t="s">
        <v>152</v>
      </c>
      <c r="C81" s="154">
        <f t="shared" si="0"/>
        <v>0</v>
      </c>
      <c r="D81" s="147"/>
      <c r="E81" s="147"/>
      <c r="F81" s="147"/>
      <c r="G81" s="147"/>
      <c r="H81" s="154">
        <f t="shared" si="1"/>
        <v>0</v>
      </c>
      <c r="I81" s="147"/>
      <c r="J81" s="147"/>
      <c r="K81" s="147"/>
      <c r="L81" s="147"/>
      <c r="M81" s="147"/>
      <c r="N81" s="154">
        <f t="shared" si="2"/>
        <v>0</v>
      </c>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1:43" ht="12.75" hidden="1">
      <c r="A82" s="89">
        <v>130000</v>
      </c>
      <c r="B82" s="7" t="s">
        <v>77</v>
      </c>
      <c r="C82" s="154">
        <f t="shared" si="0"/>
        <v>0</v>
      </c>
      <c r="D82" s="154"/>
      <c r="E82" s="154"/>
      <c r="F82" s="154"/>
      <c r="G82" s="154"/>
      <c r="H82" s="154">
        <f t="shared" si="1"/>
        <v>0</v>
      </c>
      <c r="I82" s="154"/>
      <c r="J82" s="154"/>
      <c r="K82" s="154"/>
      <c r="L82" s="154"/>
      <c r="M82" s="154"/>
      <c r="N82" s="154">
        <f t="shared" si="2"/>
        <v>0</v>
      </c>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ht="12.75" hidden="1">
      <c r="A83" s="89" t="s">
        <v>240</v>
      </c>
      <c r="B83" s="7" t="s">
        <v>85</v>
      </c>
      <c r="C83" s="154">
        <f t="shared" si="0"/>
        <v>0</v>
      </c>
      <c r="D83" s="147"/>
      <c r="E83" s="147"/>
      <c r="F83" s="147"/>
      <c r="G83" s="147"/>
      <c r="H83" s="154">
        <f t="shared" si="1"/>
        <v>0</v>
      </c>
      <c r="I83" s="147"/>
      <c r="J83" s="147"/>
      <c r="K83" s="147"/>
      <c r="L83" s="147"/>
      <c r="M83" s="147"/>
      <c r="N83" s="154">
        <f t="shared" si="2"/>
        <v>0</v>
      </c>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1:43" ht="25.5" hidden="1">
      <c r="A84" s="89">
        <v>130102</v>
      </c>
      <c r="B84" s="7" t="s">
        <v>61</v>
      </c>
      <c r="C84" s="154">
        <f t="shared" si="0"/>
        <v>0</v>
      </c>
      <c r="D84" s="147"/>
      <c r="E84" s="147"/>
      <c r="F84" s="147"/>
      <c r="G84" s="147"/>
      <c r="H84" s="154">
        <f t="shared" si="1"/>
        <v>0</v>
      </c>
      <c r="I84" s="147"/>
      <c r="J84" s="147"/>
      <c r="K84" s="147"/>
      <c r="L84" s="147"/>
      <c r="M84" s="147"/>
      <c r="N84" s="154">
        <f t="shared" si="2"/>
        <v>0</v>
      </c>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row>
    <row r="85" spans="1:43" s="17" customFormat="1" ht="12.75">
      <c r="A85" s="87">
        <v>900202</v>
      </c>
      <c r="B85" s="77" t="s">
        <v>201</v>
      </c>
      <c r="C85" s="154">
        <f t="shared" si="0"/>
        <v>56151177</v>
      </c>
      <c r="D85" s="147">
        <f>D11+D27+D42+D75+D78</f>
        <v>55685077</v>
      </c>
      <c r="E85" s="147">
        <f>E11+E27+E42+E75+E78</f>
        <v>25161673</v>
      </c>
      <c r="F85" s="147">
        <f>F11+F27+F42+F75+F78</f>
        <v>3575546</v>
      </c>
      <c r="G85" s="147">
        <f>G11+G27+G42+G75+G78</f>
        <v>466100</v>
      </c>
      <c r="H85" s="185">
        <f t="shared" si="1"/>
        <v>5494658.54</v>
      </c>
      <c r="I85" s="177">
        <f>I11+I27+I42+I75+I78</f>
        <v>5435481.54</v>
      </c>
      <c r="J85" s="147">
        <f>J11+J27+J42+J75+J78</f>
        <v>377439</v>
      </c>
      <c r="K85" s="147">
        <f>K11+K27+K42+K75+K78</f>
        <v>142604</v>
      </c>
      <c r="L85" s="147">
        <f>L11+L27+L42+L75+L78</f>
        <v>59177</v>
      </c>
      <c r="M85" s="147">
        <f>M11+M27+M42+M75+M78</f>
        <v>0</v>
      </c>
      <c r="N85" s="185">
        <f t="shared" si="2"/>
        <v>61645835.54</v>
      </c>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row>
    <row r="87" spans="1:10" s="32" customFormat="1" ht="15" customHeight="1">
      <c r="A87" s="32" t="s">
        <v>239</v>
      </c>
      <c r="B87" s="190"/>
      <c r="C87" s="190"/>
      <c r="D87" s="190"/>
      <c r="E87" s="190"/>
      <c r="J87" s="32" t="s">
        <v>442</v>
      </c>
    </row>
    <row r="90" spans="3:8" ht="12.75">
      <c r="C90" s="53"/>
      <c r="H90" s="53"/>
    </row>
  </sheetData>
  <mergeCells count="8">
    <mergeCell ref="A5:N5"/>
    <mergeCell ref="L1:N1"/>
    <mergeCell ref="L2:N2"/>
    <mergeCell ref="N8:N9"/>
    <mergeCell ref="A8:A9"/>
    <mergeCell ref="B8:B9"/>
    <mergeCell ref="C8:G8"/>
    <mergeCell ref="H8:M8"/>
  </mergeCells>
  <printOptions horizontalCentered="1"/>
  <pageMargins left="0.9055118110236221" right="0.35433070866141736" top="0.44" bottom="0.31" header="0.29" footer="0.2755905511811024"/>
  <pageSetup fitToHeight="4" fitToWidth="1" horizontalDpi="600" verticalDpi="600" orientation="landscape" paperSize="9" scale="70" r:id="rId1"/>
  <headerFooter alignWithMargins="0">
    <oddHeader>&amp;C&amp;P</oddHeader>
  </headerFooter>
  <rowBreaks count="1" manualBreakCount="1">
    <brk id="72" max="13" man="1"/>
  </rowBreaks>
  <colBreaks count="1" manualBreakCount="1">
    <brk id="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Normal="60" zoomScaleSheetLayoutView="100" workbookViewId="0" topLeftCell="A3">
      <pane xSplit="2" ySplit="7" topLeftCell="C10" activePane="bottomRight" state="frozen"/>
      <selection pane="topLeft" activeCell="A3" sqref="A3"/>
      <selection pane="topRight" activeCell="C3" sqref="C3"/>
      <selection pane="bottomLeft" activeCell="A10" sqref="A10"/>
      <selection pane="bottomRight" activeCell="L1" sqref="L1:N1"/>
    </sheetView>
  </sheetViews>
  <sheetFormatPr defaultColWidth="9.125" defaultRowHeight="12.75"/>
  <cols>
    <col min="1" max="1" width="7.75390625" style="66" customWidth="1"/>
    <col min="2" max="2" width="38.625" style="66" customWidth="1"/>
    <col min="3" max="3" width="12.125" style="66" customWidth="1"/>
    <col min="4" max="4" width="12.00390625" style="66" customWidth="1"/>
    <col min="5" max="5" width="11.875" style="66" customWidth="1"/>
    <col min="6" max="6" width="10.125" style="66" customWidth="1"/>
    <col min="7" max="7" width="11.375" style="66" customWidth="1"/>
    <col min="8" max="8" width="12.125" style="66" customWidth="1"/>
    <col min="9" max="9" width="12.875" style="66" customWidth="1"/>
    <col min="10" max="10" width="11.875" style="66" customWidth="1"/>
    <col min="11" max="11" width="12.00390625" style="66" customWidth="1"/>
    <col min="12" max="12" width="11.375" style="66" customWidth="1"/>
    <col min="13" max="13" width="9.875" style="66" customWidth="1"/>
    <col min="14" max="14" width="12.875" style="66" customWidth="1"/>
    <col min="15" max="16384" width="9.125" style="66" customWidth="1"/>
  </cols>
  <sheetData>
    <row r="1" spans="1:14" s="65" customFormat="1" ht="18">
      <c r="A1" s="4"/>
      <c r="B1" s="4"/>
      <c r="C1" s="4"/>
      <c r="D1" s="4"/>
      <c r="E1" s="4"/>
      <c r="F1" s="4"/>
      <c r="G1" s="4"/>
      <c r="H1" s="4"/>
      <c r="I1" s="4"/>
      <c r="J1" s="4"/>
      <c r="K1" s="4"/>
      <c r="L1" s="197" t="s">
        <v>312</v>
      </c>
      <c r="M1" s="197"/>
      <c r="N1" s="197"/>
    </row>
    <row r="2" spans="12:14" s="65" customFormat="1" ht="18">
      <c r="L2" s="197" t="s">
        <v>112</v>
      </c>
      <c r="M2" s="197"/>
      <c r="N2" s="197"/>
    </row>
    <row r="3" spans="12:14" s="65" customFormat="1" ht="18">
      <c r="L3" s="197" t="s">
        <v>451</v>
      </c>
      <c r="M3" s="197"/>
      <c r="N3" s="197"/>
    </row>
    <row r="4" s="65" customFormat="1" ht="12.75"/>
    <row r="5" spans="1:15" s="65" customFormat="1" ht="18">
      <c r="A5" s="198" t="s">
        <v>7</v>
      </c>
      <c r="B5" s="198"/>
      <c r="C5" s="198"/>
      <c r="D5" s="198"/>
      <c r="E5" s="198"/>
      <c r="F5" s="198"/>
      <c r="G5" s="198"/>
      <c r="H5" s="198"/>
      <c r="I5" s="198"/>
      <c r="J5" s="198"/>
      <c r="K5" s="198"/>
      <c r="L5" s="198"/>
      <c r="M5" s="198"/>
      <c r="N5" s="198"/>
      <c r="O5" s="198"/>
    </row>
    <row r="6" s="65" customFormat="1" ht="12.75">
      <c r="N6" s="22" t="s">
        <v>365</v>
      </c>
    </row>
    <row r="7" spans="1:14" s="8" customFormat="1" ht="12.75">
      <c r="A7" s="193" t="s">
        <v>325</v>
      </c>
      <c r="B7" s="193" t="s">
        <v>326</v>
      </c>
      <c r="C7" s="204" t="s">
        <v>14</v>
      </c>
      <c r="D7" s="205"/>
      <c r="E7" s="205"/>
      <c r="F7" s="205"/>
      <c r="G7" s="206"/>
      <c r="H7" s="204" t="s">
        <v>15</v>
      </c>
      <c r="I7" s="205"/>
      <c r="J7" s="205"/>
      <c r="K7" s="205"/>
      <c r="L7" s="205"/>
      <c r="M7" s="206"/>
      <c r="N7" s="202" t="s">
        <v>95</v>
      </c>
    </row>
    <row r="8" spans="1:14" s="8" customFormat="1" ht="42" customHeight="1">
      <c r="A8" s="193"/>
      <c r="B8" s="193"/>
      <c r="C8" s="9" t="s">
        <v>16</v>
      </c>
      <c r="D8" s="10" t="s">
        <v>17</v>
      </c>
      <c r="E8" s="10" t="s">
        <v>18</v>
      </c>
      <c r="F8" s="10" t="s">
        <v>19</v>
      </c>
      <c r="G8" s="10" t="s">
        <v>20</v>
      </c>
      <c r="H8" s="9" t="s">
        <v>16</v>
      </c>
      <c r="I8" s="10" t="s">
        <v>17</v>
      </c>
      <c r="J8" s="10" t="s">
        <v>18</v>
      </c>
      <c r="K8" s="10" t="s">
        <v>19</v>
      </c>
      <c r="L8" s="10" t="s">
        <v>20</v>
      </c>
      <c r="M8" s="10" t="s">
        <v>21</v>
      </c>
      <c r="N8" s="203"/>
    </row>
    <row r="9" spans="1:14" s="84" customFormat="1" ht="12.75">
      <c r="A9" s="15">
        <v>1</v>
      </c>
      <c r="B9" s="15">
        <v>2</v>
      </c>
      <c r="C9" s="14">
        <v>3</v>
      </c>
      <c r="D9" s="14">
        <v>4</v>
      </c>
      <c r="E9" s="14">
        <v>5</v>
      </c>
      <c r="F9" s="14">
        <v>6</v>
      </c>
      <c r="G9" s="94">
        <v>7</v>
      </c>
      <c r="H9" s="14">
        <v>8</v>
      </c>
      <c r="I9" s="95">
        <v>9</v>
      </c>
      <c r="J9" s="93">
        <v>10</v>
      </c>
      <c r="K9" s="93">
        <v>11</v>
      </c>
      <c r="L9" s="93">
        <v>12</v>
      </c>
      <c r="M9" s="82">
        <v>13</v>
      </c>
      <c r="N9" s="83">
        <v>14</v>
      </c>
    </row>
    <row r="10" spans="1:14" s="132" customFormat="1" ht="25.5">
      <c r="A10" s="123" t="s">
        <v>262</v>
      </c>
      <c r="B10" s="125" t="s">
        <v>332</v>
      </c>
      <c r="C10" s="158">
        <f>D10+G10</f>
        <v>17224387</v>
      </c>
      <c r="D10" s="158">
        <f>D11+D12+D19+D20+D21</f>
        <v>16986487</v>
      </c>
      <c r="E10" s="158">
        <f>E11+E12+E19+E20+E21</f>
        <v>9835597</v>
      </c>
      <c r="F10" s="158">
        <f>F11+F12+F19+F20+F21</f>
        <v>1142678</v>
      </c>
      <c r="G10" s="158">
        <f>G11+G12+G19+G20+G21</f>
        <v>237900</v>
      </c>
      <c r="H10" s="158">
        <f>I10+L10</f>
        <v>1338523</v>
      </c>
      <c r="I10" s="158">
        <f>I11+I12+I19+I20+I21</f>
        <v>1190589</v>
      </c>
      <c r="J10" s="158">
        <f>J11+J12+J19+J20+J21</f>
        <v>463435</v>
      </c>
      <c r="K10" s="158">
        <f>K11+K12+K19+K20+K21</f>
        <v>75003</v>
      </c>
      <c r="L10" s="158">
        <f>L11+L12+L19+L20+L21</f>
        <v>147934</v>
      </c>
      <c r="M10" s="158">
        <f>M11+M12+M19+M20+M21</f>
        <v>0</v>
      </c>
      <c r="N10" s="158">
        <f>C10+H10</f>
        <v>18562910</v>
      </c>
    </row>
    <row r="11" spans="1:14" s="17" customFormat="1" ht="12.75">
      <c r="A11" s="91" t="s">
        <v>22</v>
      </c>
      <c r="B11" s="20" t="s">
        <v>23</v>
      </c>
      <c r="C11" s="146">
        <f aca="true" t="shared" si="0" ref="C11:C81">D11+G11</f>
        <v>2126417</v>
      </c>
      <c r="D11" s="146">
        <f>1274386-12449+89248+515962+186778+21494+46998</f>
        <v>2122417</v>
      </c>
      <c r="E11" s="146">
        <f>707201-9140+65527+515962+3814</f>
        <v>1283364</v>
      </c>
      <c r="F11" s="146">
        <f>51000+46998</f>
        <v>97998</v>
      </c>
      <c r="G11" s="146">
        <f>4000</f>
        <v>4000</v>
      </c>
      <c r="H11" s="146">
        <f aca="true" t="shared" si="1" ref="H11:H81">I11+L11</f>
        <v>15529</v>
      </c>
      <c r="I11" s="146">
        <v>15529</v>
      </c>
      <c r="J11" s="146"/>
      <c r="K11" s="146">
        <v>5729</v>
      </c>
      <c r="L11" s="146"/>
      <c r="M11" s="146"/>
      <c r="N11" s="146">
        <f aca="true" t="shared" si="2" ref="N11:N81">C11+H11</f>
        <v>2141946</v>
      </c>
    </row>
    <row r="12" spans="1:14" s="17" customFormat="1" ht="12.75">
      <c r="A12" s="91" t="s">
        <v>33</v>
      </c>
      <c r="B12" s="20" t="s">
        <v>122</v>
      </c>
      <c r="C12" s="146">
        <f t="shared" si="0"/>
        <v>15045300</v>
      </c>
      <c r="D12" s="146">
        <f>D13+D14+D15+D16+D17+D18</f>
        <v>14811400</v>
      </c>
      <c r="E12" s="146">
        <f>E13+E14+E15+E16+E17+E18</f>
        <v>8552233</v>
      </c>
      <c r="F12" s="146">
        <f>F13+F14+F15+F16+F17+F18</f>
        <v>1044680</v>
      </c>
      <c r="G12" s="146">
        <f>G13+G14+G15+G16+G17+G18</f>
        <v>233900</v>
      </c>
      <c r="H12" s="146">
        <f t="shared" si="1"/>
        <v>1222994</v>
      </c>
      <c r="I12" s="146">
        <f>I13+I14+I15+I16+I17+I18</f>
        <v>1125060</v>
      </c>
      <c r="J12" s="146">
        <f>J13+J14+J15+J16+J17+J18</f>
        <v>463435</v>
      </c>
      <c r="K12" s="146">
        <f>K13+K14+K15+K16+K17+K18</f>
        <v>69274</v>
      </c>
      <c r="L12" s="146">
        <f>L13+L14+L15+L16+L17+L18</f>
        <v>97934</v>
      </c>
      <c r="M12" s="146">
        <f>M13+M14+M15+M16+M17+M18</f>
        <v>0</v>
      </c>
      <c r="N12" s="146">
        <f t="shared" si="2"/>
        <v>16268294</v>
      </c>
    </row>
    <row r="13" spans="1:14" s="11" customFormat="1" ht="12.75">
      <c r="A13" s="91" t="s">
        <v>35</v>
      </c>
      <c r="B13" s="20" t="s">
        <v>36</v>
      </c>
      <c r="C13" s="146">
        <f t="shared" si="0"/>
        <v>9540353</v>
      </c>
      <c r="D13" s="146">
        <f>8309353+20000-4000+10727+833900+164473+12000</f>
        <v>9346453</v>
      </c>
      <c r="E13" s="146">
        <f>5369184+12000</f>
        <v>5381184</v>
      </c>
      <c r="F13" s="146">
        <f>461300+31513+32427+164473</f>
        <v>689713</v>
      </c>
      <c r="G13" s="146">
        <f>181400-25000-11000+48500</f>
        <v>193900</v>
      </c>
      <c r="H13" s="146">
        <f t="shared" si="1"/>
        <v>460046</v>
      </c>
      <c r="I13" s="146">
        <v>427112</v>
      </c>
      <c r="J13" s="149">
        <v>141340</v>
      </c>
      <c r="K13" s="149">
        <v>42224</v>
      </c>
      <c r="L13" s="149">
        <v>32934</v>
      </c>
      <c r="M13" s="149"/>
      <c r="N13" s="146">
        <f t="shared" si="2"/>
        <v>10000399</v>
      </c>
    </row>
    <row r="14" spans="1:14" s="11" customFormat="1" ht="12.75">
      <c r="A14" s="91" t="s">
        <v>86</v>
      </c>
      <c r="B14" s="20" t="s">
        <v>87</v>
      </c>
      <c r="C14" s="146">
        <f t="shared" si="0"/>
        <v>4229154</v>
      </c>
      <c r="D14" s="146">
        <f>3790481+8000+1073+385100+11500+3000</f>
        <v>4199154</v>
      </c>
      <c r="E14" s="146">
        <f>2441574+3000</f>
        <v>2444574</v>
      </c>
      <c r="F14" s="146">
        <f>268200+8000+3073+11500</f>
        <v>290773</v>
      </c>
      <c r="G14" s="146">
        <f>40000-10000</f>
        <v>30000</v>
      </c>
      <c r="H14" s="146">
        <f t="shared" si="1"/>
        <v>11530</v>
      </c>
      <c r="I14" s="146">
        <v>11530</v>
      </c>
      <c r="J14" s="149">
        <v>900</v>
      </c>
      <c r="K14" s="149">
        <v>6600</v>
      </c>
      <c r="L14" s="149"/>
      <c r="M14" s="149"/>
      <c r="N14" s="146">
        <f t="shared" si="2"/>
        <v>4240684</v>
      </c>
    </row>
    <row r="15" spans="1:14" s="11" customFormat="1" ht="12.75" hidden="1">
      <c r="A15" s="91" t="s">
        <v>37</v>
      </c>
      <c r="B15" s="20" t="s">
        <v>38</v>
      </c>
      <c r="C15" s="146">
        <f t="shared" si="0"/>
        <v>0</v>
      </c>
      <c r="D15" s="146"/>
      <c r="E15" s="146"/>
      <c r="F15" s="146"/>
      <c r="G15" s="146"/>
      <c r="H15" s="146">
        <f t="shared" si="1"/>
        <v>0</v>
      </c>
      <c r="I15" s="146"/>
      <c r="J15" s="149"/>
      <c r="K15" s="149"/>
      <c r="L15" s="149"/>
      <c r="M15" s="149"/>
      <c r="N15" s="146">
        <f t="shared" si="2"/>
        <v>0</v>
      </c>
    </row>
    <row r="16" spans="1:14" s="11" customFormat="1" ht="25.5">
      <c r="A16" s="91" t="s">
        <v>39</v>
      </c>
      <c r="B16" s="161" t="s">
        <v>40</v>
      </c>
      <c r="C16" s="146">
        <f t="shared" si="0"/>
        <v>874470</v>
      </c>
      <c r="D16" s="146">
        <f>840070+29700+1000+3700</f>
        <v>874470</v>
      </c>
      <c r="E16" s="146">
        <f>465013-2283</f>
        <v>462730</v>
      </c>
      <c r="F16" s="146">
        <f>44945+3109+1000</f>
        <v>49054</v>
      </c>
      <c r="G16" s="146"/>
      <c r="H16" s="146">
        <f t="shared" si="1"/>
        <v>751418</v>
      </c>
      <c r="I16" s="146">
        <v>686418</v>
      </c>
      <c r="J16" s="149">
        <v>321195</v>
      </c>
      <c r="K16" s="149">
        <v>20450</v>
      </c>
      <c r="L16" s="149">
        <v>65000</v>
      </c>
      <c r="M16" s="149"/>
      <c r="N16" s="146">
        <f t="shared" si="2"/>
        <v>1625888</v>
      </c>
    </row>
    <row r="17" spans="1:14" s="11" customFormat="1" ht="12.75">
      <c r="A17" s="91" t="s">
        <v>45</v>
      </c>
      <c r="B17" s="20" t="s">
        <v>46</v>
      </c>
      <c r="C17" s="146">
        <f t="shared" si="0"/>
        <v>401323</v>
      </c>
      <c r="D17" s="146">
        <f>391296+27</f>
        <v>391323</v>
      </c>
      <c r="E17" s="146">
        <v>263745</v>
      </c>
      <c r="F17" s="146">
        <f>14000+1113+27</f>
        <v>15140</v>
      </c>
      <c r="G17" s="146">
        <v>10000</v>
      </c>
      <c r="H17" s="146">
        <f t="shared" si="1"/>
        <v>0</v>
      </c>
      <c r="I17" s="146"/>
      <c r="J17" s="149"/>
      <c r="K17" s="149"/>
      <c r="L17" s="149"/>
      <c r="M17" s="149"/>
      <c r="N17" s="146">
        <f t="shared" si="2"/>
        <v>401323</v>
      </c>
    </row>
    <row r="18" spans="1:14" s="11" customFormat="1" ht="12.75" hidden="1">
      <c r="A18" s="91" t="s">
        <v>42</v>
      </c>
      <c r="B18" s="20" t="s">
        <v>94</v>
      </c>
      <c r="C18" s="146">
        <f t="shared" si="0"/>
        <v>0</v>
      </c>
      <c r="D18" s="146"/>
      <c r="E18" s="146"/>
      <c r="F18" s="146"/>
      <c r="G18" s="146"/>
      <c r="H18" s="146">
        <f t="shared" si="1"/>
        <v>0</v>
      </c>
      <c r="I18" s="146"/>
      <c r="J18" s="149"/>
      <c r="K18" s="149"/>
      <c r="L18" s="149"/>
      <c r="M18" s="149"/>
      <c r="N18" s="146">
        <f t="shared" si="2"/>
        <v>0</v>
      </c>
    </row>
    <row r="19" spans="1:14" s="8" customFormat="1" ht="25.5" hidden="1">
      <c r="A19" s="162" t="s">
        <v>160</v>
      </c>
      <c r="B19" s="163" t="s">
        <v>207</v>
      </c>
      <c r="C19" s="146">
        <f t="shared" si="0"/>
        <v>0</v>
      </c>
      <c r="D19" s="148"/>
      <c r="E19" s="148"/>
      <c r="F19" s="148"/>
      <c r="G19" s="148"/>
      <c r="H19" s="146">
        <f t="shared" si="1"/>
        <v>0</v>
      </c>
      <c r="I19" s="148"/>
      <c r="J19" s="148"/>
      <c r="K19" s="148"/>
      <c r="L19" s="148"/>
      <c r="M19" s="148"/>
      <c r="N19" s="146">
        <f t="shared" si="2"/>
        <v>0</v>
      </c>
    </row>
    <row r="20" spans="1:14" s="8" customFormat="1" ht="12.75">
      <c r="A20" s="164" t="s">
        <v>69</v>
      </c>
      <c r="B20" s="163" t="s">
        <v>91</v>
      </c>
      <c r="C20" s="146">
        <f t="shared" si="0"/>
        <v>0</v>
      </c>
      <c r="D20" s="148"/>
      <c r="E20" s="148"/>
      <c r="F20" s="148"/>
      <c r="G20" s="148"/>
      <c r="H20" s="146">
        <f t="shared" si="1"/>
        <v>100000</v>
      </c>
      <c r="I20" s="148">
        <v>50000</v>
      </c>
      <c r="J20" s="148"/>
      <c r="K20" s="148"/>
      <c r="L20" s="148">
        <v>50000</v>
      </c>
      <c r="M20" s="148"/>
      <c r="N20" s="146">
        <f t="shared" si="2"/>
        <v>100000</v>
      </c>
    </row>
    <row r="21" spans="1:14" s="8" customFormat="1" ht="12.75">
      <c r="A21" s="164" t="s">
        <v>71</v>
      </c>
      <c r="B21" s="79" t="s">
        <v>72</v>
      </c>
      <c r="C21" s="146">
        <f t="shared" si="0"/>
        <v>52670</v>
      </c>
      <c r="D21" s="148">
        <f>D22+D24+D25+D23</f>
        <v>52670</v>
      </c>
      <c r="E21" s="148">
        <f>E22+E24+E25+E23</f>
        <v>0</v>
      </c>
      <c r="F21" s="148">
        <f>F22+F24+F25+F23</f>
        <v>0</v>
      </c>
      <c r="G21" s="148">
        <f>G22+G24+G25+G23</f>
        <v>0</v>
      </c>
      <c r="H21" s="146">
        <f t="shared" si="1"/>
        <v>0</v>
      </c>
      <c r="I21" s="148">
        <f>I22+I24+I25+I23</f>
        <v>0</v>
      </c>
      <c r="J21" s="148">
        <f>J22+J24+J25+J23</f>
        <v>0</v>
      </c>
      <c r="K21" s="148">
        <f>K22+K24+K25+K23</f>
        <v>0</v>
      </c>
      <c r="L21" s="148">
        <f>L22+L24+L25+L23</f>
        <v>0</v>
      </c>
      <c r="M21" s="148">
        <f>M22+M24+M25+M23</f>
        <v>0</v>
      </c>
      <c r="N21" s="146">
        <f t="shared" si="2"/>
        <v>52670</v>
      </c>
    </row>
    <row r="22" spans="1:14" s="8" customFormat="1" ht="25.5">
      <c r="A22" s="164"/>
      <c r="B22" s="79" t="s">
        <v>241</v>
      </c>
      <c r="C22" s="146">
        <f t="shared" si="0"/>
        <v>18950</v>
      </c>
      <c r="D22" s="148">
        <v>18950</v>
      </c>
      <c r="E22" s="148"/>
      <c r="F22" s="148"/>
      <c r="G22" s="148"/>
      <c r="H22" s="146">
        <f t="shared" si="1"/>
        <v>0</v>
      </c>
      <c r="I22" s="148"/>
      <c r="J22" s="148"/>
      <c r="K22" s="148"/>
      <c r="L22" s="148"/>
      <c r="M22" s="148"/>
      <c r="N22" s="146">
        <f t="shared" si="2"/>
        <v>18950</v>
      </c>
    </row>
    <row r="23" spans="1:14" s="8" customFormat="1" ht="38.25" hidden="1">
      <c r="A23" s="164"/>
      <c r="B23" s="108" t="s">
        <v>236</v>
      </c>
      <c r="C23" s="146">
        <f t="shared" si="0"/>
        <v>0</v>
      </c>
      <c r="D23" s="148"/>
      <c r="E23" s="148"/>
      <c r="F23" s="148"/>
      <c r="G23" s="148"/>
      <c r="H23" s="146">
        <f t="shared" si="1"/>
        <v>0</v>
      </c>
      <c r="I23" s="148"/>
      <c r="J23" s="148"/>
      <c r="K23" s="148"/>
      <c r="L23" s="148"/>
      <c r="M23" s="148"/>
      <c r="N23" s="146">
        <f t="shared" si="2"/>
        <v>0</v>
      </c>
    </row>
    <row r="24" spans="1:14" s="8" customFormat="1" ht="38.25">
      <c r="A24" s="164"/>
      <c r="B24" s="26" t="s">
        <v>446</v>
      </c>
      <c r="C24" s="146">
        <f t="shared" si="0"/>
        <v>15000</v>
      </c>
      <c r="D24" s="148">
        <v>15000</v>
      </c>
      <c r="E24" s="148"/>
      <c r="F24" s="148"/>
      <c r="G24" s="148"/>
      <c r="H24" s="146">
        <f t="shared" si="1"/>
        <v>0</v>
      </c>
      <c r="I24" s="148"/>
      <c r="J24" s="148"/>
      <c r="K24" s="148"/>
      <c r="L24" s="148"/>
      <c r="M24" s="148"/>
      <c r="N24" s="146">
        <f t="shared" si="2"/>
        <v>15000</v>
      </c>
    </row>
    <row r="25" spans="1:14" s="8" customFormat="1" ht="25.5">
      <c r="A25" s="164"/>
      <c r="B25" s="77" t="s">
        <v>242</v>
      </c>
      <c r="C25" s="146">
        <f t="shared" si="0"/>
        <v>18720</v>
      </c>
      <c r="D25" s="148">
        <v>18720</v>
      </c>
      <c r="E25" s="148"/>
      <c r="F25" s="148"/>
      <c r="G25" s="148"/>
      <c r="H25" s="146">
        <f t="shared" si="1"/>
        <v>0</v>
      </c>
      <c r="I25" s="148"/>
      <c r="J25" s="148"/>
      <c r="K25" s="148"/>
      <c r="L25" s="148"/>
      <c r="M25" s="148"/>
      <c r="N25" s="146">
        <f t="shared" si="2"/>
        <v>18720</v>
      </c>
    </row>
    <row r="26" spans="1:14" s="132" customFormat="1" ht="25.5">
      <c r="A26" s="123" t="s">
        <v>266</v>
      </c>
      <c r="B26" s="125" t="s">
        <v>333</v>
      </c>
      <c r="C26" s="158">
        <f t="shared" si="0"/>
        <v>26184957</v>
      </c>
      <c r="D26" s="158">
        <f>D27+D28+D39+D40</f>
        <v>25811517</v>
      </c>
      <c r="E26" s="158">
        <f>E27+E28+E39+E40</f>
        <v>15084061</v>
      </c>
      <c r="F26" s="158">
        <f>F27+F28+F39+F40</f>
        <v>1857920</v>
      </c>
      <c r="G26" s="158">
        <f>G27+G28+G39+G40</f>
        <v>373440</v>
      </c>
      <c r="H26" s="158">
        <f t="shared" si="1"/>
        <v>1674606</v>
      </c>
      <c r="I26" s="158">
        <f>I27+I28</f>
        <v>1674606</v>
      </c>
      <c r="J26" s="158">
        <f>J27+J28</f>
        <v>389400</v>
      </c>
      <c r="K26" s="158">
        <f>K27+K28</f>
        <v>45540</v>
      </c>
      <c r="L26" s="158">
        <f>L27+L28</f>
        <v>0</v>
      </c>
      <c r="M26" s="158">
        <f>M27+M28</f>
        <v>0</v>
      </c>
      <c r="N26" s="158">
        <f t="shared" si="2"/>
        <v>27859563</v>
      </c>
    </row>
    <row r="27" spans="1:14" s="17" customFormat="1" ht="12.75">
      <c r="A27" s="91" t="s">
        <v>22</v>
      </c>
      <c r="B27" s="20" t="s">
        <v>23</v>
      </c>
      <c r="C27" s="146">
        <f t="shared" si="0"/>
        <v>203989</v>
      </c>
      <c r="D27" s="146">
        <f>135469+10299+39810+14411</f>
        <v>199989</v>
      </c>
      <c r="E27" s="146">
        <f>95625+7562+39810</f>
        <v>142997</v>
      </c>
      <c r="F27" s="146"/>
      <c r="G27" s="146">
        <f>4000</f>
        <v>4000</v>
      </c>
      <c r="H27" s="146">
        <f t="shared" si="1"/>
        <v>0</v>
      </c>
      <c r="I27" s="146"/>
      <c r="J27" s="146"/>
      <c r="K27" s="146"/>
      <c r="L27" s="146"/>
      <c r="M27" s="146"/>
      <c r="N27" s="146">
        <f t="shared" si="2"/>
        <v>203989</v>
      </c>
    </row>
    <row r="28" spans="1:14" s="17" customFormat="1" ht="12.75">
      <c r="A28" s="91" t="s">
        <v>24</v>
      </c>
      <c r="B28" s="77" t="s">
        <v>188</v>
      </c>
      <c r="C28" s="146">
        <f t="shared" si="0"/>
        <v>25928980</v>
      </c>
      <c r="D28" s="146">
        <f>D29+D30+D31+D33+D34+D35+D36+D32+D37+D38</f>
        <v>25583980</v>
      </c>
      <c r="E28" s="146">
        <f>E29+E30+E31+E33+E34+E35+E36+E32+E37+E38</f>
        <v>14941064</v>
      </c>
      <c r="F28" s="146">
        <f>F29+F30+F31+F33+F34+F35+F36+F32+F37+F38</f>
        <v>1857920</v>
      </c>
      <c r="G28" s="146">
        <f>G29+G30+G31+G33+G34+G35+G36+G32+G37+G38</f>
        <v>345000</v>
      </c>
      <c r="H28" s="146">
        <f t="shared" si="1"/>
        <v>1674606</v>
      </c>
      <c r="I28" s="146">
        <f>I29+I30+I31+I33+I34+I35+I36+I32+I37+I38</f>
        <v>1674606</v>
      </c>
      <c r="J28" s="146">
        <f>J29+J30+J31+J33+J34+J35+J36+J32+J37+J38</f>
        <v>389400</v>
      </c>
      <c r="K28" s="146">
        <f>K29+K30+K31+K33+K34+K35+K36+K32+K37+K38</f>
        <v>45540</v>
      </c>
      <c r="L28" s="146">
        <f>L29+L30+L31+L33+L34+L35+L36+L32+L37+L38</f>
        <v>0</v>
      </c>
      <c r="M28" s="146">
        <f>M29+M30+M31+M33+M34+M35+M36+M32</f>
        <v>0</v>
      </c>
      <c r="N28" s="146">
        <f t="shared" si="2"/>
        <v>27603586</v>
      </c>
    </row>
    <row r="29" spans="1:14" s="11" customFormat="1" ht="12.75">
      <c r="A29" s="91" t="s">
        <v>80</v>
      </c>
      <c r="B29" s="20" t="s">
        <v>76</v>
      </c>
      <c r="C29" s="146">
        <f t="shared" si="0"/>
        <v>7500909</v>
      </c>
      <c r="D29" s="146">
        <f>6637620-1500+15400+30000+165900-20900+60772+206667+191950</f>
        <v>7285909</v>
      </c>
      <c r="E29" s="146">
        <f>3565983+26000+28573</f>
        <v>3620556</v>
      </c>
      <c r="F29" s="146">
        <f>549135-1500+30000+23543+191950</f>
        <v>793128</v>
      </c>
      <c r="G29" s="146">
        <f>215000</f>
        <v>215000</v>
      </c>
      <c r="H29" s="146">
        <f t="shared" si="1"/>
        <v>877043</v>
      </c>
      <c r="I29" s="146">
        <v>877043</v>
      </c>
      <c r="J29" s="149">
        <v>14900</v>
      </c>
      <c r="K29" s="149">
        <v>7450</v>
      </c>
      <c r="L29" s="149"/>
      <c r="M29" s="149"/>
      <c r="N29" s="146">
        <f t="shared" si="2"/>
        <v>8377952</v>
      </c>
    </row>
    <row r="30" spans="1:14" s="11" customFormat="1" ht="38.25" customHeight="1">
      <c r="A30" s="91" t="s">
        <v>26</v>
      </c>
      <c r="B30" s="20" t="s">
        <v>280</v>
      </c>
      <c r="C30" s="146">
        <f t="shared" si="0"/>
        <v>15906469</v>
      </c>
      <c r="D30" s="146">
        <f>15253334-548+66000+370000-75000-68827+75000+196510</f>
        <v>15816469</v>
      </c>
      <c r="E30" s="146">
        <f>10087991-35763</f>
        <v>10052228</v>
      </c>
      <c r="F30" s="146">
        <f>731034+44900+66000-9255+196510</f>
        <v>1029189</v>
      </c>
      <c r="G30" s="146">
        <f>90000</f>
        <v>90000</v>
      </c>
      <c r="H30" s="146">
        <f t="shared" si="1"/>
        <v>797563</v>
      </c>
      <c r="I30" s="146">
        <v>797563</v>
      </c>
      <c r="J30" s="149">
        <v>374500</v>
      </c>
      <c r="K30" s="149">
        <v>38090</v>
      </c>
      <c r="L30" s="149"/>
      <c r="M30" s="149"/>
      <c r="N30" s="146">
        <f t="shared" si="2"/>
        <v>16704032</v>
      </c>
    </row>
    <row r="31" spans="1:14" s="11" customFormat="1" ht="12.75">
      <c r="A31" s="91" t="s">
        <v>81</v>
      </c>
      <c r="B31" s="20" t="s">
        <v>92</v>
      </c>
      <c r="C31" s="146">
        <f t="shared" si="0"/>
        <v>866961</v>
      </c>
      <c r="D31" s="146">
        <f>813457+548+8000+30000+14708+248</f>
        <v>866961</v>
      </c>
      <c r="E31" s="146">
        <f>588669+13190</f>
        <v>601859</v>
      </c>
      <c r="F31" s="146">
        <f>7800-595+248</f>
        <v>7453</v>
      </c>
      <c r="G31" s="146"/>
      <c r="H31" s="146">
        <f t="shared" si="1"/>
        <v>0</v>
      </c>
      <c r="I31" s="146"/>
      <c r="J31" s="149"/>
      <c r="K31" s="149"/>
      <c r="L31" s="149"/>
      <c r="M31" s="149"/>
      <c r="N31" s="146">
        <f t="shared" si="2"/>
        <v>866961</v>
      </c>
    </row>
    <row r="32" spans="1:14" s="11" customFormat="1" ht="51" hidden="1">
      <c r="A32" s="46" t="s">
        <v>373</v>
      </c>
      <c r="B32" s="20" t="s">
        <v>374</v>
      </c>
      <c r="C32" s="146">
        <f t="shared" si="0"/>
        <v>0</v>
      </c>
      <c r="D32" s="146"/>
      <c r="E32" s="146"/>
      <c r="F32" s="146"/>
      <c r="G32" s="146"/>
      <c r="H32" s="146">
        <f t="shared" si="1"/>
        <v>0</v>
      </c>
      <c r="I32" s="146"/>
      <c r="J32" s="149"/>
      <c r="K32" s="149"/>
      <c r="L32" s="149"/>
      <c r="M32" s="149"/>
      <c r="N32" s="146">
        <f t="shared" si="2"/>
        <v>0</v>
      </c>
    </row>
    <row r="33" spans="1:14" s="11" customFormat="1" ht="25.5">
      <c r="A33" s="91" t="s">
        <v>29</v>
      </c>
      <c r="B33" s="165" t="s">
        <v>281</v>
      </c>
      <c r="C33" s="146">
        <f t="shared" si="0"/>
        <v>150716</v>
      </c>
      <c r="D33" s="146">
        <f>157716-7000</f>
        <v>150716</v>
      </c>
      <c r="E33" s="146">
        <f>113903-5000</f>
        <v>108903</v>
      </c>
      <c r="F33" s="146"/>
      <c r="G33" s="146"/>
      <c r="H33" s="146">
        <f t="shared" si="1"/>
        <v>0</v>
      </c>
      <c r="I33" s="146"/>
      <c r="J33" s="149"/>
      <c r="K33" s="149"/>
      <c r="L33" s="149"/>
      <c r="M33" s="149"/>
      <c r="N33" s="146">
        <f t="shared" si="2"/>
        <v>150716</v>
      </c>
    </row>
    <row r="34" spans="1:14" s="11" customFormat="1" ht="25.5">
      <c r="A34" s="91" t="s">
        <v>30</v>
      </c>
      <c r="B34" s="20" t="s">
        <v>282</v>
      </c>
      <c r="C34" s="146">
        <f t="shared" si="0"/>
        <v>480567</v>
      </c>
      <c r="D34" s="146">
        <f>479367+1200</f>
        <v>480567</v>
      </c>
      <c r="E34" s="146">
        <v>306470</v>
      </c>
      <c r="F34" s="146">
        <f>15365+1200</f>
        <v>16565</v>
      </c>
      <c r="G34" s="146"/>
      <c r="H34" s="146">
        <f t="shared" si="1"/>
        <v>0</v>
      </c>
      <c r="I34" s="146"/>
      <c r="J34" s="149"/>
      <c r="K34" s="149"/>
      <c r="L34" s="149"/>
      <c r="M34" s="149"/>
      <c r="N34" s="146">
        <f t="shared" si="2"/>
        <v>480567</v>
      </c>
    </row>
    <row r="35" spans="1:14" s="11" customFormat="1" ht="25.5">
      <c r="A35" s="91" t="s">
        <v>31</v>
      </c>
      <c r="B35" s="20" t="s">
        <v>32</v>
      </c>
      <c r="C35" s="146">
        <f t="shared" si="0"/>
        <v>157151</v>
      </c>
      <c r="D35" s="146">
        <f>125151-8000</f>
        <v>117151</v>
      </c>
      <c r="E35" s="146">
        <f>82162-6000</f>
        <v>76162</v>
      </c>
      <c r="F35" s="146"/>
      <c r="G35" s="146">
        <v>40000</v>
      </c>
      <c r="H35" s="146">
        <f t="shared" si="1"/>
        <v>0</v>
      </c>
      <c r="I35" s="146"/>
      <c r="J35" s="149"/>
      <c r="K35" s="149"/>
      <c r="L35" s="149"/>
      <c r="M35" s="149"/>
      <c r="N35" s="146">
        <f t="shared" si="2"/>
        <v>157151</v>
      </c>
    </row>
    <row r="36" spans="1:14" s="11" customFormat="1" ht="12.75">
      <c r="A36" s="91" t="s">
        <v>104</v>
      </c>
      <c r="B36" s="20" t="s">
        <v>93</v>
      </c>
      <c r="C36" s="146">
        <f t="shared" si="0"/>
        <v>274019</v>
      </c>
      <c r="D36" s="146">
        <f>273480+1500-4400+10000-6653+92</f>
        <v>274019</v>
      </c>
      <c r="E36" s="146">
        <f>195886-15000-6000</f>
        <v>174886</v>
      </c>
      <c r="F36" s="146">
        <f>5398+1500+4000+595+92</f>
        <v>11585</v>
      </c>
      <c r="G36" s="146"/>
      <c r="H36" s="146">
        <f t="shared" si="1"/>
        <v>0</v>
      </c>
      <c r="I36" s="146"/>
      <c r="J36" s="149"/>
      <c r="K36" s="149"/>
      <c r="L36" s="149"/>
      <c r="M36" s="149"/>
      <c r="N36" s="146">
        <f t="shared" si="2"/>
        <v>274019</v>
      </c>
    </row>
    <row r="37" spans="1:14" s="17" customFormat="1" ht="38.25">
      <c r="A37" s="46" t="s">
        <v>371</v>
      </c>
      <c r="B37" s="88" t="s">
        <v>372</v>
      </c>
      <c r="C37" s="147">
        <f t="shared" si="0"/>
        <v>19875</v>
      </c>
      <c r="D37" s="147">
        <v>19875</v>
      </c>
      <c r="E37" s="147"/>
      <c r="F37" s="147"/>
      <c r="G37" s="147"/>
      <c r="H37" s="147">
        <f t="shared" si="1"/>
        <v>0</v>
      </c>
      <c r="I37" s="147"/>
      <c r="J37" s="147"/>
      <c r="K37" s="147"/>
      <c r="L37" s="147"/>
      <c r="M37" s="147"/>
      <c r="N37" s="146">
        <f t="shared" si="2"/>
        <v>19875</v>
      </c>
    </row>
    <row r="38" spans="1:16" s="22" customFormat="1" ht="89.25">
      <c r="A38" s="45" t="s">
        <v>398</v>
      </c>
      <c r="B38" s="27" t="s">
        <v>399</v>
      </c>
      <c r="C38" s="143">
        <f t="shared" si="0"/>
        <v>572313</v>
      </c>
      <c r="D38" s="143">
        <v>572313</v>
      </c>
      <c r="E38" s="143"/>
      <c r="F38" s="143"/>
      <c r="G38" s="143"/>
      <c r="H38" s="143">
        <f t="shared" si="1"/>
        <v>0</v>
      </c>
      <c r="I38" s="143"/>
      <c r="J38" s="143"/>
      <c r="K38" s="143"/>
      <c r="L38" s="143"/>
      <c r="M38" s="143"/>
      <c r="N38" s="142">
        <f t="shared" si="2"/>
        <v>572313</v>
      </c>
      <c r="O38" s="144"/>
      <c r="P38" s="144"/>
    </row>
    <row r="39" spans="1:16" s="22" customFormat="1" ht="63.75">
      <c r="A39" s="45" t="s">
        <v>309</v>
      </c>
      <c r="B39" s="27" t="s">
        <v>415</v>
      </c>
      <c r="C39" s="143">
        <f t="shared" si="0"/>
        <v>6048</v>
      </c>
      <c r="D39" s="146">
        <v>6048</v>
      </c>
      <c r="E39" s="143"/>
      <c r="F39" s="143"/>
      <c r="G39" s="143"/>
      <c r="H39" s="143">
        <f t="shared" si="1"/>
        <v>0</v>
      </c>
      <c r="I39" s="143"/>
      <c r="J39" s="143"/>
      <c r="K39" s="143"/>
      <c r="L39" s="143"/>
      <c r="M39" s="143"/>
      <c r="N39" s="142">
        <f t="shared" si="2"/>
        <v>6048</v>
      </c>
      <c r="O39" s="144"/>
      <c r="P39" s="144"/>
    </row>
    <row r="40" spans="1:16" s="22" customFormat="1" ht="38.25">
      <c r="A40" s="45" t="s">
        <v>71</v>
      </c>
      <c r="B40" s="26" t="s">
        <v>446</v>
      </c>
      <c r="C40" s="143">
        <f t="shared" si="0"/>
        <v>45940</v>
      </c>
      <c r="D40" s="146">
        <v>21500</v>
      </c>
      <c r="E40" s="143"/>
      <c r="F40" s="143"/>
      <c r="G40" s="143">
        <v>24440</v>
      </c>
      <c r="H40" s="143"/>
      <c r="I40" s="143"/>
      <c r="J40" s="143"/>
      <c r="K40" s="143"/>
      <c r="L40" s="143"/>
      <c r="M40" s="143"/>
      <c r="N40" s="142">
        <f t="shared" si="2"/>
        <v>45940</v>
      </c>
      <c r="O40" s="144"/>
      <c r="P40" s="144"/>
    </row>
    <row r="41" spans="1:14" s="132" customFormat="1" ht="38.25">
      <c r="A41" s="123" t="s">
        <v>267</v>
      </c>
      <c r="B41" s="125" t="s">
        <v>334</v>
      </c>
      <c r="C41" s="158">
        <f t="shared" si="0"/>
        <v>13967028</v>
      </c>
      <c r="D41" s="158">
        <f>D42+D43+D74</f>
        <v>13935028</v>
      </c>
      <c r="E41" s="158">
        <f>E42+E43+E74</f>
        <v>906019</v>
      </c>
      <c r="F41" s="158">
        <f>F42+F43+F74</f>
        <v>31777</v>
      </c>
      <c r="G41" s="158">
        <f>G42+G43+G74</f>
        <v>32000</v>
      </c>
      <c r="H41" s="158">
        <f t="shared" si="1"/>
        <v>0</v>
      </c>
      <c r="I41" s="158">
        <f>I42+I43</f>
        <v>0</v>
      </c>
      <c r="J41" s="158">
        <f>J42+J43</f>
        <v>0</v>
      </c>
      <c r="K41" s="158">
        <f>K42+K43</f>
        <v>0</v>
      </c>
      <c r="L41" s="158">
        <f>L42+L43</f>
        <v>0</v>
      </c>
      <c r="M41" s="158">
        <f>M42+M43</f>
        <v>0</v>
      </c>
      <c r="N41" s="158">
        <f t="shared" si="2"/>
        <v>13967028</v>
      </c>
    </row>
    <row r="42" spans="1:14" s="17" customFormat="1" ht="12.75">
      <c r="A42" s="91" t="s">
        <v>22</v>
      </c>
      <c r="B42" s="20" t="s">
        <v>23</v>
      </c>
      <c r="C42" s="146">
        <f t="shared" si="0"/>
        <v>1327716</v>
      </c>
      <c r="D42" s="146">
        <f>842556+66132+282900+102410-5194+6912</f>
        <v>1295716</v>
      </c>
      <c r="E42" s="146">
        <f>578378+48555+282900-3814</f>
        <v>906019</v>
      </c>
      <c r="F42" s="146">
        <f>24865+6912</f>
        <v>31777</v>
      </c>
      <c r="G42" s="146">
        <f>28000+4000</f>
        <v>32000</v>
      </c>
      <c r="H42" s="146">
        <f t="shared" si="1"/>
        <v>0</v>
      </c>
      <c r="I42" s="146"/>
      <c r="J42" s="146"/>
      <c r="K42" s="146"/>
      <c r="L42" s="146"/>
      <c r="M42" s="146"/>
      <c r="N42" s="146">
        <f t="shared" si="2"/>
        <v>1327716</v>
      </c>
    </row>
    <row r="43" spans="1:14" s="22" customFormat="1" ht="25.5">
      <c r="A43" s="91" t="s">
        <v>47</v>
      </c>
      <c r="B43" s="20" t="s">
        <v>147</v>
      </c>
      <c r="C43" s="146">
        <f t="shared" si="0"/>
        <v>12606252</v>
      </c>
      <c r="D43" s="147">
        <f>D44+D45+D46+D47+D48+D50+D51+D52+D54+D55+D56+D57+D58+D60+D61+D65+D68+D73+D49+D72+D66+D67+D59</f>
        <v>12606252</v>
      </c>
      <c r="E43" s="147">
        <f>E44+E45+E46+E47+E48+E50+E51+E52+E54+E55+E56+E57+E58+E60+E61+E65+E68+E73+E49+E72</f>
        <v>0</v>
      </c>
      <c r="F43" s="147">
        <f>F44+F45+F46+F47+F48+F50+F51+F52+F54+F55+F56+F57+F58+F60+F61+F65+F68+F73+F49+F72</f>
        <v>0</v>
      </c>
      <c r="G43" s="147">
        <f>G44+G45+G46+G47+G48+G50+G51+G52+G54+G55+G56+G57+G58+G60+G61+G65+G68+G73+G49+G72</f>
        <v>0</v>
      </c>
      <c r="H43" s="146">
        <f t="shared" si="1"/>
        <v>0</v>
      </c>
      <c r="I43" s="147">
        <f>I44+I45+I46+I47+I48+I50+I51+I52+I54+I55+I56+I57+I58+I60+I61+I65+I68+I73+I49+I72</f>
        <v>0</v>
      </c>
      <c r="J43" s="147">
        <f>J44+J45+J46+J47+J48+J50+J51+J52+J54+J55+J56+J57+J58+J60+J61+J65+J68+J73+J49+J72</f>
        <v>0</v>
      </c>
      <c r="K43" s="147">
        <f>K44+K45+K46+K47+K48+K50+K51+K52+K54+K55+K56+K57+K58+K60+K61+K65+K68+K73+K49+K72</f>
        <v>0</v>
      </c>
      <c r="L43" s="147">
        <f>L44+L45+L46+L47+L48+L50+L51+L52+L54+L55+L56+L57+L58+L60+L61+L65+L68+L73+L49+L72</f>
        <v>0</v>
      </c>
      <c r="M43" s="147">
        <f>M44+M45+M46+M47+M48+M50+M51+M52+M54+M55+M56+M57+M58+M60+M61+M65+M68+M73+M49+M72</f>
        <v>0</v>
      </c>
      <c r="N43" s="146">
        <f t="shared" si="2"/>
        <v>12606252</v>
      </c>
    </row>
    <row r="44" spans="1:14" s="8" customFormat="1" ht="215.25" customHeight="1">
      <c r="A44" s="162" t="s">
        <v>158</v>
      </c>
      <c r="B44" s="88" t="s">
        <v>429</v>
      </c>
      <c r="C44" s="146">
        <f t="shared" si="0"/>
        <v>6519513</v>
      </c>
      <c r="D44" s="148">
        <f>6500213+19300</f>
        <v>6519513</v>
      </c>
      <c r="E44" s="148"/>
      <c r="F44" s="148"/>
      <c r="G44" s="148"/>
      <c r="H44" s="146">
        <f t="shared" si="1"/>
        <v>0</v>
      </c>
      <c r="I44" s="148"/>
      <c r="J44" s="148"/>
      <c r="K44" s="148"/>
      <c r="L44" s="148"/>
      <c r="M44" s="148"/>
      <c r="N44" s="146">
        <f t="shared" si="2"/>
        <v>6519513</v>
      </c>
    </row>
    <row r="45" spans="1:14" s="8" customFormat="1" ht="191.25">
      <c r="A45" s="162" t="s">
        <v>164</v>
      </c>
      <c r="B45" s="88" t="s">
        <v>430</v>
      </c>
      <c r="C45" s="146">
        <f t="shared" si="0"/>
        <v>13765</v>
      </c>
      <c r="D45" s="148">
        <v>13765</v>
      </c>
      <c r="E45" s="148"/>
      <c r="F45" s="148"/>
      <c r="G45" s="148"/>
      <c r="H45" s="146">
        <f t="shared" si="1"/>
        <v>0</v>
      </c>
      <c r="I45" s="148"/>
      <c r="J45" s="148"/>
      <c r="K45" s="148"/>
      <c r="L45" s="148"/>
      <c r="M45" s="148"/>
      <c r="N45" s="146">
        <f t="shared" si="2"/>
        <v>13765</v>
      </c>
    </row>
    <row r="46" spans="1:14" s="8" customFormat="1" ht="205.5" customHeight="1">
      <c r="A46" s="162" t="s">
        <v>165</v>
      </c>
      <c r="B46" s="88" t="s">
        <v>432</v>
      </c>
      <c r="C46" s="146">
        <f t="shared" si="0"/>
        <v>828000</v>
      </c>
      <c r="D46" s="148">
        <f>1395285-370000-300000+185000-2000-80285</f>
        <v>828000</v>
      </c>
      <c r="E46" s="148"/>
      <c r="F46" s="148"/>
      <c r="G46" s="148">
        <f>370000-185000-185000</f>
        <v>0</v>
      </c>
      <c r="H46" s="146">
        <f t="shared" si="1"/>
        <v>0</v>
      </c>
      <c r="I46" s="148"/>
      <c r="J46" s="148"/>
      <c r="K46" s="148"/>
      <c r="L46" s="148"/>
      <c r="M46" s="148"/>
      <c r="N46" s="146">
        <f t="shared" si="2"/>
        <v>828000</v>
      </c>
    </row>
    <row r="47" spans="1:14" s="8" customFormat="1" ht="357">
      <c r="A47" s="162" t="s">
        <v>166</v>
      </c>
      <c r="B47" s="20" t="s">
        <v>436</v>
      </c>
      <c r="C47" s="146">
        <f t="shared" si="0"/>
        <v>280554</v>
      </c>
      <c r="D47" s="148">
        <f>231554+49000</f>
        <v>280554</v>
      </c>
      <c r="E47" s="148"/>
      <c r="F47" s="148"/>
      <c r="G47" s="148"/>
      <c r="H47" s="146">
        <f t="shared" si="1"/>
        <v>0</v>
      </c>
      <c r="I47" s="148"/>
      <c r="J47" s="148"/>
      <c r="K47" s="148"/>
      <c r="L47" s="148"/>
      <c r="M47" s="148"/>
      <c r="N47" s="146">
        <f t="shared" si="2"/>
        <v>280554</v>
      </c>
    </row>
    <row r="48" spans="1:14" s="8" customFormat="1" ht="280.5">
      <c r="A48" s="162" t="s">
        <v>167</v>
      </c>
      <c r="B48" s="20" t="s">
        <v>1</v>
      </c>
      <c r="C48" s="146">
        <f t="shared" si="0"/>
        <v>500</v>
      </c>
      <c r="D48" s="148">
        <v>500</v>
      </c>
      <c r="E48" s="148"/>
      <c r="F48" s="148"/>
      <c r="G48" s="148"/>
      <c r="H48" s="146">
        <f t="shared" si="1"/>
        <v>0</v>
      </c>
      <c r="I48" s="148"/>
      <c r="J48" s="148"/>
      <c r="K48" s="148"/>
      <c r="L48" s="148"/>
      <c r="M48" s="148"/>
      <c r="N48" s="146">
        <f t="shared" si="2"/>
        <v>500</v>
      </c>
    </row>
    <row r="49" spans="1:14" s="8" customFormat="1" ht="127.5">
      <c r="A49" s="162" t="s">
        <v>159</v>
      </c>
      <c r="B49" s="20" t="s">
        <v>11</v>
      </c>
      <c r="C49" s="146">
        <f t="shared" si="0"/>
        <v>20800</v>
      </c>
      <c r="D49" s="148">
        <f>23000-2200</f>
        <v>20800</v>
      </c>
      <c r="E49" s="148"/>
      <c r="F49" s="148"/>
      <c r="G49" s="148"/>
      <c r="H49" s="146">
        <f t="shared" si="1"/>
        <v>0</v>
      </c>
      <c r="I49" s="148"/>
      <c r="J49" s="148"/>
      <c r="K49" s="148"/>
      <c r="L49" s="148"/>
      <c r="M49" s="148"/>
      <c r="N49" s="146">
        <f t="shared" si="2"/>
        <v>20800</v>
      </c>
    </row>
    <row r="50" spans="1:14" s="8" customFormat="1" ht="76.5">
      <c r="A50" s="162" t="s">
        <v>168</v>
      </c>
      <c r="B50" s="20" t="s">
        <v>433</v>
      </c>
      <c r="C50" s="146">
        <f t="shared" si="0"/>
        <v>150500</v>
      </c>
      <c r="D50" s="148">
        <f>169800-19300</f>
        <v>150500</v>
      </c>
      <c r="E50" s="148"/>
      <c r="F50" s="148"/>
      <c r="G50" s="148"/>
      <c r="H50" s="146">
        <f t="shared" si="1"/>
        <v>0</v>
      </c>
      <c r="I50" s="148"/>
      <c r="J50" s="148"/>
      <c r="K50" s="148"/>
      <c r="L50" s="148"/>
      <c r="M50" s="148"/>
      <c r="N50" s="146">
        <f t="shared" si="2"/>
        <v>150500</v>
      </c>
    </row>
    <row r="51" spans="1:14" s="8" customFormat="1" ht="76.5">
      <c r="A51" s="162" t="s">
        <v>169</v>
      </c>
      <c r="B51" s="20" t="s">
        <v>434</v>
      </c>
      <c r="C51" s="146">
        <f t="shared" si="0"/>
        <v>500</v>
      </c>
      <c r="D51" s="148">
        <v>500</v>
      </c>
      <c r="E51" s="148"/>
      <c r="F51" s="148"/>
      <c r="G51" s="148"/>
      <c r="H51" s="146">
        <f t="shared" si="1"/>
        <v>0</v>
      </c>
      <c r="I51" s="148"/>
      <c r="J51" s="148"/>
      <c r="K51" s="148"/>
      <c r="L51" s="148"/>
      <c r="M51" s="148"/>
      <c r="N51" s="146">
        <f t="shared" si="2"/>
        <v>500</v>
      </c>
    </row>
    <row r="52" spans="1:14" s="8" customFormat="1" ht="63.75">
      <c r="A52" s="162" t="s">
        <v>170</v>
      </c>
      <c r="B52" s="20" t="s">
        <v>435</v>
      </c>
      <c r="C52" s="146">
        <f t="shared" si="0"/>
        <v>17800</v>
      </c>
      <c r="D52" s="148">
        <f>25000-7200</f>
        <v>17800</v>
      </c>
      <c r="E52" s="148"/>
      <c r="F52" s="148"/>
      <c r="G52" s="148"/>
      <c r="H52" s="146">
        <f t="shared" si="1"/>
        <v>0</v>
      </c>
      <c r="I52" s="148"/>
      <c r="J52" s="148"/>
      <c r="K52" s="148"/>
      <c r="L52" s="148"/>
      <c r="M52" s="148"/>
      <c r="N52" s="146">
        <f t="shared" si="2"/>
        <v>17800</v>
      </c>
    </row>
    <row r="53" spans="1:14" s="8" customFormat="1" ht="25.5" hidden="1">
      <c r="A53" s="166" t="s">
        <v>126</v>
      </c>
      <c r="B53" s="88" t="s">
        <v>243</v>
      </c>
      <c r="C53" s="146">
        <f t="shared" si="0"/>
        <v>0</v>
      </c>
      <c r="D53" s="148"/>
      <c r="E53" s="148"/>
      <c r="F53" s="148"/>
      <c r="G53" s="148"/>
      <c r="H53" s="146">
        <f t="shared" si="1"/>
        <v>0</v>
      </c>
      <c r="I53" s="148"/>
      <c r="J53" s="148"/>
      <c r="K53" s="148"/>
      <c r="L53" s="148"/>
      <c r="M53" s="148"/>
      <c r="N53" s="146">
        <f t="shared" si="2"/>
        <v>0</v>
      </c>
    </row>
    <row r="54" spans="1:14" s="8" customFormat="1" ht="25.5">
      <c r="A54" s="166" t="s">
        <v>127</v>
      </c>
      <c r="B54" s="163" t="s">
        <v>102</v>
      </c>
      <c r="C54" s="146">
        <f t="shared" si="0"/>
        <v>102524</v>
      </c>
      <c r="D54" s="148">
        <f>109180-6656</f>
        <v>102524</v>
      </c>
      <c r="E54" s="148"/>
      <c r="F54" s="148"/>
      <c r="G54" s="148"/>
      <c r="H54" s="146">
        <f t="shared" si="1"/>
        <v>0</v>
      </c>
      <c r="I54" s="148"/>
      <c r="J54" s="148"/>
      <c r="K54" s="148"/>
      <c r="L54" s="148"/>
      <c r="M54" s="148"/>
      <c r="N54" s="146">
        <f t="shared" si="2"/>
        <v>102524</v>
      </c>
    </row>
    <row r="55" spans="1:14" s="8" customFormat="1" ht="25.5">
      <c r="A55" s="166" t="s">
        <v>128</v>
      </c>
      <c r="B55" s="163" t="s">
        <v>191</v>
      </c>
      <c r="C55" s="146">
        <f t="shared" si="0"/>
        <v>830881</v>
      </c>
      <c r="D55" s="148">
        <f>1000000-111870-57249</f>
        <v>830881</v>
      </c>
      <c r="E55" s="148"/>
      <c r="F55" s="148"/>
      <c r="G55" s="148"/>
      <c r="H55" s="146">
        <f t="shared" si="1"/>
        <v>0</v>
      </c>
      <c r="I55" s="148"/>
      <c r="J55" s="148"/>
      <c r="K55" s="148"/>
      <c r="L55" s="148"/>
      <c r="M55" s="148"/>
      <c r="N55" s="146">
        <f t="shared" si="2"/>
        <v>830881</v>
      </c>
    </row>
    <row r="56" spans="1:14" s="8" customFormat="1" ht="25.5">
      <c r="A56" s="166" t="s">
        <v>129</v>
      </c>
      <c r="B56" s="163" t="s">
        <v>103</v>
      </c>
      <c r="C56" s="146">
        <f t="shared" si="0"/>
        <v>1248048</v>
      </c>
      <c r="D56" s="148">
        <f>1169428+78620</f>
        <v>1248048</v>
      </c>
      <c r="E56" s="148"/>
      <c r="F56" s="148"/>
      <c r="G56" s="148"/>
      <c r="H56" s="146">
        <f t="shared" si="1"/>
        <v>0</v>
      </c>
      <c r="I56" s="148"/>
      <c r="J56" s="148"/>
      <c r="K56" s="148"/>
      <c r="L56" s="148"/>
      <c r="M56" s="148"/>
      <c r="N56" s="146">
        <f t="shared" si="2"/>
        <v>1248048</v>
      </c>
    </row>
    <row r="57" spans="1:14" s="8" customFormat="1" ht="25.5">
      <c r="A57" s="166" t="s">
        <v>89</v>
      </c>
      <c r="B57" s="163" t="s">
        <v>172</v>
      </c>
      <c r="C57" s="146">
        <f t="shared" si="0"/>
        <v>236188</v>
      </c>
      <c r="D57" s="148">
        <f>236188</f>
        <v>236188</v>
      </c>
      <c r="E57" s="148"/>
      <c r="F57" s="148"/>
      <c r="G57" s="148"/>
      <c r="H57" s="146">
        <f t="shared" si="1"/>
        <v>0</v>
      </c>
      <c r="I57" s="148"/>
      <c r="J57" s="148"/>
      <c r="K57" s="148"/>
      <c r="L57" s="148"/>
      <c r="M57" s="148"/>
      <c r="N57" s="146">
        <f t="shared" si="2"/>
        <v>236188</v>
      </c>
    </row>
    <row r="58" spans="1:14" s="8" customFormat="1" ht="12.75">
      <c r="A58" s="166" t="s">
        <v>233</v>
      </c>
      <c r="B58" s="163" t="s">
        <v>171</v>
      </c>
      <c r="C58" s="146">
        <f t="shared" si="0"/>
        <v>836567</v>
      </c>
      <c r="D58" s="148">
        <f>836577-10</f>
        <v>836567</v>
      </c>
      <c r="E58" s="148"/>
      <c r="F58" s="148"/>
      <c r="G58" s="148"/>
      <c r="H58" s="146">
        <f t="shared" si="1"/>
        <v>0</v>
      </c>
      <c r="I58" s="148"/>
      <c r="J58" s="148"/>
      <c r="K58" s="148"/>
      <c r="L58" s="148"/>
      <c r="M58" s="148"/>
      <c r="N58" s="146">
        <f t="shared" si="2"/>
        <v>836567</v>
      </c>
    </row>
    <row r="59" spans="1:14" s="8" customFormat="1" ht="12.75">
      <c r="A59" s="162" t="s">
        <v>419</v>
      </c>
      <c r="B59" s="102" t="s">
        <v>420</v>
      </c>
      <c r="C59" s="146">
        <f t="shared" si="0"/>
        <v>50000</v>
      </c>
      <c r="D59" s="148">
        <f>50000</f>
        <v>50000</v>
      </c>
      <c r="E59" s="148"/>
      <c r="F59" s="148"/>
      <c r="G59" s="148"/>
      <c r="H59" s="146"/>
      <c r="I59" s="148"/>
      <c r="J59" s="148"/>
      <c r="K59" s="148"/>
      <c r="L59" s="148"/>
      <c r="M59" s="148"/>
      <c r="N59" s="146">
        <f t="shared" si="2"/>
        <v>50000</v>
      </c>
    </row>
    <row r="60" spans="1:14" s="8" customFormat="1" ht="25.5">
      <c r="A60" s="162" t="s">
        <v>173</v>
      </c>
      <c r="B60" s="163" t="s">
        <v>193</v>
      </c>
      <c r="C60" s="146">
        <f t="shared" si="0"/>
        <v>402433</v>
      </c>
      <c r="D60" s="148">
        <f>415000-12567</f>
        <v>402433</v>
      </c>
      <c r="E60" s="148"/>
      <c r="F60" s="148"/>
      <c r="G60" s="148"/>
      <c r="H60" s="146">
        <f t="shared" si="1"/>
        <v>0</v>
      </c>
      <c r="I60" s="148"/>
      <c r="J60" s="148"/>
      <c r="K60" s="148"/>
      <c r="L60" s="148"/>
      <c r="M60" s="148"/>
      <c r="N60" s="146">
        <f t="shared" si="2"/>
        <v>402433</v>
      </c>
    </row>
    <row r="61" spans="1:14" s="8" customFormat="1" ht="38.25">
      <c r="A61" s="162" t="s">
        <v>90</v>
      </c>
      <c r="B61" s="121" t="s">
        <v>148</v>
      </c>
      <c r="C61" s="146">
        <f t="shared" si="0"/>
        <v>350392</v>
      </c>
      <c r="D61" s="148">
        <f>D63+D64</f>
        <v>350392</v>
      </c>
      <c r="E61" s="148"/>
      <c r="F61" s="148"/>
      <c r="G61" s="148"/>
      <c r="H61" s="146">
        <f t="shared" si="1"/>
        <v>0</v>
      </c>
      <c r="I61" s="148"/>
      <c r="J61" s="148"/>
      <c r="K61" s="148"/>
      <c r="L61" s="148"/>
      <c r="M61" s="148"/>
      <c r="N61" s="146">
        <f t="shared" si="2"/>
        <v>350392</v>
      </c>
    </row>
    <row r="62" spans="1:14" s="8" customFormat="1" ht="12.75">
      <c r="A62" s="162"/>
      <c r="B62" s="102" t="s">
        <v>145</v>
      </c>
      <c r="C62" s="146"/>
      <c r="D62" s="148"/>
      <c r="E62" s="148"/>
      <c r="F62" s="148"/>
      <c r="G62" s="148"/>
      <c r="H62" s="146"/>
      <c r="I62" s="148"/>
      <c r="J62" s="148"/>
      <c r="K62" s="148"/>
      <c r="L62" s="148"/>
      <c r="M62" s="148"/>
      <c r="N62" s="146"/>
    </row>
    <row r="63" spans="1:14" s="8" customFormat="1" ht="63.75">
      <c r="A63" s="162"/>
      <c r="B63" s="102" t="s">
        <v>229</v>
      </c>
      <c r="C63" s="146">
        <f t="shared" si="0"/>
        <v>349392</v>
      </c>
      <c r="D63" s="148">
        <v>349392</v>
      </c>
      <c r="E63" s="148"/>
      <c r="F63" s="148"/>
      <c r="G63" s="148"/>
      <c r="H63" s="146">
        <f t="shared" si="1"/>
        <v>0</v>
      </c>
      <c r="I63" s="148"/>
      <c r="J63" s="148"/>
      <c r="K63" s="148"/>
      <c r="L63" s="148"/>
      <c r="M63" s="148"/>
      <c r="N63" s="146">
        <f t="shared" si="2"/>
        <v>349392</v>
      </c>
    </row>
    <row r="64" spans="1:14" s="8" customFormat="1" ht="25.5">
      <c r="A64" s="162"/>
      <c r="B64" s="102" t="s">
        <v>196</v>
      </c>
      <c r="C64" s="146">
        <f t="shared" si="0"/>
        <v>1000</v>
      </c>
      <c r="D64" s="148">
        <v>1000</v>
      </c>
      <c r="E64" s="148"/>
      <c r="F64" s="148"/>
      <c r="G64" s="148"/>
      <c r="H64" s="146">
        <f t="shared" si="1"/>
        <v>0</v>
      </c>
      <c r="I64" s="148"/>
      <c r="J64" s="148"/>
      <c r="K64" s="148"/>
      <c r="L64" s="148"/>
      <c r="M64" s="148"/>
      <c r="N64" s="146">
        <f t="shared" si="2"/>
        <v>1000</v>
      </c>
    </row>
    <row r="65" spans="1:14" s="8" customFormat="1" ht="25.5">
      <c r="A65" s="162" t="s">
        <v>48</v>
      </c>
      <c r="B65" s="163" t="s">
        <v>197</v>
      </c>
      <c r="C65" s="146">
        <f t="shared" si="0"/>
        <v>96038</v>
      </c>
      <c r="D65" s="148">
        <f>65800+14700+15538</f>
        <v>96038</v>
      </c>
      <c r="E65" s="148"/>
      <c r="F65" s="148"/>
      <c r="G65" s="148"/>
      <c r="H65" s="146">
        <f t="shared" si="1"/>
        <v>0</v>
      </c>
      <c r="I65" s="148"/>
      <c r="J65" s="148"/>
      <c r="K65" s="148"/>
      <c r="L65" s="148"/>
      <c r="M65" s="148"/>
      <c r="N65" s="146">
        <f t="shared" si="2"/>
        <v>96038</v>
      </c>
    </row>
    <row r="66" spans="1:14" s="8" customFormat="1" ht="25.5" hidden="1">
      <c r="A66" s="89" t="s">
        <v>390</v>
      </c>
      <c r="B66" s="79" t="s">
        <v>391</v>
      </c>
      <c r="C66" s="146">
        <f t="shared" si="0"/>
        <v>0</v>
      </c>
      <c r="D66" s="148"/>
      <c r="E66" s="148"/>
      <c r="F66" s="148"/>
      <c r="G66" s="148"/>
      <c r="H66" s="146"/>
      <c r="I66" s="148"/>
      <c r="J66" s="148"/>
      <c r="K66" s="148"/>
      <c r="L66" s="148"/>
      <c r="M66" s="148"/>
      <c r="N66" s="146">
        <f t="shared" si="2"/>
        <v>0</v>
      </c>
    </row>
    <row r="67" spans="1:14" s="8" customFormat="1" ht="25.5" hidden="1">
      <c r="A67" s="89" t="s">
        <v>321</v>
      </c>
      <c r="B67" s="79" t="s">
        <v>392</v>
      </c>
      <c r="C67" s="146">
        <f t="shared" si="0"/>
        <v>0</v>
      </c>
      <c r="D67" s="148"/>
      <c r="E67" s="148"/>
      <c r="F67" s="148"/>
      <c r="G67" s="148"/>
      <c r="H67" s="146"/>
      <c r="I67" s="148"/>
      <c r="J67" s="148"/>
      <c r="K67" s="148"/>
      <c r="L67" s="148"/>
      <c r="M67" s="148"/>
      <c r="N67" s="146">
        <f t="shared" si="2"/>
        <v>0</v>
      </c>
    </row>
    <row r="68" spans="1:14" s="8" customFormat="1" ht="76.5" hidden="1">
      <c r="A68" s="87" t="s">
        <v>318</v>
      </c>
      <c r="B68" s="77" t="s">
        <v>320</v>
      </c>
      <c r="C68" s="146">
        <f t="shared" si="0"/>
        <v>0</v>
      </c>
      <c r="D68" s="148">
        <f>D70+D71</f>
        <v>0</v>
      </c>
      <c r="E68" s="148"/>
      <c r="F68" s="148"/>
      <c r="G68" s="148"/>
      <c r="H68" s="146">
        <f t="shared" si="1"/>
        <v>0</v>
      </c>
      <c r="I68" s="148"/>
      <c r="J68" s="148"/>
      <c r="K68" s="148"/>
      <c r="L68" s="148"/>
      <c r="M68" s="148"/>
      <c r="N68" s="146">
        <f t="shared" si="2"/>
        <v>0</v>
      </c>
    </row>
    <row r="69" spans="1:14" s="8" customFormat="1" ht="12.75" hidden="1">
      <c r="A69" s="87"/>
      <c r="B69" s="102" t="s">
        <v>145</v>
      </c>
      <c r="C69" s="146"/>
      <c r="D69" s="148"/>
      <c r="E69" s="148"/>
      <c r="F69" s="148"/>
      <c r="G69" s="148"/>
      <c r="H69" s="146"/>
      <c r="I69" s="148"/>
      <c r="J69" s="148"/>
      <c r="K69" s="148"/>
      <c r="L69" s="148"/>
      <c r="M69" s="148"/>
      <c r="N69" s="146"/>
    </row>
    <row r="70" spans="1:14" s="8" customFormat="1" ht="63.75" hidden="1">
      <c r="A70" s="87"/>
      <c r="B70" s="102" t="s">
        <v>229</v>
      </c>
      <c r="C70" s="146">
        <f t="shared" si="0"/>
        <v>0</v>
      </c>
      <c r="D70" s="148"/>
      <c r="E70" s="148"/>
      <c r="F70" s="148"/>
      <c r="G70" s="148"/>
      <c r="H70" s="146"/>
      <c r="I70" s="148"/>
      <c r="J70" s="148"/>
      <c r="K70" s="148"/>
      <c r="L70" s="148"/>
      <c r="M70" s="148"/>
      <c r="N70" s="146">
        <f t="shared" si="2"/>
        <v>0</v>
      </c>
    </row>
    <row r="71" spans="1:14" s="8" customFormat="1" ht="25.5" hidden="1">
      <c r="A71" s="87"/>
      <c r="B71" s="102" t="s">
        <v>196</v>
      </c>
      <c r="C71" s="146">
        <f t="shared" si="0"/>
        <v>0</v>
      </c>
      <c r="D71" s="148"/>
      <c r="E71" s="148"/>
      <c r="F71" s="148"/>
      <c r="G71" s="148"/>
      <c r="H71" s="146"/>
      <c r="I71" s="148"/>
      <c r="J71" s="148"/>
      <c r="K71" s="148"/>
      <c r="L71" s="148"/>
      <c r="M71" s="148"/>
      <c r="N71" s="146">
        <f t="shared" si="2"/>
        <v>0</v>
      </c>
    </row>
    <row r="72" spans="1:14" s="8" customFormat="1" ht="25.5">
      <c r="A72" s="162" t="s">
        <v>160</v>
      </c>
      <c r="B72" s="184" t="s">
        <v>417</v>
      </c>
      <c r="C72" s="146">
        <f>D72+G72</f>
        <v>25350</v>
      </c>
      <c r="D72" s="148">
        <v>25350</v>
      </c>
      <c r="E72" s="148"/>
      <c r="F72" s="148"/>
      <c r="G72" s="148"/>
      <c r="H72" s="146">
        <f>I72+L72</f>
        <v>0</v>
      </c>
      <c r="I72" s="148"/>
      <c r="J72" s="148"/>
      <c r="K72" s="148"/>
      <c r="L72" s="148"/>
      <c r="M72" s="148"/>
      <c r="N72" s="146">
        <f>C72+H72</f>
        <v>25350</v>
      </c>
    </row>
    <row r="73" spans="1:14" s="8" customFormat="1" ht="25.5">
      <c r="A73" s="162" t="s">
        <v>120</v>
      </c>
      <c r="B73" s="163" t="s">
        <v>150</v>
      </c>
      <c r="C73" s="146">
        <f t="shared" si="0"/>
        <v>595899</v>
      </c>
      <c r="D73" s="148">
        <f>598037-2138</f>
        <v>595899</v>
      </c>
      <c r="E73" s="148"/>
      <c r="F73" s="148"/>
      <c r="G73" s="148"/>
      <c r="H73" s="146">
        <f t="shared" si="1"/>
        <v>0</v>
      </c>
      <c r="I73" s="148"/>
      <c r="J73" s="148"/>
      <c r="K73" s="148"/>
      <c r="L73" s="148"/>
      <c r="M73" s="148"/>
      <c r="N73" s="146">
        <f t="shared" si="2"/>
        <v>595899</v>
      </c>
    </row>
    <row r="74" spans="1:14" s="8" customFormat="1" ht="38.25">
      <c r="A74" s="45" t="s">
        <v>71</v>
      </c>
      <c r="B74" s="26" t="s">
        <v>446</v>
      </c>
      <c r="C74" s="146">
        <f t="shared" si="0"/>
        <v>33060</v>
      </c>
      <c r="D74" s="148">
        <v>33060</v>
      </c>
      <c r="E74" s="148"/>
      <c r="F74" s="148"/>
      <c r="G74" s="148"/>
      <c r="H74" s="146"/>
      <c r="I74" s="148"/>
      <c r="J74" s="148"/>
      <c r="K74" s="148"/>
      <c r="L74" s="148"/>
      <c r="M74" s="148"/>
      <c r="N74" s="146">
        <f t="shared" si="2"/>
        <v>33060</v>
      </c>
    </row>
    <row r="75" spans="1:14" s="132" customFormat="1" ht="38.25">
      <c r="A75" s="123" t="s">
        <v>376</v>
      </c>
      <c r="B75" s="125" t="s">
        <v>335</v>
      </c>
      <c r="C75" s="158">
        <f t="shared" si="0"/>
        <v>1012925</v>
      </c>
      <c r="D75" s="158">
        <f>D76+D77</f>
        <v>1008925</v>
      </c>
      <c r="E75" s="158">
        <f>E76+E77</f>
        <v>116449</v>
      </c>
      <c r="F75" s="158">
        <f>F76+F77</f>
        <v>484350</v>
      </c>
      <c r="G75" s="158">
        <f>G76+G77</f>
        <v>4000</v>
      </c>
      <c r="H75" s="158">
        <f t="shared" si="1"/>
        <v>50000</v>
      </c>
      <c r="I75" s="158">
        <f>I76+I77</f>
        <v>50000</v>
      </c>
      <c r="J75" s="158">
        <f>J76+J77</f>
        <v>0</v>
      </c>
      <c r="K75" s="158">
        <f>K76+K77</f>
        <v>10000</v>
      </c>
      <c r="L75" s="158">
        <f>L76+L77</f>
        <v>0</v>
      </c>
      <c r="M75" s="158">
        <f>M76+M77</f>
        <v>0</v>
      </c>
      <c r="N75" s="158">
        <f t="shared" si="2"/>
        <v>1062925</v>
      </c>
    </row>
    <row r="76" spans="1:14" s="17" customFormat="1" ht="12.75">
      <c r="A76" s="91" t="s">
        <v>22</v>
      </c>
      <c r="B76" s="20" t="s">
        <v>23</v>
      </c>
      <c r="C76" s="146">
        <f t="shared" si="0"/>
        <v>172925</v>
      </c>
      <c r="D76" s="146">
        <f>111846+8353+33700+12199+2827</f>
        <v>168925</v>
      </c>
      <c r="E76" s="146">
        <f>74546+6133+33700+2070</f>
        <v>116449</v>
      </c>
      <c r="F76" s="146"/>
      <c r="G76" s="146">
        <f>4000</f>
        <v>4000</v>
      </c>
      <c r="H76" s="146">
        <f t="shared" si="1"/>
        <v>0</v>
      </c>
      <c r="I76" s="146"/>
      <c r="J76" s="146"/>
      <c r="K76" s="146"/>
      <c r="L76" s="146"/>
      <c r="M76" s="146"/>
      <c r="N76" s="146">
        <f t="shared" si="2"/>
        <v>172925</v>
      </c>
    </row>
    <row r="77" spans="1:14" s="22" customFormat="1" ht="12.75">
      <c r="A77" s="46">
        <v>100203</v>
      </c>
      <c r="B77" s="20" t="s">
        <v>53</v>
      </c>
      <c r="C77" s="146">
        <f t="shared" si="0"/>
        <v>840000</v>
      </c>
      <c r="D77" s="147">
        <f>800000+40000</f>
        <v>840000</v>
      </c>
      <c r="E77" s="147"/>
      <c r="F77" s="147">
        <f>468000+40000-23650</f>
        <v>484350</v>
      </c>
      <c r="G77" s="147"/>
      <c r="H77" s="146">
        <f t="shared" si="1"/>
        <v>50000</v>
      </c>
      <c r="I77" s="147">
        <v>50000</v>
      </c>
      <c r="J77" s="147"/>
      <c r="K77" s="147">
        <v>10000</v>
      </c>
      <c r="L77" s="147"/>
      <c r="M77" s="147"/>
      <c r="N77" s="146">
        <f t="shared" si="2"/>
        <v>890000</v>
      </c>
    </row>
    <row r="78" spans="1:14" s="132" customFormat="1" ht="25.5">
      <c r="A78" s="123" t="s">
        <v>274</v>
      </c>
      <c r="B78" s="125" t="s">
        <v>336</v>
      </c>
      <c r="C78" s="158">
        <f t="shared" si="0"/>
        <v>307197</v>
      </c>
      <c r="D78" s="158">
        <f>D79</f>
        <v>299197</v>
      </c>
      <c r="E78" s="158">
        <f>E79</f>
        <v>207321</v>
      </c>
      <c r="F78" s="158">
        <f>F79</f>
        <v>0</v>
      </c>
      <c r="G78" s="158">
        <f>G79</f>
        <v>8000</v>
      </c>
      <c r="H78" s="180">
        <f t="shared" si="1"/>
        <v>1463738.07</v>
      </c>
      <c r="I78" s="180">
        <f>I79+I80</f>
        <v>1463738.07</v>
      </c>
      <c r="J78" s="158">
        <f>J79+J80</f>
        <v>0</v>
      </c>
      <c r="K78" s="158">
        <f>K79+K80</f>
        <v>0</v>
      </c>
      <c r="L78" s="158">
        <f>L79+L80</f>
        <v>0</v>
      </c>
      <c r="M78" s="158">
        <f>M79+M80</f>
        <v>0</v>
      </c>
      <c r="N78" s="180">
        <f t="shared" si="2"/>
        <v>1770935.07</v>
      </c>
    </row>
    <row r="79" spans="1:14" s="17" customFormat="1" ht="12.75">
      <c r="A79" s="91" t="s">
        <v>22</v>
      </c>
      <c r="B79" s="20" t="s">
        <v>23</v>
      </c>
      <c r="C79" s="146">
        <f t="shared" si="0"/>
        <v>307197</v>
      </c>
      <c r="D79" s="146">
        <f>188216+14770+59810+21651+14750</f>
        <v>299197</v>
      </c>
      <c r="E79" s="146">
        <f>125837+10844+59810+10830</f>
        <v>207321</v>
      </c>
      <c r="F79" s="146"/>
      <c r="G79" s="146">
        <f>8000</f>
        <v>8000</v>
      </c>
      <c r="H79" s="146">
        <f t="shared" si="1"/>
        <v>0</v>
      </c>
      <c r="I79" s="146"/>
      <c r="J79" s="146"/>
      <c r="K79" s="146"/>
      <c r="L79" s="146"/>
      <c r="M79" s="146"/>
      <c r="N79" s="146">
        <f t="shared" si="2"/>
        <v>307197</v>
      </c>
    </row>
    <row r="80" spans="1:14" s="17" customFormat="1" ht="76.5">
      <c r="A80" s="118" t="s">
        <v>401</v>
      </c>
      <c r="B80" s="79" t="s">
        <v>402</v>
      </c>
      <c r="C80" s="147">
        <f t="shared" si="0"/>
        <v>0</v>
      </c>
      <c r="D80" s="147"/>
      <c r="E80" s="147"/>
      <c r="F80" s="147"/>
      <c r="G80" s="147"/>
      <c r="H80" s="177">
        <f t="shared" si="1"/>
        <v>1463738.07</v>
      </c>
      <c r="I80" s="177">
        <v>1463738.07</v>
      </c>
      <c r="J80" s="147"/>
      <c r="K80" s="147"/>
      <c r="L80" s="147"/>
      <c r="M80" s="147"/>
      <c r="N80" s="178">
        <f t="shared" si="2"/>
        <v>1463738.07</v>
      </c>
    </row>
    <row r="81" spans="1:14" s="22" customFormat="1" ht="12.75">
      <c r="A81" s="45"/>
      <c r="B81" s="51" t="s">
        <v>73</v>
      </c>
      <c r="C81" s="146">
        <f t="shared" si="0"/>
        <v>58696494</v>
      </c>
      <c r="D81" s="147">
        <f>D10+D26+D41+D75+D78</f>
        <v>58041154</v>
      </c>
      <c r="E81" s="147">
        <f>E10+E26+E41+E75+E78</f>
        <v>26149447</v>
      </c>
      <c r="F81" s="147">
        <f>F10+F26+F41+F75+F78</f>
        <v>3516725</v>
      </c>
      <c r="G81" s="147">
        <f>G10+G26+G41+G75+G78</f>
        <v>655340</v>
      </c>
      <c r="H81" s="178">
        <f t="shared" si="1"/>
        <v>4526867.07</v>
      </c>
      <c r="I81" s="177">
        <f>I10+I26+I41+I75+I78</f>
        <v>4378933.07</v>
      </c>
      <c r="J81" s="147">
        <f>J10+J26+J41+J75+J78</f>
        <v>852835</v>
      </c>
      <c r="K81" s="147">
        <f>K10+K26+K41+K75+K78</f>
        <v>130543</v>
      </c>
      <c r="L81" s="147">
        <f>L10+L26+L41+L75+L78</f>
        <v>147934</v>
      </c>
      <c r="M81" s="147">
        <f>M10+M26+M41+M75+M78</f>
        <v>0</v>
      </c>
      <c r="N81" s="178">
        <f t="shared" si="2"/>
        <v>63223361.07</v>
      </c>
    </row>
    <row r="83" spans="1:10" s="32" customFormat="1" ht="15" customHeight="1">
      <c r="A83" s="32" t="s">
        <v>239</v>
      </c>
      <c r="B83" s="190"/>
      <c r="C83" s="190"/>
      <c r="D83" s="190"/>
      <c r="E83" s="190"/>
      <c r="J83" s="32" t="s">
        <v>442</v>
      </c>
    </row>
    <row r="85" ht="12.75">
      <c r="H85" s="99"/>
    </row>
  </sheetData>
  <mergeCells count="9">
    <mergeCell ref="N7:N8"/>
    <mergeCell ref="L1:N1"/>
    <mergeCell ref="L2:N2"/>
    <mergeCell ref="A5:O5"/>
    <mergeCell ref="L3:N3"/>
    <mergeCell ref="A7:A8"/>
    <mergeCell ref="B7:B8"/>
    <mergeCell ref="C7:G7"/>
    <mergeCell ref="H7:M7"/>
  </mergeCells>
  <printOptions/>
  <pageMargins left="0.9055118110236221" right="0.35433070866141736" top="0.5511811023622047" bottom="0.35433070866141736" header="0.4330708661417323" footer="0.35433070866141736"/>
  <pageSetup fitToHeight="5" fitToWidth="1" horizontalDpi="600" verticalDpi="600" orientation="landscape" paperSize="9" scale="72"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88"/>
  <sheetViews>
    <sheetView showZeros="0" view="pageBreakPreview" zoomScale="75" zoomScaleNormal="75" zoomScaleSheetLayoutView="75" workbookViewId="0" topLeftCell="A1">
      <pane xSplit="2" ySplit="10" topLeftCell="G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22" customWidth="1"/>
    <col min="2" max="2" width="38.625" style="22" customWidth="1"/>
    <col min="3" max="3" width="12.125" style="22" customWidth="1"/>
    <col min="4" max="4" width="11.875" style="22" customWidth="1"/>
    <col min="5" max="5" width="12.00390625" style="22" customWidth="1"/>
    <col min="6" max="6" width="10.00390625" style="22" customWidth="1"/>
    <col min="7" max="7" width="11.375" style="22" customWidth="1"/>
    <col min="8" max="8" width="12.125" style="22" customWidth="1"/>
    <col min="9" max="10" width="12.00390625" style="22" customWidth="1"/>
    <col min="11" max="11" width="10.125" style="22" customWidth="1"/>
    <col min="12" max="12" width="11.625" style="22" customWidth="1"/>
    <col min="13" max="13" width="9.875" style="22" customWidth="1"/>
    <col min="14" max="14" width="13.125" style="22" customWidth="1"/>
    <col min="15" max="16384" width="9.125" style="22" customWidth="1"/>
  </cols>
  <sheetData>
    <row r="1" spans="12:14" ht="18">
      <c r="L1" s="197" t="s">
        <v>313</v>
      </c>
      <c r="M1" s="197"/>
      <c r="N1" s="197"/>
    </row>
    <row r="2" spans="12:14" ht="18">
      <c r="L2" s="197" t="s">
        <v>112</v>
      </c>
      <c r="M2" s="197"/>
      <c r="N2" s="197"/>
    </row>
    <row r="3" spans="6:14" ht="18">
      <c r="F3" s="197"/>
      <c r="G3" s="197"/>
      <c r="H3" s="197"/>
      <c r="I3" s="207"/>
      <c r="L3" s="197" t="s">
        <v>451</v>
      </c>
      <c r="M3" s="197"/>
      <c r="N3" s="197"/>
    </row>
    <row r="5" spans="1:14" ht="18">
      <c r="A5" s="198" t="s">
        <v>6</v>
      </c>
      <c r="B5" s="198"/>
      <c r="C5" s="198"/>
      <c r="D5" s="198"/>
      <c r="E5" s="198"/>
      <c r="F5" s="198"/>
      <c r="G5" s="198"/>
      <c r="H5" s="198"/>
      <c r="I5" s="198"/>
      <c r="J5" s="198"/>
      <c r="K5" s="198"/>
      <c r="L5" s="198"/>
      <c r="M5" s="198"/>
      <c r="N5" s="198"/>
    </row>
    <row r="6" ht="12.75" hidden="1"/>
    <row r="7" spans="1:14" ht="12.75">
      <c r="A7" s="30"/>
      <c r="B7" s="30"/>
      <c r="C7" s="30"/>
      <c r="D7" s="30"/>
      <c r="E7" s="30"/>
      <c r="F7" s="30"/>
      <c r="G7" s="30"/>
      <c r="H7" s="30"/>
      <c r="I7" s="30"/>
      <c r="J7" s="30"/>
      <c r="K7" s="30"/>
      <c r="L7" s="208" t="s">
        <v>365</v>
      </c>
      <c r="M7" s="208"/>
      <c r="N7" s="30"/>
    </row>
    <row r="8" spans="1:14" ht="12.75">
      <c r="A8" s="193" t="s">
        <v>325</v>
      </c>
      <c r="B8" s="193" t="s">
        <v>326</v>
      </c>
      <c r="C8" s="196" t="s">
        <v>14</v>
      </c>
      <c r="D8" s="196"/>
      <c r="E8" s="196"/>
      <c r="F8" s="196"/>
      <c r="G8" s="196"/>
      <c r="H8" s="196" t="s">
        <v>15</v>
      </c>
      <c r="I8" s="196"/>
      <c r="J8" s="196"/>
      <c r="K8" s="196"/>
      <c r="L8" s="196"/>
      <c r="M8" s="196"/>
      <c r="N8" s="196" t="s">
        <v>95</v>
      </c>
    </row>
    <row r="9" spans="1:14" ht="51">
      <c r="A9" s="193"/>
      <c r="B9" s="193"/>
      <c r="C9" s="23" t="s">
        <v>16</v>
      </c>
      <c r="D9" s="6" t="s">
        <v>17</v>
      </c>
      <c r="E9" s="6" t="s">
        <v>18</v>
      </c>
      <c r="F9" s="6" t="s">
        <v>19</v>
      </c>
      <c r="G9" s="6" t="s">
        <v>20</v>
      </c>
      <c r="H9" s="23" t="s">
        <v>16</v>
      </c>
      <c r="I9" s="6" t="s">
        <v>17</v>
      </c>
      <c r="J9" s="6" t="s">
        <v>18</v>
      </c>
      <c r="K9" s="6" t="s">
        <v>19</v>
      </c>
      <c r="L9" s="6" t="s">
        <v>20</v>
      </c>
      <c r="M9" s="6" t="s">
        <v>21</v>
      </c>
      <c r="N9" s="196"/>
    </row>
    <row r="10" spans="1:14" s="85" customFormat="1" ht="12.75">
      <c r="A10" s="31">
        <v>1</v>
      </c>
      <c r="B10" s="31">
        <v>2</v>
      </c>
      <c r="C10" s="31">
        <v>3</v>
      </c>
      <c r="D10" s="31">
        <v>4</v>
      </c>
      <c r="E10" s="31">
        <v>5</v>
      </c>
      <c r="F10" s="31">
        <v>6</v>
      </c>
      <c r="G10" s="31">
        <v>7</v>
      </c>
      <c r="H10" s="31">
        <v>8</v>
      </c>
      <c r="I10" s="31">
        <v>9</v>
      </c>
      <c r="J10" s="31">
        <v>10</v>
      </c>
      <c r="K10" s="31">
        <v>11</v>
      </c>
      <c r="L10" s="31">
        <v>12</v>
      </c>
      <c r="M10" s="31">
        <v>13</v>
      </c>
      <c r="N10" s="31">
        <v>14</v>
      </c>
    </row>
    <row r="11" spans="1:14" s="124" customFormat="1" ht="12.75">
      <c r="A11" s="137" t="s">
        <v>262</v>
      </c>
      <c r="B11" s="138" t="s">
        <v>327</v>
      </c>
      <c r="C11" s="159">
        <f>D11+G11</f>
        <v>6394020</v>
      </c>
      <c r="D11" s="159">
        <f>D12+D13+D20+D21+D22</f>
        <v>6390020</v>
      </c>
      <c r="E11" s="159">
        <f>E12+E13+E20+E21+E22</f>
        <v>3889301</v>
      </c>
      <c r="F11" s="159">
        <f>F12+F13+F20+F21+F22</f>
        <v>275900</v>
      </c>
      <c r="G11" s="159">
        <f>G12+G13+G20+G21+G22</f>
        <v>4000</v>
      </c>
      <c r="H11" s="159">
        <f>I11+L11</f>
        <v>773832</v>
      </c>
      <c r="I11" s="159">
        <f>I12+I13+I20+I21+I22</f>
        <v>713832</v>
      </c>
      <c r="J11" s="159">
        <f>J12+J13+J20+J21+J22</f>
        <v>230879</v>
      </c>
      <c r="K11" s="159">
        <f>K12+K13+K20+K21+K22</f>
        <v>46265</v>
      </c>
      <c r="L11" s="159">
        <f>L12+L13+L20+L21+L22</f>
        <v>60000</v>
      </c>
      <c r="M11" s="159">
        <f>M12+M13+M20+M21+M22</f>
        <v>0</v>
      </c>
      <c r="N11" s="159">
        <f>C11+H11</f>
        <v>7167852</v>
      </c>
    </row>
    <row r="12" spans="1:14" s="2" customFormat="1" ht="12.75">
      <c r="A12" s="112" t="s">
        <v>22</v>
      </c>
      <c r="B12" s="113" t="s">
        <v>23</v>
      </c>
      <c r="C12" s="147">
        <f aca="true" t="shared" si="0" ref="C12:C84">D12+G12</f>
        <v>1931837</v>
      </c>
      <c r="D12" s="191">
        <f>1145090-12449+88892+12000+638714+40448+21815-6673</f>
        <v>1927837</v>
      </c>
      <c r="E12" s="157">
        <f>698632-9140+65266+474674+10869</f>
        <v>1240301</v>
      </c>
      <c r="F12" s="157">
        <f>51601+3144+21815-6673</f>
        <v>69887</v>
      </c>
      <c r="G12" s="157">
        <f>12000+4000-12000</f>
        <v>4000</v>
      </c>
      <c r="H12" s="147">
        <f aca="true" t="shared" si="1" ref="H12:H84">I12+L12</f>
        <v>0</v>
      </c>
      <c r="I12" s="157"/>
      <c r="J12" s="157"/>
      <c r="K12" s="157"/>
      <c r="L12" s="157"/>
      <c r="M12" s="157"/>
      <c r="N12" s="147">
        <f aca="true" t="shared" si="2" ref="N12:N84">C12+H12</f>
        <v>1931837</v>
      </c>
    </row>
    <row r="13" spans="1:14" s="2" customFormat="1" ht="12.75">
      <c r="A13" s="116" t="s">
        <v>33</v>
      </c>
      <c r="B13" s="117" t="s">
        <v>12</v>
      </c>
      <c r="C13" s="147">
        <f t="shared" si="0"/>
        <v>4413213</v>
      </c>
      <c r="D13" s="157">
        <f>D14+D15+D16+D17+D18+D19</f>
        <v>4413213</v>
      </c>
      <c r="E13" s="157">
        <f>E14+E15+E16+E17+E18+E19</f>
        <v>2649000</v>
      </c>
      <c r="F13" s="157">
        <f>F14+F15+F16+F17+F18+F19</f>
        <v>206013</v>
      </c>
      <c r="G13" s="157">
        <f>G14+G15+G16+G17+G18+G19</f>
        <v>0</v>
      </c>
      <c r="H13" s="147">
        <f t="shared" si="1"/>
        <v>737832</v>
      </c>
      <c r="I13" s="157">
        <f>I14+I15+I16+I17+I18+I19</f>
        <v>677832</v>
      </c>
      <c r="J13" s="157">
        <f>J14+J15+J16+J17+J18+J19</f>
        <v>230879</v>
      </c>
      <c r="K13" s="157">
        <f>K14+K15+K16+K17+K18+K19</f>
        <v>46265</v>
      </c>
      <c r="L13" s="157">
        <f>L14+L15+L16+L17+L18+L19</f>
        <v>60000</v>
      </c>
      <c r="M13" s="157">
        <f>M14+M15+M16+M17+M18+M19</f>
        <v>0</v>
      </c>
      <c r="N13" s="147">
        <f t="shared" si="2"/>
        <v>5151045</v>
      </c>
    </row>
    <row r="14" spans="1:14" ht="12.75" hidden="1">
      <c r="A14" s="25" t="s">
        <v>35</v>
      </c>
      <c r="B14" s="27" t="s">
        <v>36</v>
      </c>
      <c r="C14" s="147">
        <f t="shared" si="0"/>
        <v>0</v>
      </c>
      <c r="D14" s="147"/>
      <c r="E14" s="147"/>
      <c r="F14" s="147"/>
      <c r="G14" s="147"/>
      <c r="H14" s="147">
        <f t="shared" si="1"/>
        <v>0</v>
      </c>
      <c r="I14" s="147"/>
      <c r="J14" s="147"/>
      <c r="K14" s="147"/>
      <c r="L14" s="147"/>
      <c r="M14" s="147"/>
      <c r="N14" s="147">
        <f t="shared" si="2"/>
        <v>0</v>
      </c>
    </row>
    <row r="15" spans="1:14" ht="12.75" hidden="1">
      <c r="A15" s="25" t="s">
        <v>86</v>
      </c>
      <c r="B15" s="27" t="s">
        <v>87</v>
      </c>
      <c r="C15" s="147">
        <f t="shared" si="0"/>
        <v>0</v>
      </c>
      <c r="D15" s="147"/>
      <c r="E15" s="147"/>
      <c r="F15" s="147"/>
      <c r="G15" s="147"/>
      <c r="H15" s="147">
        <f t="shared" si="1"/>
        <v>0</v>
      </c>
      <c r="I15" s="147"/>
      <c r="J15" s="147"/>
      <c r="K15" s="147"/>
      <c r="L15" s="147"/>
      <c r="M15" s="147"/>
      <c r="N15" s="147">
        <f t="shared" si="2"/>
        <v>0</v>
      </c>
    </row>
    <row r="16" spans="1:14" ht="12.75">
      <c r="A16" s="25" t="s">
        <v>37</v>
      </c>
      <c r="B16" s="27" t="s">
        <v>98</v>
      </c>
      <c r="C16" s="147">
        <f t="shared" si="0"/>
        <v>3560599</v>
      </c>
      <c r="D16" s="147">
        <f>3251509+14000-2800+25677+285600-13387</f>
        <v>3560599</v>
      </c>
      <c r="E16" s="147">
        <v>2163619</v>
      </c>
      <c r="F16" s="147">
        <f>146437+25677-13387</f>
        <v>158727</v>
      </c>
      <c r="G16" s="147"/>
      <c r="H16" s="147">
        <f t="shared" si="1"/>
        <v>174082</v>
      </c>
      <c r="I16" s="147">
        <v>174082</v>
      </c>
      <c r="J16" s="147">
        <v>10619</v>
      </c>
      <c r="K16" s="147">
        <v>22385</v>
      </c>
      <c r="L16" s="147"/>
      <c r="M16" s="147"/>
      <c r="N16" s="147">
        <f t="shared" si="2"/>
        <v>3734681</v>
      </c>
    </row>
    <row r="17" spans="1:14" ht="25.5">
      <c r="A17" s="25" t="s">
        <v>39</v>
      </c>
      <c r="B17" s="26" t="s">
        <v>99</v>
      </c>
      <c r="C17" s="147">
        <f t="shared" si="0"/>
        <v>852614</v>
      </c>
      <c r="D17" s="147">
        <f>792891+9323+52400-2000</f>
        <v>852614</v>
      </c>
      <c r="E17" s="147">
        <v>485381</v>
      </c>
      <c r="F17" s="147">
        <f>39963+9323-2000</f>
        <v>47286</v>
      </c>
      <c r="G17" s="147"/>
      <c r="H17" s="147">
        <f t="shared" si="1"/>
        <v>563750</v>
      </c>
      <c r="I17" s="147">
        <v>503750</v>
      </c>
      <c r="J17" s="147">
        <v>220260</v>
      </c>
      <c r="K17" s="147">
        <v>23880</v>
      </c>
      <c r="L17" s="147">
        <v>60000</v>
      </c>
      <c r="M17" s="147"/>
      <c r="N17" s="147">
        <f t="shared" si="2"/>
        <v>1416364</v>
      </c>
    </row>
    <row r="18" spans="1:14" ht="12.75" hidden="1">
      <c r="A18" s="118" t="s">
        <v>42</v>
      </c>
      <c r="B18" s="26" t="s">
        <v>100</v>
      </c>
      <c r="C18" s="147">
        <f t="shared" si="0"/>
        <v>0</v>
      </c>
      <c r="D18" s="147"/>
      <c r="E18" s="147"/>
      <c r="F18" s="147"/>
      <c r="G18" s="147"/>
      <c r="H18" s="147">
        <f t="shared" si="1"/>
        <v>0</v>
      </c>
      <c r="I18" s="147"/>
      <c r="J18" s="147"/>
      <c r="K18" s="147"/>
      <c r="L18" s="147"/>
      <c r="M18" s="147"/>
      <c r="N18" s="147">
        <f t="shared" si="2"/>
        <v>0</v>
      </c>
    </row>
    <row r="19" spans="1:14" ht="12.75" hidden="1">
      <c r="A19" s="25" t="s">
        <v>45</v>
      </c>
      <c r="B19" s="26" t="s">
        <v>101</v>
      </c>
      <c r="C19" s="147">
        <f t="shared" si="0"/>
        <v>0</v>
      </c>
      <c r="D19" s="147"/>
      <c r="E19" s="147"/>
      <c r="F19" s="147"/>
      <c r="G19" s="147"/>
      <c r="H19" s="147">
        <f t="shared" si="1"/>
        <v>0</v>
      </c>
      <c r="I19" s="147"/>
      <c r="J19" s="147"/>
      <c r="K19" s="147"/>
      <c r="L19" s="147"/>
      <c r="M19" s="147"/>
      <c r="N19" s="147">
        <f t="shared" si="2"/>
        <v>0</v>
      </c>
    </row>
    <row r="20" spans="1:14" ht="25.5" hidden="1">
      <c r="A20" s="25" t="s">
        <v>160</v>
      </c>
      <c r="B20" s="16" t="s">
        <v>207</v>
      </c>
      <c r="C20" s="147">
        <f t="shared" si="0"/>
        <v>0</v>
      </c>
      <c r="D20" s="147"/>
      <c r="E20" s="147"/>
      <c r="F20" s="147"/>
      <c r="G20" s="147"/>
      <c r="H20" s="147">
        <f t="shared" si="1"/>
        <v>0</v>
      </c>
      <c r="I20" s="147"/>
      <c r="J20" s="147"/>
      <c r="K20" s="147"/>
      <c r="L20" s="147"/>
      <c r="M20" s="147"/>
      <c r="N20" s="147">
        <f t="shared" si="2"/>
        <v>0</v>
      </c>
    </row>
    <row r="21" spans="1:14" ht="12.75">
      <c r="A21" s="28" t="s">
        <v>69</v>
      </c>
      <c r="B21" s="26" t="s">
        <v>91</v>
      </c>
      <c r="C21" s="147">
        <f t="shared" si="0"/>
        <v>0</v>
      </c>
      <c r="D21" s="147"/>
      <c r="E21" s="147"/>
      <c r="F21" s="147"/>
      <c r="G21" s="147"/>
      <c r="H21" s="147">
        <f t="shared" si="1"/>
        <v>36000</v>
      </c>
      <c r="I21" s="147">
        <v>36000</v>
      </c>
      <c r="J21" s="147"/>
      <c r="K21" s="147"/>
      <c r="L21" s="147"/>
      <c r="M21" s="147"/>
      <c r="N21" s="147">
        <f t="shared" si="2"/>
        <v>36000</v>
      </c>
    </row>
    <row r="22" spans="1:14" ht="12.75">
      <c r="A22" s="28" t="s">
        <v>71</v>
      </c>
      <c r="B22" s="79" t="s">
        <v>70</v>
      </c>
      <c r="C22" s="147">
        <f t="shared" si="0"/>
        <v>48970</v>
      </c>
      <c r="D22" s="147">
        <f>D23+D24+D26+D25</f>
        <v>48970</v>
      </c>
      <c r="E22" s="147">
        <f>E23+E24+E26+E25</f>
        <v>0</v>
      </c>
      <c r="F22" s="147">
        <f>F23+F24+F26+F25</f>
        <v>0</v>
      </c>
      <c r="G22" s="147">
        <f>G23+G24+G26+G25</f>
        <v>0</v>
      </c>
      <c r="H22" s="147">
        <f t="shared" si="1"/>
        <v>0</v>
      </c>
      <c r="I22" s="147"/>
      <c r="J22" s="147">
        <f>J23+J24+J26+J25</f>
        <v>0</v>
      </c>
      <c r="K22" s="147">
        <f>K23+K24+K26+K25</f>
        <v>0</v>
      </c>
      <c r="L22" s="147">
        <f>L23+L24+L26+L25</f>
        <v>0</v>
      </c>
      <c r="M22" s="147">
        <f>M23+M24+M26+M25</f>
        <v>0</v>
      </c>
      <c r="N22" s="147">
        <f t="shared" si="2"/>
        <v>48970</v>
      </c>
    </row>
    <row r="23" spans="1:14" ht="25.5">
      <c r="A23" s="28"/>
      <c r="B23" s="79" t="s">
        <v>242</v>
      </c>
      <c r="C23" s="147">
        <f t="shared" si="0"/>
        <v>34320</v>
      </c>
      <c r="D23" s="147">
        <v>34320</v>
      </c>
      <c r="E23" s="147"/>
      <c r="F23" s="147"/>
      <c r="G23" s="147"/>
      <c r="H23" s="147">
        <f t="shared" si="1"/>
        <v>0</v>
      </c>
      <c r="I23" s="147"/>
      <c r="J23" s="147"/>
      <c r="K23" s="147"/>
      <c r="L23" s="147"/>
      <c r="M23" s="147"/>
      <c r="N23" s="147">
        <f t="shared" si="2"/>
        <v>34320</v>
      </c>
    </row>
    <row r="24" spans="1:14" ht="25.5">
      <c r="A24" s="28"/>
      <c r="B24" s="79" t="s">
        <v>241</v>
      </c>
      <c r="C24" s="147">
        <f t="shared" si="0"/>
        <v>9650</v>
      </c>
      <c r="D24" s="147">
        <v>9650</v>
      </c>
      <c r="E24" s="147"/>
      <c r="F24" s="147"/>
      <c r="G24" s="147"/>
      <c r="H24" s="147">
        <f t="shared" si="1"/>
        <v>0</v>
      </c>
      <c r="I24" s="147"/>
      <c r="J24" s="147"/>
      <c r="K24" s="147"/>
      <c r="L24" s="147"/>
      <c r="M24" s="147"/>
      <c r="N24" s="147">
        <f t="shared" si="2"/>
        <v>9650</v>
      </c>
    </row>
    <row r="25" spans="1:14" ht="38.25" hidden="1">
      <c r="A25" s="28"/>
      <c r="B25" s="108" t="s">
        <v>236</v>
      </c>
      <c r="C25" s="147">
        <f t="shared" si="0"/>
        <v>0</v>
      </c>
      <c r="D25" s="147"/>
      <c r="E25" s="147"/>
      <c r="F25" s="147"/>
      <c r="G25" s="147"/>
      <c r="H25" s="147">
        <f t="shared" si="1"/>
        <v>0</v>
      </c>
      <c r="I25" s="147"/>
      <c r="J25" s="147"/>
      <c r="K25" s="147"/>
      <c r="L25" s="147"/>
      <c r="M25" s="147"/>
      <c r="N25" s="147">
        <f t="shared" si="2"/>
        <v>0</v>
      </c>
    </row>
    <row r="26" spans="1:14" ht="38.25">
      <c r="A26" s="45"/>
      <c r="B26" s="26" t="s">
        <v>446</v>
      </c>
      <c r="C26" s="147">
        <f t="shared" si="0"/>
        <v>5000</v>
      </c>
      <c r="D26" s="147">
        <v>5000</v>
      </c>
      <c r="E26" s="147"/>
      <c r="F26" s="147"/>
      <c r="G26" s="147"/>
      <c r="H26" s="147">
        <f t="shared" si="1"/>
        <v>0</v>
      </c>
      <c r="I26" s="147"/>
      <c r="J26" s="147"/>
      <c r="K26" s="147"/>
      <c r="L26" s="147"/>
      <c r="M26" s="147"/>
      <c r="N26" s="147">
        <f t="shared" si="2"/>
        <v>5000</v>
      </c>
    </row>
    <row r="27" spans="1:14" s="124" customFormat="1" ht="25.5">
      <c r="A27" s="137" t="s">
        <v>266</v>
      </c>
      <c r="B27" s="138" t="s">
        <v>328</v>
      </c>
      <c r="C27" s="159">
        <f t="shared" si="0"/>
        <v>20510746</v>
      </c>
      <c r="D27" s="159">
        <f>D28+D29+D40+D41</f>
        <v>20254746</v>
      </c>
      <c r="E27" s="159">
        <f>E28+E29+E40+E41</f>
        <v>11301669</v>
      </c>
      <c r="F27" s="159">
        <f>F28+F29+F40+F41</f>
        <v>1970056</v>
      </c>
      <c r="G27" s="159">
        <f>G28+G29+G40+G41</f>
        <v>256000</v>
      </c>
      <c r="H27" s="159">
        <f t="shared" si="1"/>
        <v>1229879</v>
      </c>
      <c r="I27" s="159">
        <f>I28+I29</f>
        <v>1229879</v>
      </c>
      <c r="J27" s="159">
        <f>J28+J29</f>
        <v>87524</v>
      </c>
      <c r="K27" s="159">
        <f>K28+K29</f>
        <v>19619</v>
      </c>
      <c r="L27" s="159">
        <f>L28+L29</f>
        <v>0</v>
      </c>
      <c r="M27" s="159">
        <f>M28+M29</f>
        <v>0</v>
      </c>
      <c r="N27" s="159">
        <f t="shared" si="2"/>
        <v>21740625</v>
      </c>
    </row>
    <row r="28" spans="1:14" s="2" customFormat="1" ht="12.75">
      <c r="A28" s="112" t="s">
        <v>22</v>
      </c>
      <c r="B28" s="113" t="s">
        <v>23</v>
      </c>
      <c r="C28" s="147">
        <f t="shared" si="0"/>
        <v>165968</v>
      </c>
      <c r="D28" s="157">
        <f>107028+8323+43123+3494</f>
        <v>161968</v>
      </c>
      <c r="E28" s="157">
        <f>76636+6111+31662+2565</f>
        <v>116974</v>
      </c>
      <c r="F28" s="157"/>
      <c r="G28" s="157">
        <v>4000</v>
      </c>
      <c r="H28" s="147">
        <f t="shared" si="1"/>
        <v>0</v>
      </c>
      <c r="I28" s="157"/>
      <c r="J28" s="157"/>
      <c r="K28" s="157"/>
      <c r="L28" s="157"/>
      <c r="M28" s="157"/>
      <c r="N28" s="147">
        <f t="shared" si="2"/>
        <v>165968</v>
      </c>
    </row>
    <row r="29" spans="1:14" s="2" customFormat="1" ht="12.75">
      <c r="A29" s="114" t="s">
        <v>24</v>
      </c>
      <c r="B29" s="115" t="s">
        <v>25</v>
      </c>
      <c r="C29" s="147">
        <f t="shared" si="0"/>
        <v>20284814</v>
      </c>
      <c r="D29" s="157">
        <f>D30+D31+D32+D34+D35+D36+D37+D33+D38+D39</f>
        <v>20066814</v>
      </c>
      <c r="E29" s="157">
        <f>E30+E31+E32+E34+E35+E36+E37+E33+E38+E39</f>
        <v>11184695</v>
      </c>
      <c r="F29" s="157">
        <f>F30+F31+F32+F34+F35+F36+F37+F33+F38+F39</f>
        <v>1970056</v>
      </c>
      <c r="G29" s="157">
        <f>G30+G31+G32+G34+G35+G36+G37+G33+G38+G39</f>
        <v>218000</v>
      </c>
      <c r="H29" s="147">
        <f t="shared" si="1"/>
        <v>1229879</v>
      </c>
      <c r="I29" s="157">
        <f>I30+I31+I32+I34+I35+I36+I37+I33</f>
        <v>1229879</v>
      </c>
      <c r="J29" s="157">
        <f>J30+J31+J32+J34+J35+J36+J37+J33</f>
        <v>87524</v>
      </c>
      <c r="K29" s="157">
        <f>K30+K31+K32+K34+K35+K36+K37+K33</f>
        <v>19619</v>
      </c>
      <c r="L29" s="157">
        <f>L30+L31+L32+L34+L35+L36+L37+L33</f>
        <v>0</v>
      </c>
      <c r="M29" s="157">
        <f>M30+M31+M32+M34+M35+M36+M37+M33</f>
        <v>0</v>
      </c>
      <c r="N29" s="147">
        <f t="shared" si="2"/>
        <v>21514693</v>
      </c>
    </row>
    <row r="30" spans="1:14" ht="12.75">
      <c r="A30" s="25" t="s">
        <v>80</v>
      </c>
      <c r="B30" s="27" t="s">
        <v>76</v>
      </c>
      <c r="C30" s="147">
        <f t="shared" si="0"/>
        <v>6906557</v>
      </c>
      <c r="D30" s="147">
        <f>6325816-14529+200400+158933+928-90400-132282+18519+251732+137440</f>
        <v>6856557</v>
      </c>
      <c r="E30" s="147">
        <f>3354656+5664+27259+18519</f>
        <v>3406098</v>
      </c>
      <c r="F30" s="147">
        <f>686283+77377+158933-149946+137440</f>
        <v>910087</v>
      </c>
      <c r="G30" s="147">
        <f>50000</f>
        <v>50000</v>
      </c>
      <c r="H30" s="147">
        <f t="shared" si="1"/>
        <v>833149</v>
      </c>
      <c r="I30" s="147">
        <v>833149</v>
      </c>
      <c r="J30" s="147"/>
      <c r="K30" s="147">
        <v>2000</v>
      </c>
      <c r="L30" s="147"/>
      <c r="M30" s="147"/>
      <c r="N30" s="147">
        <f t="shared" si="2"/>
        <v>7739706</v>
      </c>
    </row>
    <row r="31" spans="1:14" ht="41.25" customHeight="1">
      <c r="A31" s="25" t="s">
        <v>26</v>
      </c>
      <c r="B31" s="26" t="s">
        <v>280</v>
      </c>
      <c r="C31" s="147">
        <f t="shared" si="0"/>
        <v>11494807</v>
      </c>
      <c r="D31" s="147">
        <f>10899689+6170+226100+237067-1699-131100-199640+131100+177120</f>
        <v>11344807</v>
      </c>
      <c r="E31" s="147">
        <f>6970141-18036</f>
        <v>6952105</v>
      </c>
      <c r="F31" s="147">
        <f>739990+49386+237067-198689+177120</f>
        <v>1004874</v>
      </c>
      <c r="G31" s="147">
        <f>150000</f>
        <v>150000</v>
      </c>
      <c r="H31" s="147">
        <f t="shared" si="1"/>
        <v>366620</v>
      </c>
      <c r="I31" s="147">
        <v>366620</v>
      </c>
      <c r="J31" s="147">
        <v>87524</v>
      </c>
      <c r="K31" s="147">
        <v>14879</v>
      </c>
      <c r="L31" s="147"/>
      <c r="M31" s="147"/>
      <c r="N31" s="147">
        <f t="shared" si="2"/>
        <v>11861427</v>
      </c>
    </row>
    <row r="32" spans="1:14" ht="12.75">
      <c r="A32" s="25" t="s">
        <v>81</v>
      </c>
      <c r="B32" s="27" t="s">
        <v>96</v>
      </c>
      <c r="C32" s="147">
        <f t="shared" si="0"/>
        <v>566732</v>
      </c>
      <c r="D32" s="147">
        <f>534021+12257+18000+54-13000-4084+6484+13000</f>
        <v>566732</v>
      </c>
      <c r="E32" s="147">
        <f>376630+471+6484</f>
        <v>383585</v>
      </c>
      <c r="F32" s="147">
        <f>18627+12257-1365</f>
        <v>29519</v>
      </c>
      <c r="G32" s="147"/>
      <c r="H32" s="147">
        <f t="shared" si="1"/>
        <v>13427</v>
      </c>
      <c r="I32" s="147">
        <v>13427</v>
      </c>
      <c r="J32" s="147"/>
      <c r="K32" s="147">
        <v>2740</v>
      </c>
      <c r="L32" s="147"/>
      <c r="M32" s="147"/>
      <c r="N32" s="147">
        <f t="shared" si="2"/>
        <v>580159</v>
      </c>
    </row>
    <row r="33" spans="1:14" ht="51" hidden="1">
      <c r="A33" s="45" t="s">
        <v>373</v>
      </c>
      <c r="B33" s="51" t="s">
        <v>374</v>
      </c>
      <c r="C33" s="147">
        <f>D33+G33</f>
        <v>0</v>
      </c>
      <c r="D33" s="147"/>
      <c r="E33" s="147"/>
      <c r="F33" s="147"/>
      <c r="G33" s="147"/>
      <c r="H33" s="147">
        <f>I33+L33</f>
        <v>0</v>
      </c>
      <c r="I33" s="147"/>
      <c r="J33" s="147"/>
      <c r="K33" s="147"/>
      <c r="L33" s="147"/>
      <c r="M33" s="147"/>
      <c r="N33" s="147">
        <f>C33+H33</f>
        <v>0</v>
      </c>
    </row>
    <row r="34" spans="1:14" ht="25.5">
      <c r="A34" s="25" t="s">
        <v>29</v>
      </c>
      <c r="B34" s="26" t="s">
        <v>281</v>
      </c>
      <c r="C34" s="147">
        <f t="shared" si="0"/>
        <v>143467</v>
      </c>
      <c r="D34" s="147">
        <f>161534-7714-10353</f>
        <v>143467</v>
      </c>
      <c r="E34" s="147">
        <f>112953-5664-7853</f>
        <v>99436</v>
      </c>
      <c r="F34" s="147"/>
      <c r="G34" s="147"/>
      <c r="H34" s="147">
        <f t="shared" si="1"/>
        <v>0</v>
      </c>
      <c r="I34" s="147"/>
      <c r="J34" s="147"/>
      <c r="K34" s="147"/>
      <c r="L34" s="147"/>
      <c r="M34" s="147"/>
      <c r="N34" s="147">
        <f t="shared" si="2"/>
        <v>143467</v>
      </c>
    </row>
    <row r="35" spans="1:14" ht="25.5">
      <c r="A35" s="25" t="s">
        <v>30</v>
      </c>
      <c r="B35" s="26" t="s">
        <v>282</v>
      </c>
      <c r="C35" s="147">
        <f t="shared" si="0"/>
        <v>515472</v>
      </c>
      <c r="D35" s="147">
        <f>501705-795+3686+717-1841</f>
        <v>503472</v>
      </c>
      <c r="E35" s="147">
        <f>276719-1841</f>
        <v>274878</v>
      </c>
      <c r="F35" s="147">
        <f>21890+3686</f>
        <v>25576</v>
      </c>
      <c r="G35" s="147">
        <v>12000</v>
      </c>
      <c r="H35" s="147">
        <f t="shared" si="1"/>
        <v>0</v>
      </c>
      <c r="I35" s="147"/>
      <c r="J35" s="147"/>
      <c r="K35" s="147"/>
      <c r="L35" s="147"/>
      <c r="M35" s="147"/>
      <c r="N35" s="147">
        <f t="shared" si="2"/>
        <v>515472</v>
      </c>
    </row>
    <row r="36" spans="1:14" ht="25.5">
      <c r="A36" s="25" t="s">
        <v>31</v>
      </c>
      <c r="B36" s="26" t="s">
        <v>32</v>
      </c>
      <c r="C36" s="147">
        <f t="shared" si="0"/>
        <v>186640</v>
      </c>
      <c r="D36" s="147">
        <f>138440+44000-24000-1800+24000</f>
        <v>180640</v>
      </c>
      <c r="E36" s="147">
        <f>68593</f>
        <v>68593</v>
      </c>
      <c r="F36" s="147"/>
      <c r="G36" s="147">
        <v>6000</v>
      </c>
      <c r="H36" s="147">
        <f t="shared" si="1"/>
        <v>16683</v>
      </c>
      <c r="I36" s="147">
        <v>16683</v>
      </c>
      <c r="J36" s="147"/>
      <c r="K36" s="147"/>
      <c r="L36" s="147"/>
      <c r="M36" s="147"/>
      <c r="N36" s="147">
        <f t="shared" si="2"/>
        <v>203323</v>
      </c>
    </row>
    <row r="37" spans="1:14" ht="12.75" hidden="1">
      <c r="A37" s="25" t="s">
        <v>104</v>
      </c>
      <c r="B37" s="26" t="s">
        <v>97</v>
      </c>
      <c r="C37" s="147">
        <f t="shared" si="0"/>
        <v>0</v>
      </c>
      <c r="D37" s="147"/>
      <c r="E37" s="147"/>
      <c r="F37" s="147"/>
      <c r="G37" s="147"/>
      <c r="H37" s="147">
        <f t="shared" si="1"/>
        <v>0</v>
      </c>
      <c r="I37" s="147"/>
      <c r="J37" s="147"/>
      <c r="K37" s="147"/>
      <c r="L37" s="147"/>
      <c r="M37" s="147"/>
      <c r="N37" s="147">
        <f t="shared" si="2"/>
        <v>0</v>
      </c>
    </row>
    <row r="38" spans="1:14" s="17" customFormat="1" ht="38.25">
      <c r="A38" s="45" t="s">
        <v>371</v>
      </c>
      <c r="B38" s="27" t="s">
        <v>372</v>
      </c>
      <c r="C38" s="147">
        <f t="shared" si="0"/>
        <v>2385</v>
      </c>
      <c r="D38" s="147">
        <f>1590+795</f>
        <v>2385</v>
      </c>
      <c r="E38" s="147"/>
      <c r="F38" s="147"/>
      <c r="G38" s="147"/>
      <c r="H38" s="147">
        <f t="shared" si="1"/>
        <v>0</v>
      </c>
      <c r="I38" s="147"/>
      <c r="J38" s="147"/>
      <c r="K38" s="147"/>
      <c r="L38" s="147"/>
      <c r="M38" s="147"/>
      <c r="N38" s="146">
        <f t="shared" si="2"/>
        <v>2385</v>
      </c>
    </row>
    <row r="39" spans="1:16" ht="89.25">
      <c r="A39" s="45" t="s">
        <v>398</v>
      </c>
      <c r="B39" s="27" t="s">
        <v>399</v>
      </c>
      <c r="C39" s="143">
        <f t="shared" si="0"/>
        <v>468754</v>
      </c>
      <c r="D39" s="143">
        <f>456176+12578</f>
        <v>468754</v>
      </c>
      <c r="E39" s="143"/>
      <c r="F39" s="143"/>
      <c r="G39" s="143"/>
      <c r="H39" s="143">
        <f t="shared" si="1"/>
        <v>0</v>
      </c>
      <c r="I39" s="143"/>
      <c r="J39" s="143"/>
      <c r="K39" s="143"/>
      <c r="L39" s="143"/>
      <c r="M39" s="143"/>
      <c r="N39" s="142">
        <f t="shared" si="2"/>
        <v>468754</v>
      </c>
      <c r="O39" s="144"/>
      <c r="P39" s="144"/>
    </row>
    <row r="40" spans="1:16" ht="63.75">
      <c r="A40" s="45" t="s">
        <v>309</v>
      </c>
      <c r="B40" s="27" t="s">
        <v>415</v>
      </c>
      <c r="C40" s="143">
        <f t="shared" si="0"/>
        <v>2964</v>
      </c>
      <c r="D40" s="147">
        <f>3629-665</f>
        <v>2964</v>
      </c>
      <c r="E40" s="143"/>
      <c r="F40" s="143"/>
      <c r="G40" s="143"/>
      <c r="H40" s="143">
        <f t="shared" si="1"/>
        <v>0</v>
      </c>
      <c r="I40" s="143"/>
      <c r="J40" s="143"/>
      <c r="K40" s="143"/>
      <c r="L40" s="143"/>
      <c r="M40" s="143"/>
      <c r="N40" s="142">
        <f t="shared" si="2"/>
        <v>2964</v>
      </c>
      <c r="O40" s="144"/>
      <c r="P40" s="144"/>
    </row>
    <row r="41" spans="1:16" ht="38.25">
      <c r="A41" s="45" t="s">
        <v>71</v>
      </c>
      <c r="B41" s="26" t="s">
        <v>446</v>
      </c>
      <c r="C41" s="143">
        <f t="shared" si="0"/>
        <v>57000</v>
      </c>
      <c r="D41" s="147">
        <v>23000</v>
      </c>
      <c r="E41" s="143"/>
      <c r="F41" s="143"/>
      <c r="G41" s="143">
        <f>24000+10000</f>
        <v>34000</v>
      </c>
      <c r="H41" s="143"/>
      <c r="I41" s="143"/>
      <c r="J41" s="143"/>
      <c r="K41" s="143"/>
      <c r="L41" s="143"/>
      <c r="M41" s="143"/>
      <c r="N41" s="142">
        <f t="shared" si="2"/>
        <v>57000</v>
      </c>
      <c r="O41" s="144"/>
      <c r="P41" s="144"/>
    </row>
    <row r="42" spans="1:14" s="124" customFormat="1" ht="38.25">
      <c r="A42" s="137" t="s">
        <v>267</v>
      </c>
      <c r="B42" s="138" t="s">
        <v>329</v>
      </c>
      <c r="C42" s="159">
        <f t="shared" si="0"/>
        <v>10359699</v>
      </c>
      <c r="D42" s="159">
        <f>D43+D44+D75+D76</f>
        <v>10325699</v>
      </c>
      <c r="E42" s="159">
        <f>E43+E44+E75+E76</f>
        <v>695257</v>
      </c>
      <c r="F42" s="159">
        <f>F43+F44+F75+F76</f>
        <v>22354</v>
      </c>
      <c r="G42" s="159">
        <f>G43+G44+G75+G76</f>
        <v>34000</v>
      </c>
      <c r="H42" s="159">
        <f t="shared" si="1"/>
        <v>0</v>
      </c>
      <c r="I42" s="159">
        <f>I43+I44</f>
        <v>0</v>
      </c>
      <c r="J42" s="159">
        <f>J43+J44</f>
        <v>0</v>
      </c>
      <c r="K42" s="159">
        <f>K43+K44</f>
        <v>0</v>
      </c>
      <c r="L42" s="159">
        <f>L43+L44</f>
        <v>0</v>
      </c>
      <c r="M42" s="159">
        <f>M43+M44</f>
        <v>0</v>
      </c>
      <c r="N42" s="159">
        <f t="shared" si="2"/>
        <v>10359699</v>
      </c>
    </row>
    <row r="43" spans="1:14" s="2" customFormat="1" ht="12.75">
      <c r="A43" s="112" t="s">
        <v>22</v>
      </c>
      <c r="B43" s="113" t="s">
        <v>23</v>
      </c>
      <c r="C43" s="147">
        <f t="shared" si="0"/>
        <v>1031072</v>
      </c>
      <c r="D43" s="157">
        <f>666778+48940+262761+16472+4621-2500</f>
        <v>997072</v>
      </c>
      <c r="E43" s="157">
        <f>451077+35933+193845+14402</f>
        <v>695257</v>
      </c>
      <c r="F43" s="157">
        <f>23377-3144+4621-2500</f>
        <v>22354</v>
      </c>
      <c r="G43" s="157">
        <f>30000+4000</f>
        <v>34000</v>
      </c>
      <c r="H43" s="147">
        <f t="shared" si="1"/>
        <v>0</v>
      </c>
      <c r="I43" s="157"/>
      <c r="J43" s="157"/>
      <c r="K43" s="157"/>
      <c r="L43" s="157"/>
      <c r="M43" s="157"/>
      <c r="N43" s="147">
        <f t="shared" si="2"/>
        <v>1031072</v>
      </c>
    </row>
    <row r="44" spans="1:14" s="2" customFormat="1" ht="25.5">
      <c r="A44" s="114" t="s">
        <v>47</v>
      </c>
      <c r="B44" s="119" t="s">
        <v>147</v>
      </c>
      <c r="C44" s="147">
        <f t="shared" si="0"/>
        <v>9311627</v>
      </c>
      <c r="D44" s="157">
        <f>D45+D46+D47+D48+D49+D50+D51+D52+D53+D54+D62+D63+D67+D70+D74+D68+D69</f>
        <v>9311627</v>
      </c>
      <c r="E44" s="157"/>
      <c r="F44" s="157"/>
      <c r="G44" s="157"/>
      <c r="H44" s="147">
        <f t="shared" si="1"/>
        <v>0</v>
      </c>
      <c r="I44" s="157"/>
      <c r="J44" s="157"/>
      <c r="K44" s="157"/>
      <c r="L44" s="157"/>
      <c r="M44" s="157"/>
      <c r="N44" s="147">
        <f t="shared" si="2"/>
        <v>9311627</v>
      </c>
    </row>
    <row r="45" spans="1:14" ht="229.5">
      <c r="A45" s="25" t="s">
        <v>158</v>
      </c>
      <c r="B45" s="88" t="s">
        <v>429</v>
      </c>
      <c r="C45" s="147">
        <f t="shared" si="0"/>
        <v>4116261</v>
      </c>
      <c r="D45" s="147">
        <f>4002261+114000</f>
        <v>4116261</v>
      </c>
      <c r="E45" s="147"/>
      <c r="F45" s="147"/>
      <c r="G45" s="147"/>
      <c r="H45" s="147">
        <f t="shared" si="1"/>
        <v>0</v>
      </c>
      <c r="I45" s="147"/>
      <c r="J45" s="147"/>
      <c r="K45" s="147"/>
      <c r="L45" s="147"/>
      <c r="M45" s="147"/>
      <c r="N45" s="147">
        <f t="shared" si="2"/>
        <v>4116261</v>
      </c>
    </row>
    <row r="46" spans="1:14" ht="191.25">
      <c r="A46" s="25" t="s">
        <v>164</v>
      </c>
      <c r="B46" s="88" t="s">
        <v>430</v>
      </c>
      <c r="C46" s="147">
        <f t="shared" si="0"/>
        <v>8740</v>
      </c>
      <c r="D46" s="147">
        <v>8740</v>
      </c>
      <c r="E46" s="147"/>
      <c r="F46" s="147"/>
      <c r="G46" s="147"/>
      <c r="H46" s="147">
        <f t="shared" si="1"/>
        <v>0</v>
      </c>
      <c r="I46" s="147"/>
      <c r="J46" s="147"/>
      <c r="K46" s="147"/>
      <c r="L46" s="147"/>
      <c r="M46" s="147"/>
      <c r="N46" s="147">
        <f t="shared" si="2"/>
        <v>8740</v>
      </c>
    </row>
    <row r="47" spans="1:14" ht="216.75">
      <c r="A47" s="25" t="s">
        <v>165</v>
      </c>
      <c r="B47" s="88" t="s">
        <v>432</v>
      </c>
      <c r="C47" s="147">
        <f t="shared" si="0"/>
        <v>525841</v>
      </c>
      <c r="D47" s="147">
        <f>732841-30000-90000-87000</f>
        <v>525841</v>
      </c>
      <c r="E47" s="147"/>
      <c r="F47" s="147"/>
      <c r="G47" s="147"/>
      <c r="H47" s="147">
        <f t="shared" si="1"/>
        <v>0</v>
      </c>
      <c r="I47" s="147"/>
      <c r="J47" s="147"/>
      <c r="K47" s="147"/>
      <c r="L47" s="147"/>
      <c r="M47" s="147"/>
      <c r="N47" s="147">
        <f t="shared" si="2"/>
        <v>525841</v>
      </c>
    </row>
    <row r="48" spans="1:14" ht="357">
      <c r="A48" s="25" t="s">
        <v>166</v>
      </c>
      <c r="B48" s="20" t="s">
        <v>436</v>
      </c>
      <c r="C48" s="147">
        <f t="shared" si="0"/>
        <v>475700</v>
      </c>
      <c r="D48" s="147">
        <f>524700-49000</f>
        <v>475700</v>
      </c>
      <c r="E48" s="147"/>
      <c r="F48" s="147"/>
      <c r="G48" s="147"/>
      <c r="H48" s="147">
        <f t="shared" si="1"/>
        <v>0</v>
      </c>
      <c r="I48" s="147"/>
      <c r="J48" s="147"/>
      <c r="K48" s="147"/>
      <c r="L48" s="147"/>
      <c r="M48" s="147"/>
      <c r="N48" s="147">
        <f t="shared" si="2"/>
        <v>475700</v>
      </c>
    </row>
    <row r="49" spans="1:14" ht="280.5">
      <c r="A49" s="25" t="s">
        <v>167</v>
      </c>
      <c r="B49" s="20" t="s">
        <v>1</v>
      </c>
      <c r="C49" s="147">
        <f t="shared" si="0"/>
        <v>208</v>
      </c>
      <c r="D49" s="147">
        <v>208</v>
      </c>
      <c r="E49" s="147"/>
      <c r="F49" s="147"/>
      <c r="G49" s="147"/>
      <c r="H49" s="147">
        <f t="shared" si="1"/>
        <v>0</v>
      </c>
      <c r="I49" s="147"/>
      <c r="J49" s="147"/>
      <c r="K49" s="147"/>
      <c r="L49" s="147"/>
      <c r="M49" s="147"/>
      <c r="N49" s="147">
        <f t="shared" si="2"/>
        <v>208</v>
      </c>
    </row>
    <row r="50" spans="1:14" ht="127.5">
      <c r="A50" s="25" t="s">
        <v>159</v>
      </c>
      <c r="B50" s="20" t="s">
        <v>11</v>
      </c>
      <c r="C50" s="147">
        <f t="shared" si="0"/>
        <v>45935</v>
      </c>
      <c r="D50" s="147">
        <f>30935+30000-13000-2000</f>
        <v>45935</v>
      </c>
      <c r="E50" s="147"/>
      <c r="F50" s="147"/>
      <c r="G50" s="147"/>
      <c r="H50" s="147">
        <f t="shared" si="1"/>
        <v>0</v>
      </c>
      <c r="I50" s="147"/>
      <c r="J50" s="147"/>
      <c r="K50" s="147"/>
      <c r="L50" s="147"/>
      <c r="M50" s="147"/>
      <c r="N50" s="147">
        <f t="shared" si="2"/>
        <v>45935</v>
      </c>
    </row>
    <row r="51" spans="1:14" ht="76.5">
      <c r="A51" s="25" t="s">
        <v>168</v>
      </c>
      <c r="B51" s="20" t="s">
        <v>433</v>
      </c>
      <c r="C51" s="147">
        <f t="shared" si="0"/>
        <v>181700</v>
      </c>
      <c r="D51" s="147">
        <f>196700-15000</f>
        <v>181700</v>
      </c>
      <c r="E51" s="147"/>
      <c r="F51" s="147"/>
      <c r="G51" s="147"/>
      <c r="H51" s="147">
        <f t="shared" si="1"/>
        <v>0</v>
      </c>
      <c r="I51" s="147"/>
      <c r="J51" s="147"/>
      <c r="K51" s="147"/>
      <c r="L51" s="147"/>
      <c r="M51" s="147"/>
      <c r="N51" s="147">
        <f t="shared" si="2"/>
        <v>181700</v>
      </c>
    </row>
    <row r="52" spans="1:14" ht="51" hidden="1">
      <c r="A52" s="25" t="s">
        <v>169</v>
      </c>
      <c r="B52" s="79" t="s">
        <v>203</v>
      </c>
      <c r="C52" s="147">
        <f t="shared" si="0"/>
        <v>0</v>
      </c>
      <c r="D52" s="147"/>
      <c r="E52" s="147"/>
      <c r="F52" s="147"/>
      <c r="G52" s="147"/>
      <c r="H52" s="147">
        <f t="shared" si="1"/>
        <v>0</v>
      </c>
      <c r="I52" s="147"/>
      <c r="J52" s="147"/>
      <c r="K52" s="147"/>
      <c r="L52" s="147"/>
      <c r="M52" s="147"/>
      <c r="N52" s="147">
        <f t="shared" si="2"/>
        <v>0</v>
      </c>
    </row>
    <row r="53" spans="1:14" ht="63.75">
      <c r="A53" s="25" t="s">
        <v>170</v>
      </c>
      <c r="B53" s="20" t="s">
        <v>435</v>
      </c>
      <c r="C53" s="147">
        <f t="shared" si="0"/>
        <v>29572</v>
      </c>
      <c r="D53" s="147">
        <f>26572+5000-2000</f>
        <v>29572</v>
      </c>
      <c r="E53" s="147"/>
      <c r="F53" s="147"/>
      <c r="G53" s="147"/>
      <c r="H53" s="147">
        <f t="shared" si="1"/>
        <v>0</v>
      </c>
      <c r="I53" s="147"/>
      <c r="J53" s="147"/>
      <c r="K53" s="147"/>
      <c r="L53" s="147"/>
      <c r="M53" s="147"/>
      <c r="N53" s="147">
        <f t="shared" si="2"/>
        <v>29572</v>
      </c>
    </row>
    <row r="54" spans="1:14" ht="38.25" hidden="1">
      <c r="A54" s="25" t="s">
        <v>125</v>
      </c>
      <c r="B54" s="26" t="s">
        <v>220</v>
      </c>
      <c r="C54" s="147">
        <f t="shared" si="0"/>
        <v>2677546</v>
      </c>
      <c r="D54" s="147">
        <f>D55+D56+D57+D58+D59+D60+D61</f>
        <v>2677546</v>
      </c>
      <c r="E54" s="147"/>
      <c r="F54" s="147"/>
      <c r="G54" s="147"/>
      <c r="H54" s="147">
        <f t="shared" si="1"/>
        <v>0</v>
      </c>
      <c r="I54" s="147"/>
      <c r="J54" s="147"/>
      <c r="K54" s="147"/>
      <c r="L54" s="147"/>
      <c r="M54" s="147"/>
      <c r="N54" s="147">
        <f t="shared" si="2"/>
        <v>2677546</v>
      </c>
    </row>
    <row r="55" spans="1:14" ht="25.5" hidden="1">
      <c r="A55" s="25" t="s">
        <v>126</v>
      </c>
      <c r="B55" s="26" t="s">
        <v>234</v>
      </c>
      <c r="C55" s="147">
        <f t="shared" si="0"/>
        <v>0</v>
      </c>
      <c r="D55" s="147"/>
      <c r="E55" s="147"/>
      <c r="F55" s="147"/>
      <c r="G55" s="147"/>
      <c r="H55" s="147">
        <f t="shared" si="1"/>
        <v>0</v>
      </c>
      <c r="I55" s="147"/>
      <c r="J55" s="147"/>
      <c r="K55" s="147"/>
      <c r="L55" s="147"/>
      <c r="M55" s="147"/>
      <c r="N55" s="147">
        <f t="shared" si="2"/>
        <v>0</v>
      </c>
    </row>
    <row r="56" spans="1:14" ht="12.75">
      <c r="A56" s="25" t="s">
        <v>127</v>
      </c>
      <c r="B56" s="26" t="s">
        <v>204</v>
      </c>
      <c r="C56" s="147">
        <f t="shared" si="0"/>
        <v>94904</v>
      </c>
      <c r="D56" s="147">
        <v>94904</v>
      </c>
      <c r="E56" s="147"/>
      <c r="F56" s="147"/>
      <c r="G56" s="147"/>
      <c r="H56" s="147">
        <f t="shared" si="1"/>
        <v>0</v>
      </c>
      <c r="I56" s="147"/>
      <c r="J56" s="147"/>
      <c r="K56" s="147"/>
      <c r="L56" s="147"/>
      <c r="M56" s="147"/>
      <c r="N56" s="147">
        <f t="shared" si="2"/>
        <v>94904</v>
      </c>
    </row>
    <row r="57" spans="1:14" ht="25.5">
      <c r="A57" s="25" t="s">
        <v>128</v>
      </c>
      <c r="B57" s="26" t="s">
        <v>221</v>
      </c>
      <c r="C57" s="147">
        <f t="shared" si="0"/>
        <v>575502</v>
      </c>
      <c r="D57" s="147">
        <v>575502</v>
      </c>
      <c r="E57" s="147"/>
      <c r="F57" s="147"/>
      <c r="G57" s="147"/>
      <c r="H57" s="147">
        <f t="shared" si="1"/>
        <v>0</v>
      </c>
      <c r="I57" s="147"/>
      <c r="J57" s="147"/>
      <c r="K57" s="147"/>
      <c r="L57" s="147"/>
      <c r="M57" s="147"/>
      <c r="N57" s="147">
        <f t="shared" si="2"/>
        <v>575502</v>
      </c>
    </row>
    <row r="58" spans="1:14" ht="25.5">
      <c r="A58" s="25" t="s">
        <v>129</v>
      </c>
      <c r="B58" s="26" t="s">
        <v>103</v>
      </c>
      <c r="C58" s="147">
        <f t="shared" si="0"/>
        <v>1105228</v>
      </c>
      <c r="D58" s="147">
        <v>1105228</v>
      </c>
      <c r="E58" s="147"/>
      <c r="F58" s="147"/>
      <c r="G58" s="147"/>
      <c r="H58" s="147">
        <f t="shared" si="1"/>
        <v>0</v>
      </c>
      <c r="I58" s="147"/>
      <c r="J58" s="147"/>
      <c r="K58" s="147"/>
      <c r="L58" s="147"/>
      <c r="M58" s="147"/>
      <c r="N58" s="147">
        <f t="shared" si="2"/>
        <v>1105228</v>
      </c>
    </row>
    <row r="59" spans="1:14" ht="25.5">
      <c r="A59" s="25" t="s">
        <v>89</v>
      </c>
      <c r="B59" s="102" t="s">
        <v>172</v>
      </c>
      <c r="C59" s="147">
        <f t="shared" si="0"/>
        <v>167201</v>
      </c>
      <c r="D59" s="147">
        <v>167201</v>
      </c>
      <c r="E59" s="147"/>
      <c r="F59" s="147"/>
      <c r="G59" s="147"/>
      <c r="H59" s="147">
        <f t="shared" si="1"/>
        <v>0</v>
      </c>
      <c r="I59" s="147"/>
      <c r="J59" s="147"/>
      <c r="K59" s="147"/>
      <c r="L59" s="147"/>
      <c r="M59" s="147"/>
      <c r="N59" s="147">
        <f t="shared" si="2"/>
        <v>167201</v>
      </c>
    </row>
    <row r="60" spans="1:14" ht="12.75">
      <c r="A60" s="25" t="s">
        <v>233</v>
      </c>
      <c r="B60" s="16" t="s">
        <v>171</v>
      </c>
      <c r="C60" s="147">
        <f t="shared" si="0"/>
        <v>696419</v>
      </c>
      <c r="D60" s="147">
        <v>696419</v>
      </c>
      <c r="E60" s="147"/>
      <c r="F60" s="147"/>
      <c r="G60" s="147"/>
      <c r="H60" s="147">
        <f t="shared" si="1"/>
        <v>0</v>
      </c>
      <c r="I60" s="147"/>
      <c r="J60" s="147"/>
      <c r="K60" s="147"/>
      <c r="L60" s="147"/>
      <c r="M60" s="147"/>
      <c r="N60" s="147">
        <f t="shared" si="2"/>
        <v>696419</v>
      </c>
    </row>
    <row r="61" spans="1:14" ht="12.75">
      <c r="A61" s="25" t="s">
        <v>419</v>
      </c>
      <c r="B61" s="102" t="s">
        <v>420</v>
      </c>
      <c r="C61" s="147">
        <f t="shared" si="0"/>
        <v>38292</v>
      </c>
      <c r="D61" s="147">
        <v>38292</v>
      </c>
      <c r="E61" s="147"/>
      <c r="F61" s="147"/>
      <c r="G61" s="147"/>
      <c r="H61" s="147"/>
      <c r="I61" s="147"/>
      <c r="J61" s="147"/>
      <c r="K61" s="147"/>
      <c r="L61" s="147"/>
      <c r="M61" s="147"/>
      <c r="N61" s="147">
        <f t="shared" si="2"/>
        <v>38292</v>
      </c>
    </row>
    <row r="62" spans="1:14" ht="25.5">
      <c r="A62" s="25" t="s">
        <v>173</v>
      </c>
      <c r="B62" s="26" t="s">
        <v>222</v>
      </c>
      <c r="C62" s="147">
        <f t="shared" si="0"/>
        <v>400700</v>
      </c>
      <c r="D62" s="147">
        <f>400700</f>
        <v>400700</v>
      </c>
      <c r="E62" s="147"/>
      <c r="F62" s="147"/>
      <c r="G62" s="147"/>
      <c r="H62" s="147">
        <f t="shared" si="1"/>
        <v>0</v>
      </c>
      <c r="I62" s="147"/>
      <c r="J62" s="147"/>
      <c r="K62" s="147"/>
      <c r="L62" s="147"/>
      <c r="M62" s="147"/>
      <c r="N62" s="147">
        <f t="shared" si="2"/>
        <v>400700</v>
      </c>
    </row>
    <row r="63" spans="1:14" ht="38.25">
      <c r="A63" s="120" t="s">
        <v>90</v>
      </c>
      <c r="B63" s="121" t="s">
        <v>148</v>
      </c>
      <c r="C63" s="147">
        <f t="shared" si="0"/>
        <v>260330</v>
      </c>
      <c r="D63" s="147">
        <f>D65+D66</f>
        <v>260330</v>
      </c>
      <c r="E63" s="147"/>
      <c r="F63" s="147"/>
      <c r="G63" s="147"/>
      <c r="H63" s="147">
        <f t="shared" si="1"/>
        <v>0</v>
      </c>
      <c r="I63" s="147"/>
      <c r="J63" s="147"/>
      <c r="K63" s="147"/>
      <c r="L63" s="147"/>
      <c r="M63" s="147"/>
      <c r="N63" s="147">
        <f t="shared" si="2"/>
        <v>260330</v>
      </c>
    </row>
    <row r="64" spans="1:14" ht="12.75">
      <c r="A64" s="45"/>
      <c r="B64" s="79" t="s">
        <v>145</v>
      </c>
      <c r="C64" s="147"/>
      <c r="D64" s="147"/>
      <c r="E64" s="147"/>
      <c r="F64" s="147"/>
      <c r="G64" s="147"/>
      <c r="H64" s="147"/>
      <c r="I64" s="147"/>
      <c r="J64" s="147"/>
      <c r="K64" s="147"/>
      <c r="L64" s="147"/>
      <c r="M64" s="147"/>
      <c r="N64" s="147"/>
    </row>
    <row r="65" spans="1:14" ht="63.75">
      <c r="A65" s="45"/>
      <c r="B65" s="79" t="s">
        <v>175</v>
      </c>
      <c r="C65" s="147">
        <f t="shared" si="0"/>
        <v>260000</v>
      </c>
      <c r="D65" s="147">
        <f>310000-50000</f>
        <v>260000</v>
      </c>
      <c r="E65" s="147"/>
      <c r="F65" s="147"/>
      <c r="G65" s="147"/>
      <c r="H65" s="147">
        <f t="shared" si="1"/>
        <v>0</v>
      </c>
      <c r="I65" s="147"/>
      <c r="J65" s="147"/>
      <c r="K65" s="147"/>
      <c r="L65" s="147"/>
      <c r="M65" s="147"/>
      <c r="N65" s="147">
        <f t="shared" si="2"/>
        <v>260000</v>
      </c>
    </row>
    <row r="66" spans="1:14" ht="25.5">
      <c r="A66" s="45"/>
      <c r="B66" s="79" t="s">
        <v>196</v>
      </c>
      <c r="C66" s="147">
        <f t="shared" si="0"/>
        <v>330</v>
      </c>
      <c r="D66" s="147">
        <v>330</v>
      </c>
      <c r="E66" s="147"/>
      <c r="F66" s="147"/>
      <c r="G66" s="147"/>
      <c r="H66" s="147">
        <f t="shared" si="1"/>
        <v>0</v>
      </c>
      <c r="I66" s="147"/>
      <c r="J66" s="147"/>
      <c r="K66" s="147"/>
      <c r="L66" s="147"/>
      <c r="M66" s="147"/>
      <c r="N66" s="147">
        <f t="shared" si="2"/>
        <v>330</v>
      </c>
    </row>
    <row r="67" spans="1:14" ht="25.5">
      <c r="A67" s="25" t="s">
        <v>48</v>
      </c>
      <c r="B67" s="16" t="s">
        <v>223</v>
      </c>
      <c r="C67" s="147">
        <f t="shared" si="0"/>
        <v>72300</v>
      </c>
      <c r="D67" s="147">
        <f>50000+20900+1400</f>
        <v>72300</v>
      </c>
      <c r="E67" s="147"/>
      <c r="F67" s="147"/>
      <c r="G67" s="147"/>
      <c r="H67" s="147">
        <f t="shared" si="1"/>
        <v>0</v>
      </c>
      <c r="I67" s="147"/>
      <c r="J67" s="147"/>
      <c r="K67" s="147"/>
      <c r="L67" s="147"/>
      <c r="M67" s="147"/>
      <c r="N67" s="147">
        <f t="shared" si="2"/>
        <v>72300</v>
      </c>
    </row>
    <row r="68" spans="1:14" ht="25.5">
      <c r="A68" s="25" t="s">
        <v>160</v>
      </c>
      <c r="B68" s="184" t="s">
        <v>417</v>
      </c>
      <c r="C68" s="147">
        <f>D68+G68</f>
        <v>22200</v>
      </c>
      <c r="D68" s="147">
        <v>22200</v>
      </c>
      <c r="E68" s="147"/>
      <c r="F68" s="147"/>
      <c r="G68" s="147"/>
      <c r="H68" s="147">
        <f>I68+L68</f>
        <v>0</v>
      </c>
      <c r="I68" s="147"/>
      <c r="J68" s="147"/>
      <c r="K68" s="147"/>
      <c r="L68" s="147"/>
      <c r="M68" s="147"/>
      <c r="N68" s="147">
        <f>C68+H68</f>
        <v>22200</v>
      </c>
    </row>
    <row r="69" spans="1:14" ht="25.5" hidden="1">
      <c r="A69" s="89" t="s">
        <v>321</v>
      </c>
      <c r="B69" s="79" t="s">
        <v>392</v>
      </c>
      <c r="C69" s="146">
        <f t="shared" si="0"/>
        <v>0</v>
      </c>
      <c r="D69" s="147"/>
      <c r="E69" s="147"/>
      <c r="F69" s="147"/>
      <c r="G69" s="147"/>
      <c r="H69" s="147"/>
      <c r="I69" s="147"/>
      <c r="J69" s="147"/>
      <c r="K69" s="147"/>
      <c r="L69" s="147"/>
      <c r="M69" s="147"/>
      <c r="N69" s="147">
        <f t="shared" si="2"/>
        <v>0</v>
      </c>
    </row>
    <row r="70" spans="1:14" ht="76.5" hidden="1">
      <c r="A70" s="45" t="s">
        <v>318</v>
      </c>
      <c r="B70" s="52" t="s">
        <v>320</v>
      </c>
      <c r="C70" s="147">
        <f t="shared" si="0"/>
        <v>0</v>
      </c>
      <c r="D70" s="147">
        <f>D72+D73</f>
        <v>0</v>
      </c>
      <c r="E70" s="147"/>
      <c r="F70" s="147"/>
      <c r="G70" s="147"/>
      <c r="H70" s="147">
        <f t="shared" si="1"/>
        <v>0</v>
      </c>
      <c r="I70" s="147"/>
      <c r="J70" s="147"/>
      <c r="K70" s="147"/>
      <c r="L70" s="147"/>
      <c r="M70" s="147"/>
      <c r="N70" s="147">
        <f t="shared" si="2"/>
        <v>0</v>
      </c>
    </row>
    <row r="71" spans="1:14" ht="12.75" hidden="1">
      <c r="A71" s="25"/>
      <c r="B71" s="79" t="s">
        <v>145</v>
      </c>
      <c r="C71" s="147"/>
      <c r="D71" s="147"/>
      <c r="E71" s="147"/>
      <c r="F71" s="147"/>
      <c r="G71" s="147"/>
      <c r="H71" s="147"/>
      <c r="I71" s="147"/>
      <c r="J71" s="147"/>
      <c r="K71" s="147"/>
      <c r="L71" s="147"/>
      <c r="M71" s="147"/>
      <c r="N71" s="147"/>
    </row>
    <row r="72" spans="1:14" ht="63.75" hidden="1">
      <c r="A72" s="25"/>
      <c r="B72" s="79" t="s">
        <v>175</v>
      </c>
      <c r="C72" s="147">
        <f t="shared" si="0"/>
        <v>0</v>
      </c>
      <c r="D72" s="147"/>
      <c r="E72" s="147"/>
      <c r="F72" s="147"/>
      <c r="G72" s="147"/>
      <c r="H72" s="147"/>
      <c r="I72" s="147"/>
      <c r="J72" s="147"/>
      <c r="K72" s="147"/>
      <c r="L72" s="147"/>
      <c r="M72" s="147"/>
      <c r="N72" s="147">
        <f t="shared" si="2"/>
        <v>0</v>
      </c>
    </row>
    <row r="73" spans="1:14" ht="25.5" hidden="1">
      <c r="A73" s="25"/>
      <c r="B73" s="79" t="s">
        <v>196</v>
      </c>
      <c r="C73" s="147">
        <f t="shared" si="0"/>
        <v>0</v>
      </c>
      <c r="D73" s="147"/>
      <c r="E73" s="147"/>
      <c r="F73" s="147"/>
      <c r="G73" s="147"/>
      <c r="H73" s="147"/>
      <c r="I73" s="147"/>
      <c r="J73" s="147"/>
      <c r="K73" s="147"/>
      <c r="L73" s="147"/>
      <c r="M73" s="147"/>
      <c r="N73" s="147">
        <f t="shared" si="2"/>
        <v>0</v>
      </c>
    </row>
    <row r="74" spans="1:14" ht="25.5">
      <c r="A74" s="25" t="s">
        <v>120</v>
      </c>
      <c r="B74" s="26" t="s">
        <v>150</v>
      </c>
      <c r="C74" s="147">
        <f t="shared" si="0"/>
        <v>494594</v>
      </c>
      <c r="D74" s="147">
        <f>494594</f>
        <v>494594</v>
      </c>
      <c r="E74" s="147"/>
      <c r="F74" s="147"/>
      <c r="G74" s="147"/>
      <c r="H74" s="147">
        <f t="shared" si="1"/>
        <v>0</v>
      </c>
      <c r="I74" s="147"/>
      <c r="J74" s="147"/>
      <c r="K74" s="147"/>
      <c r="L74" s="147"/>
      <c r="M74" s="147"/>
      <c r="N74" s="147">
        <f t="shared" si="2"/>
        <v>494594</v>
      </c>
    </row>
    <row r="75" spans="1:14" ht="38.25" hidden="1">
      <c r="A75" s="172" t="s">
        <v>378</v>
      </c>
      <c r="B75" s="26" t="s">
        <v>379</v>
      </c>
      <c r="C75" s="147">
        <f t="shared" si="0"/>
        <v>0</v>
      </c>
      <c r="D75" s="147"/>
      <c r="E75" s="147"/>
      <c r="F75" s="147"/>
      <c r="G75" s="147"/>
      <c r="H75" s="147"/>
      <c r="I75" s="147"/>
      <c r="J75" s="147"/>
      <c r="K75" s="147"/>
      <c r="L75" s="147"/>
      <c r="M75" s="147"/>
      <c r="N75" s="147">
        <f t="shared" si="2"/>
        <v>0</v>
      </c>
    </row>
    <row r="76" spans="1:14" ht="38.25">
      <c r="A76" s="45" t="s">
        <v>71</v>
      </c>
      <c r="B76" s="26" t="s">
        <v>446</v>
      </c>
      <c r="C76" s="147">
        <f t="shared" si="0"/>
        <v>17000</v>
      </c>
      <c r="D76" s="147">
        <v>17000</v>
      </c>
      <c r="E76" s="147"/>
      <c r="F76" s="147"/>
      <c r="G76" s="147"/>
      <c r="H76" s="147"/>
      <c r="I76" s="147"/>
      <c r="J76" s="147"/>
      <c r="K76" s="147"/>
      <c r="L76" s="147"/>
      <c r="M76" s="147"/>
      <c r="N76" s="147">
        <f t="shared" si="2"/>
        <v>17000</v>
      </c>
    </row>
    <row r="77" spans="1:14" s="124" customFormat="1" ht="25.5">
      <c r="A77" s="137" t="s">
        <v>376</v>
      </c>
      <c r="B77" s="131" t="s">
        <v>330</v>
      </c>
      <c r="C77" s="159">
        <f t="shared" si="0"/>
        <v>434974</v>
      </c>
      <c r="D77" s="159">
        <f>D78+D79+D80</f>
        <v>431211</v>
      </c>
      <c r="E77" s="159">
        <f>E78+E79+E80</f>
        <v>73630</v>
      </c>
      <c r="F77" s="159">
        <f>F78+F79+F80</f>
        <v>275500</v>
      </c>
      <c r="G77" s="159">
        <f>G78+G79+G80</f>
        <v>3763</v>
      </c>
      <c r="H77" s="159">
        <f t="shared" si="1"/>
        <v>85200</v>
      </c>
      <c r="I77" s="159">
        <f>I78+I79</f>
        <v>85200</v>
      </c>
      <c r="J77" s="159">
        <f>J78+J79</f>
        <v>0</v>
      </c>
      <c r="K77" s="159">
        <f>K78+K79</f>
        <v>16200</v>
      </c>
      <c r="L77" s="159">
        <f>L78+L79</f>
        <v>0</v>
      </c>
      <c r="M77" s="159">
        <f>M78+M79</f>
        <v>0</v>
      </c>
      <c r="N77" s="159">
        <f t="shared" si="2"/>
        <v>520174</v>
      </c>
    </row>
    <row r="78" spans="1:14" s="2" customFormat="1" ht="12.75">
      <c r="A78" s="112" t="s">
        <v>22</v>
      </c>
      <c r="B78" s="113" t="s">
        <v>23</v>
      </c>
      <c r="C78" s="147">
        <f t="shared" si="0"/>
        <v>110974</v>
      </c>
      <c r="D78" s="157">
        <f>78137+5661+23176+237</f>
        <v>107211</v>
      </c>
      <c r="E78" s="157">
        <f>52457+4156+17017</f>
        <v>73630</v>
      </c>
      <c r="F78" s="157"/>
      <c r="G78" s="157">
        <f>4000-237</f>
        <v>3763</v>
      </c>
      <c r="H78" s="147">
        <f t="shared" si="1"/>
        <v>0</v>
      </c>
      <c r="I78" s="157"/>
      <c r="J78" s="157"/>
      <c r="K78" s="157"/>
      <c r="L78" s="157"/>
      <c r="M78" s="157"/>
      <c r="N78" s="147">
        <f t="shared" si="2"/>
        <v>110974</v>
      </c>
    </row>
    <row r="79" spans="1:14" ht="12.75">
      <c r="A79" s="25">
        <v>100203</v>
      </c>
      <c r="B79" s="26" t="s">
        <v>53</v>
      </c>
      <c r="C79" s="147">
        <f t="shared" si="0"/>
        <v>315000</v>
      </c>
      <c r="D79" s="147">
        <f>275000+30000+10000</f>
        <v>315000</v>
      </c>
      <c r="E79" s="147"/>
      <c r="F79" s="147">
        <f>235500+30000+10000</f>
        <v>275500</v>
      </c>
      <c r="G79" s="147"/>
      <c r="H79" s="147">
        <f t="shared" si="1"/>
        <v>85200</v>
      </c>
      <c r="I79" s="147">
        <v>85200</v>
      </c>
      <c r="J79" s="147"/>
      <c r="K79" s="147">
        <v>16200</v>
      </c>
      <c r="L79" s="147"/>
      <c r="M79" s="147"/>
      <c r="N79" s="147">
        <f t="shared" si="2"/>
        <v>400200</v>
      </c>
    </row>
    <row r="80" spans="1:14" ht="38.25">
      <c r="A80" s="45" t="s">
        <v>71</v>
      </c>
      <c r="B80" s="26" t="s">
        <v>446</v>
      </c>
      <c r="C80" s="147">
        <f>D80+G80</f>
        <v>9000</v>
      </c>
      <c r="D80" s="147">
        <v>9000</v>
      </c>
      <c r="E80" s="147"/>
      <c r="F80" s="147"/>
      <c r="G80" s="147"/>
      <c r="H80" s="147"/>
      <c r="I80" s="147"/>
      <c r="J80" s="147"/>
      <c r="K80" s="147"/>
      <c r="L80" s="147"/>
      <c r="M80" s="147"/>
      <c r="N80" s="147">
        <f>C80+H80</f>
        <v>9000</v>
      </c>
    </row>
    <row r="81" spans="1:14" s="124" customFormat="1" ht="25.5">
      <c r="A81" s="137" t="s">
        <v>274</v>
      </c>
      <c r="B81" s="131" t="s">
        <v>331</v>
      </c>
      <c r="C81" s="159">
        <f t="shared" si="0"/>
        <v>305220</v>
      </c>
      <c r="D81" s="159">
        <f>D82+D83</f>
        <v>292220</v>
      </c>
      <c r="E81" s="159">
        <f>E82+E83</f>
        <v>204899</v>
      </c>
      <c r="F81" s="159">
        <f>F82+F83</f>
        <v>0</v>
      </c>
      <c r="G81" s="159">
        <f>G82+G83</f>
        <v>13000</v>
      </c>
      <c r="H81" s="179">
        <f t="shared" si="1"/>
        <v>630224.13</v>
      </c>
      <c r="I81" s="179">
        <f>I82+I83</f>
        <v>630224.13</v>
      </c>
      <c r="J81" s="159">
        <f>J82+J83</f>
        <v>0</v>
      </c>
      <c r="K81" s="159">
        <f>K82+K83</f>
        <v>0</v>
      </c>
      <c r="L81" s="159">
        <f>L82+L83</f>
        <v>0</v>
      </c>
      <c r="M81" s="159">
        <f>M82</f>
        <v>0</v>
      </c>
      <c r="N81" s="179">
        <f t="shared" si="2"/>
        <v>935444.13</v>
      </c>
    </row>
    <row r="82" spans="1:14" s="2" customFormat="1" ht="12.75">
      <c r="A82" s="112" t="s">
        <v>22</v>
      </c>
      <c r="B82" s="113" t="s">
        <v>23</v>
      </c>
      <c r="C82" s="147">
        <f t="shared" si="0"/>
        <v>305220</v>
      </c>
      <c r="D82" s="157">
        <f>186389+14650+85596+5536+49</f>
        <v>292220</v>
      </c>
      <c r="E82" s="157">
        <f>127495+10456+62846+4064+38</f>
        <v>204899</v>
      </c>
      <c r="F82" s="157"/>
      <c r="G82" s="157">
        <f>5000+8000</f>
        <v>13000</v>
      </c>
      <c r="H82" s="147">
        <f t="shared" si="1"/>
        <v>0</v>
      </c>
      <c r="I82" s="157"/>
      <c r="J82" s="157"/>
      <c r="K82" s="157"/>
      <c r="L82" s="157"/>
      <c r="M82" s="157"/>
      <c r="N82" s="147">
        <f t="shared" si="2"/>
        <v>305220</v>
      </c>
    </row>
    <row r="83" spans="1:14" s="17" customFormat="1" ht="76.5">
      <c r="A83" s="118" t="s">
        <v>401</v>
      </c>
      <c r="B83" s="79" t="s">
        <v>402</v>
      </c>
      <c r="C83" s="147">
        <f t="shared" si="0"/>
        <v>0</v>
      </c>
      <c r="D83" s="147"/>
      <c r="E83" s="147"/>
      <c r="F83" s="147"/>
      <c r="G83" s="147"/>
      <c r="H83" s="177">
        <f t="shared" si="1"/>
        <v>630224.13</v>
      </c>
      <c r="I83" s="177">
        <v>630224.13</v>
      </c>
      <c r="J83" s="147"/>
      <c r="K83" s="147"/>
      <c r="L83" s="147"/>
      <c r="M83" s="147"/>
      <c r="N83" s="178">
        <f t="shared" si="2"/>
        <v>630224.13</v>
      </c>
    </row>
    <row r="84" spans="1:14" ht="12.75">
      <c r="A84" s="25"/>
      <c r="B84" s="26" t="s">
        <v>73</v>
      </c>
      <c r="C84" s="147">
        <f t="shared" si="0"/>
        <v>38004659</v>
      </c>
      <c r="D84" s="147">
        <f>D11+D27+D42+D77+D81</f>
        <v>37693896</v>
      </c>
      <c r="E84" s="147">
        <f>E11+E27+E42+E77+E81</f>
        <v>16164756</v>
      </c>
      <c r="F84" s="147">
        <f>F11+F27+F42+F77+F81</f>
        <v>2543810</v>
      </c>
      <c r="G84" s="147">
        <f>G11+G27+G42+G77+G81</f>
        <v>310763</v>
      </c>
      <c r="H84" s="177">
        <f t="shared" si="1"/>
        <v>2719135.13</v>
      </c>
      <c r="I84" s="177">
        <f>I11+I27+I42+I77+I81</f>
        <v>2659135.13</v>
      </c>
      <c r="J84" s="147">
        <f>J11+J27+J42+J77+J81</f>
        <v>318403</v>
      </c>
      <c r="K84" s="147">
        <f>K11+K27+K42+K77+K81</f>
        <v>82084</v>
      </c>
      <c r="L84" s="147">
        <f>L11+L27+L42+L77+L81</f>
        <v>60000</v>
      </c>
      <c r="M84" s="147">
        <f>M11+M27+M42+M77+M81</f>
        <v>0</v>
      </c>
      <c r="N84" s="177">
        <f t="shared" si="2"/>
        <v>40723794.13</v>
      </c>
    </row>
    <row r="86" spans="1:10" s="32" customFormat="1" ht="15" customHeight="1">
      <c r="A86" s="32" t="s">
        <v>239</v>
      </c>
      <c r="B86" s="190"/>
      <c r="C86" s="190"/>
      <c r="D86" s="190"/>
      <c r="E86" s="190"/>
      <c r="J86" s="32" t="s">
        <v>442</v>
      </c>
    </row>
    <row r="88" ht="12.75">
      <c r="H88" s="53"/>
    </row>
  </sheetData>
  <mergeCells count="11">
    <mergeCell ref="A5:N5"/>
    <mergeCell ref="A8:A9"/>
    <mergeCell ref="B8:B9"/>
    <mergeCell ref="N8:N9"/>
    <mergeCell ref="L7:M7"/>
    <mergeCell ref="C8:G8"/>
    <mergeCell ref="H8:M8"/>
    <mergeCell ref="F3:I3"/>
    <mergeCell ref="L1:N1"/>
    <mergeCell ref="L2:N2"/>
    <mergeCell ref="L3:N3"/>
  </mergeCells>
  <printOptions/>
  <pageMargins left="0.9055118110236221" right="0.31496062992125984" top="0.6299212598425197" bottom="0.3937007874015748" header="0.4330708661417323" footer="0.2362204724409449"/>
  <pageSetup fitToHeight="23" fitToWidth="1" horizontalDpi="300" verticalDpi="300" orientation="landscape" paperSize="9" scale="73"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89"/>
  <sheetViews>
    <sheetView showZeros="0" view="pageBreakPreview" zoomScale="75" zoomScaleSheetLayoutView="75" workbookViewId="0" topLeftCell="A1">
      <pane xSplit="2" ySplit="10" topLeftCell="J75"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7.75390625" style="85" customWidth="1"/>
    <col min="2" max="2" width="39.75390625" style="22" customWidth="1"/>
    <col min="3" max="3" width="13.25390625" style="22" customWidth="1"/>
    <col min="4" max="4" width="13.125" style="22" customWidth="1"/>
    <col min="5" max="5" width="11.75390625" style="22" customWidth="1"/>
    <col min="6" max="6" width="10.00390625" style="22" customWidth="1"/>
    <col min="7" max="7" width="11.375" style="22" customWidth="1"/>
    <col min="8" max="8" width="13.75390625" style="22" customWidth="1"/>
    <col min="9" max="9" width="13.875" style="22" customWidth="1"/>
    <col min="10" max="10" width="11.875" style="22" customWidth="1"/>
    <col min="11" max="11" width="10.125" style="22" customWidth="1"/>
    <col min="12" max="12" width="11.375" style="22" customWidth="1"/>
    <col min="13" max="13" width="9.75390625" style="22" customWidth="1"/>
    <col min="14" max="14" width="13.125" style="22" customWidth="1"/>
    <col min="15" max="16384" width="9.125" style="22" customWidth="1"/>
  </cols>
  <sheetData>
    <row r="1" spans="3:14" ht="18">
      <c r="C1" s="3"/>
      <c r="L1" s="197" t="s">
        <v>314</v>
      </c>
      <c r="M1" s="197"/>
      <c r="N1" s="197"/>
    </row>
    <row r="2" spans="3:14" ht="18">
      <c r="C2" s="3"/>
      <c r="L2" s="197" t="s">
        <v>112</v>
      </c>
      <c r="M2" s="197"/>
      <c r="N2" s="197"/>
    </row>
    <row r="3" spans="3:14" ht="18">
      <c r="C3" s="3"/>
      <c r="L3" s="197" t="s">
        <v>451</v>
      </c>
      <c r="M3" s="197"/>
      <c r="N3" s="197"/>
    </row>
    <row r="4" ht="12" customHeight="1">
      <c r="C4" s="3"/>
    </row>
    <row r="5" spans="1:14" ht="18">
      <c r="A5" s="198" t="s">
        <v>5</v>
      </c>
      <c r="B5" s="198"/>
      <c r="C5" s="198"/>
      <c r="D5" s="198"/>
      <c r="E5" s="198"/>
      <c r="F5" s="198"/>
      <c r="G5" s="198"/>
      <c r="H5" s="198"/>
      <c r="I5" s="198"/>
      <c r="J5" s="198"/>
      <c r="K5" s="198"/>
      <c r="L5" s="198"/>
      <c r="M5" s="198"/>
      <c r="N5" s="198"/>
    </row>
    <row r="6" ht="15.75" hidden="1">
      <c r="C6" s="3" t="s">
        <v>209</v>
      </c>
    </row>
    <row r="7" spans="3:14" ht="15.75">
      <c r="C7" s="3"/>
      <c r="D7" s="2"/>
      <c r="N7" s="22" t="s">
        <v>365</v>
      </c>
    </row>
    <row r="8" spans="1:14" ht="12.75">
      <c r="A8" s="193" t="s">
        <v>325</v>
      </c>
      <c r="B8" s="193" t="s">
        <v>405</v>
      </c>
      <c r="C8" s="196" t="s">
        <v>14</v>
      </c>
      <c r="D8" s="196"/>
      <c r="E8" s="196"/>
      <c r="F8" s="196"/>
      <c r="G8" s="196"/>
      <c r="H8" s="196" t="s">
        <v>15</v>
      </c>
      <c r="I8" s="196"/>
      <c r="J8" s="196"/>
      <c r="K8" s="196"/>
      <c r="L8" s="196"/>
      <c r="M8" s="196"/>
      <c r="N8" s="196" t="s">
        <v>95</v>
      </c>
    </row>
    <row r="9" spans="1:14" ht="51">
      <c r="A9" s="193"/>
      <c r="B9" s="193"/>
      <c r="C9" s="23" t="s">
        <v>16</v>
      </c>
      <c r="D9" s="6" t="s">
        <v>17</v>
      </c>
      <c r="E9" s="6" t="s">
        <v>18</v>
      </c>
      <c r="F9" s="6" t="s">
        <v>19</v>
      </c>
      <c r="G9" s="6" t="s">
        <v>20</v>
      </c>
      <c r="H9" s="23" t="s">
        <v>16</v>
      </c>
      <c r="I9" s="6" t="s">
        <v>17</v>
      </c>
      <c r="J9" s="6" t="s">
        <v>18</v>
      </c>
      <c r="K9" s="6" t="s">
        <v>19</v>
      </c>
      <c r="L9" s="6" t="s">
        <v>20</v>
      </c>
      <c r="M9" s="6" t="s">
        <v>21</v>
      </c>
      <c r="N9" s="196"/>
    </row>
    <row r="10" spans="1:14" ht="12.75">
      <c r="A10" s="61">
        <v>1</v>
      </c>
      <c r="B10" s="62">
        <v>2</v>
      </c>
      <c r="C10" s="61">
        <v>3</v>
      </c>
      <c r="D10" s="61">
        <v>4</v>
      </c>
      <c r="E10" s="61">
        <v>5</v>
      </c>
      <c r="F10" s="61">
        <v>6</v>
      </c>
      <c r="G10" s="61">
        <v>7</v>
      </c>
      <c r="H10" s="61">
        <v>8</v>
      </c>
      <c r="I10" s="61">
        <v>9</v>
      </c>
      <c r="J10" s="61">
        <v>10</v>
      </c>
      <c r="K10" s="61">
        <v>11</v>
      </c>
      <c r="L10" s="61">
        <v>12</v>
      </c>
      <c r="M10" s="61">
        <v>13</v>
      </c>
      <c r="N10" s="61">
        <v>14</v>
      </c>
    </row>
    <row r="11" spans="1:14" s="124" customFormat="1" ht="21.75" customHeight="1">
      <c r="A11" s="123" t="s">
        <v>262</v>
      </c>
      <c r="B11" s="139" t="s">
        <v>342</v>
      </c>
      <c r="C11" s="158">
        <f>D11+G11</f>
        <v>19869617</v>
      </c>
      <c r="D11" s="158">
        <f>D12+D13+D20+D21+D22</f>
        <v>19618909</v>
      </c>
      <c r="E11" s="158">
        <f>E12+E13+E20+E21+E22</f>
        <v>11415971</v>
      </c>
      <c r="F11" s="158">
        <f>F12+F13+F20+F21+F22</f>
        <v>1438957</v>
      </c>
      <c r="G11" s="158">
        <f>G12+G13+G20+G21+G22</f>
        <v>250708</v>
      </c>
      <c r="H11" s="158">
        <f>I11+L11</f>
        <v>959515</v>
      </c>
      <c r="I11" s="158">
        <f>I12+I13+I20+I21+I22</f>
        <v>844015</v>
      </c>
      <c r="J11" s="158">
        <f>J12+J13+J20+J21+J22</f>
        <v>323315</v>
      </c>
      <c r="K11" s="158">
        <f>K12+K13+K20+K21+K22</f>
        <v>86716</v>
      </c>
      <c r="L11" s="158">
        <f>L12+L13+L20+L21+L22</f>
        <v>115500</v>
      </c>
      <c r="M11" s="158">
        <f>M12+M13+M20+M21+M22</f>
        <v>0</v>
      </c>
      <c r="N11" s="158">
        <f>C11+H11</f>
        <v>20829132</v>
      </c>
    </row>
    <row r="12" spans="1:14" ht="12.75">
      <c r="A12" s="45" t="s">
        <v>22</v>
      </c>
      <c r="B12" s="52" t="s">
        <v>23</v>
      </c>
      <c r="C12" s="146">
        <f aca="true" t="shared" si="0" ref="C12:C85">D12+G12</f>
        <v>2068787</v>
      </c>
      <c r="D12" s="142">
        <f>1167440-12449+11391+107000+717903+63109+26540-713-20434</f>
        <v>2059787</v>
      </c>
      <c r="E12" s="142">
        <f>712693-9140+8363+78560+527095+46300</f>
        <v>1363871</v>
      </c>
      <c r="F12" s="142">
        <f>64071+26540-20434</f>
        <v>70177</v>
      </c>
      <c r="G12" s="142">
        <v>9000</v>
      </c>
      <c r="H12" s="146">
        <f aca="true" t="shared" si="1" ref="H12:H85">I12+L12</f>
        <v>65616</v>
      </c>
      <c r="I12" s="142">
        <v>65616</v>
      </c>
      <c r="J12" s="142"/>
      <c r="K12" s="142">
        <v>34716</v>
      </c>
      <c r="L12" s="142"/>
      <c r="M12" s="142"/>
      <c r="N12" s="146">
        <f aca="true" t="shared" si="2" ref="N12:N85">C12+H12</f>
        <v>2134403</v>
      </c>
    </row>
    <row r="13" spans="1:14" ht="12.75">
      <c r="A13" s="45" t="s">
        <v>33</v>
      </c>
      <c r="B13" s="52" t="s">
        <v>210</v>
      </c>
      <c r="C13" s="146">
        <f t="shared" si="0"/>
        <v>17655880</v>
      </c>
      <c r="D13" s="142">
        <f>D14+D15+D16+D17+D18+D19</f>
        <v>17424380</v>
      </c>
      <c r="E13" s="142">
        <f>E14+E15+E16+E17+E18+E19</f>
        <v>10052100</v>
      </c>
      <c r="F13" s="142">
        <f>F14+F15+F16+F17+F18+F19</f>
        <v>1368780</v>
      </c>
      <c r="G13" s="142">
        <f>G14+G15+G16+G17+G18+G19</f>
        <v>231500</v>
      </c>
      <c r="H13" s="146">
        <f t="shared" si="1"/>
        <v>853899</v>
      </c>
      <c r="I13" s="142">
        <f>I14+I15+I16+I17+I18+I19</f>
        <v>738399</v>
      </c>
      <c r="J13" s="142">
        <f>J14+J15+J16+J17+J18+J19</f>
        <v>323315</v>
      </c>
      <c r="K13" s="142">
        <f>K14+K15+K16+K17+K18+K19</f>
        <v>44000</v>
      </c>
      <c r="L13" s="142">
        <f>L14+L15+L16+L17+L18+L19</f>
        <v>115500</v>
      </c>
      <c r="M13" s="142">
        <f>M14+M15+M16+M17+M18+M19</f>
        <v>0</v>
      </c>
      <c r="N13" s="146">
        <f t="shared" si="2"/>
        <v>18509779</v>
      </c>
    </row>
    <row r="14" spans="1:14" ht="12.75">
      <c r="A14" s="45" t="s">
        <v>35</v>
      </c>
      <c r="B14" s="52" t="s">
        <v>298</v>
      </c>
      <c r="C14" s="146">
        <f t="shared" si="0"/>
        <v>5900587</v>
      </c>
      <c r="D14" s="142">
        <f>5562605-14390+10896+11000+143600+99089-30213+18000</f>
        <v>5800587</v>
      </c>
      <c r="E14" s="142">
        <f>3260580-10565+8000+13000</f>
        <v>3271015</v>
      </c>
      <c r="F14" s="142">
        <f>432870+11000+99089-30213</f>
        <v>512746</v>
      </c>
      <c r="G14" s="142">
        <f>100000</f>
        <v>100000</v>
      </c>
      <c r="H14" s="146">
        <f t="shared" si="1"/>
        <v>57960</v>
      </c>
      <c r="I14" s="142">
        <v>57960</v>
      </c>
      <c r="J14" s="142">
        <v>1820</v>
      </c>
      <c r="K14" s="142">
        <v>7400</v>
      </c>
      <c r="L14" s="142"/>
      <c r="M14" s="142"/>
      <c r="N14" s="146">
        <f t="shared" si="2"/>
        <v>5958547</v>
      </c>
    </row>
    <row r="15" spans="1:14" ht="12.75">
      <c r="A15" s="45" t="s">
        <v>86</v>
      </c>
      <c r="B15" s="52" t="s">
        <v>87</v>
      </c>
      <c r="C15" s="146">
        <f t="shared" si="0"/>
        <v>3674749</v>
      </c>
      <c r="D15" s="142">
        <f>3064405+6810+16000+146839+434000-27505+32400+1800</f>
        <v>3674749</v>
      </c>
      <c r="E15" s="142">
        <f>1902510+5000+25000</f>
        <v>1932510</v>
      </c>
      <c r="F15" s="142">
        <f>342170+16000+146839-27505</f>
        <v>477504</v>
      </c>
      <c r="G15" s="142"/>
      <c r="H15" s="146">
        <f t="shared" si="1"/>
        <v>30690</v>
      </c>
      <c r="I15" s="142">
        <v>30690</v>
      </c>
      <c r="J15" s="142">
        <v>7800</v>
      </c>
      <c r="K15" s="142">
        <v>10000</v>
      </c>
      <c r="L15" s="142"/>
      <c r="M15" s="142"/>
      <c r="N15" s="146">
        <f t="shared" si="2"/>
        <v>3705439</v>
      </c>
    </row>
    <row r="16" spans="1:14" ht="12.75">
      <c r="A16" s="45" t="s">
        <v>37</v>
      </c>
      <c r="B16" s="52" t="s">
        <v>117</v>
      </c>
      <c r="C16" s="146">
        <f t="shared" si="0"/>
        <v>6739855</v>
      </c>
      <c r="D16" s="142">
        <f>6337090+29000+14390-25800-6810+1000-17243+269500+7228</f>
        <v>6608355</v>
      </c>
      <c r="E16" s="142">
        <f>4093390+10565-5000</f>
        <v>4098955</v>
      </c>
      <c r="F16" s="142">
        <f>354950+1000-10343+7228</f>
        <v>352835</v>
      </c>
      <c r="G16" s="142">
        <f>80000+51500</f>
        <v>131500</v>
      </c>
      <c r="H16" s="146">
        <f t="shared" si="1"/>
        <v>194774</v>
      </c>
      <c r="I16" s="142">
        <v>179274</v>
      </c>
      <c r="J16" s="142">
        <v>93695</v>
      </c>
      <c r="K16" s="142">
        <v>9600</v>
      </c>
      <c r="L16" s="142">
        <v>15500</v>
      </c>
      <c r="M16" s="142"/>
      <c r="N16" s="146">
        <f t="shared" si="2"/>
        <v>6934629</v>
      </c>
    </row>
    <row r="17" spans="1:14" ht="12.75">
      <c r="A17" s="45" t="s">
        <v>39</v>
      </c>
      <c r="B17" s="52" t="s">
        <v>118</v>
      </c>
      <c r="C17" s="146">
        <f t="shared" si="0"/>
        <v>989997</v>
      </c>
      <c r="D17" s="142">
        <f>943340-10896+895+53400+3258</f>
        <v>989997</v>
      </c>
      <c r="E17" s="142">
        <f>512640-8000</f>
        <v>504640</v>
      </c>
      <c r="F17" s="142">
        <f>20850+895+3258</f>
        <v>25003</v>
      </c>
      <c r="G17" s="142"/>
      <c r="H17" s="146">
        <f t="shared" si="1"/>
        <v>570475</v>
      </c>
      <c r="I17" s="142">
        <v>470475</v>
      </c>
      <c r="J17" s="142">
        <v>220000</v>
      </c>
      <c r="K17" s="142">
        <v>17000</v>
      </c>
      <c r="L17" s="142">
        <v>100000</v>
      </c>
      <c r="M17" s="142"/>
      <c r="N17" s="146">
        <f t="shared" si="2"/>
        <v>1560472</v>
      </c>
    </row>
    <row r="18" spans="1:14" ht="12.75" hidden="1">
      <c r="A18" s="45" t="s">
        <v>42</v>
      </c>
      <c r="B18" s="52" t="s">
        <v>105</v>
      </c>
      <c r="C18" s="146">
        <f t="shared" si="0"/>
        <v>0</v>
      </c>
      <c r="D18" s="142"/>
      <c r="E18" s="142"/>
      <c r="F18" s="142"/>
      <c r="G18" s="142"/>
      <c r="H18" s="146">
        <f t="shared" si="1"/>
        <v>0</v>
      </c>
      <c r="I18" s="142"/>
      <c r="J18" s="142"/>
      <c r="K18" s="142"/>
      <c r="L18" s="142"/>
      <c r="M18" s="142"/>
      <c r="N18" s="146">
        <f t="shared" si="2"/>
        <v>0</v>
      </c>
    </row>
    <row r="19" spans="1:16" ht="12.75">
      <c r="A19" s="45" t="s">
        <v>45</v>
      </c>
      <c r="B19" s="52" t="s">
        <v>46</v>
      </c>
      <c r="C19" s="146">
        <f t="shared" si="0"/>
        <v>350692</v>
      </c>
      <c r="D19" s="142">
        <f>350560+132</f>
        <v>350692</v>
      </c>
      <c r="E19" s="142">
        <v>244980</v>
      </c>
      <c r="F19" s="142">
        <f>560+132</f>
        <v>692</v>
      </c>
      <c r="G19" s="142"/>
      <c r="H19" s="146">
        <f t="shared" si="1"/>
        <v>0</v>
      </c>
      <c r="I19" s="142"/>
      <c r="J19" s="142"/>
      <c r="K19" s="142"/>
      <c r="L19" s="142"/>
      <c r="M19" s="142"/>
      <c r="N19" s="146">
        <f t="shared" si="2"/>
        <v>350692</v>
      </c>
      <c r="O19" s="63"/>
      <c r="P19" s="30"/>
    </row>
    <row r="20" spans="1:14" ht="12.75" hidden="1">
      <c r="A20" s="45" t="s">
        <v>248</v>
      </c>
      <c r="B20" s="52" t="s">
        <v>64</v>
      </c>
      <c r="C20" s="146">
        <f t="shared" si="0"/>
        <v>0</v>
      </c>
      <c r="D20" s="142"/>
      <c r="E20" s="142"/>
      <c r="F20" s="142"/>
      <c r="G20" s="142"/>
      <c r="H20" s="146">
        <f t="shared" si="1"/>
        <v>0</v>
      </c>
      <c r="I20" s="142"/>
      <c r="J20" s="142"/>
      <c r="K20" s="142"/>
      <c r="L20" s="142"/>
      <c r="M20" s="142"/>
      <c r="N20" s="146">
        <f t="shared" si="2"/>
        <v>0</v>
      </c>
    </row>
    <row r="21" spans="1:14" ht="25.5">
      <c r="A21" s="45" t="s">
        <v>69</v>
      </c>
      <c r="B21" s="92" t="s">
        <v>218</v>
      </c>
      <c r="C21" s="146">
        <f t="shared" si="0"/>
        <v>0</v>
      </c>
      <c r="D21" s="142"/>
      <c r="E21" s="142"/>
      <c r="F21" s="142"/>
      <c r="G21" s="142"/>
      <c r="H21" s="146">
        <f t="shared" si="1"/>
        <v>40000</v>
      </c>
      <c r="I21" s="142">
        <v>40000</v>
      </c>
      <c r="J21" s="142"/>
      <c r="K21" s="142">
        <v>8000</v>
      </c>
      <c r="L21" s="142"/>
      <c r="M21" s="142"/>
      <c r="N21" s="146">
        <f t="shared" si="2"/>
        <v>40000</v>
      </c>
    </row>
    <row r="22" spans="1:14" ht="12.75">
      <c r="A22" s="45">
        <v>250404</v>
      </c>
      <c r="B22" s="52" t="s">
        <v>72</v>
      </c>
      <c r="C22" s="146">
        <f t="shared" si="0"/>
        <v>144950</v>
      </c>
      <c r="D22" s="142">
        <f>D23+D25+D26+D24</f>
        <v>134742</v>
      </c>
      <c r="E22" s="142">
        <f>E23+E25+E26+E24</f>
        <v>0</v>
      </c>
      <c r="F22" s="142">
        <f>F23+F25+F26+F24</f>
        <v>0</v>
      </c>
      <c r="G22" s="142">
        <f>G23+G25+G26+G24</f>
        <v>10208</v>
      </c>
      <c r="H22" s="146">
        <f t="shared" si="1"/>
        <v>0</v>
      </c>
      <c r="I22" s="142">
        <f>I23+I25+I26</f>
        <v>0</v>
      </c>
      <c r="J22" s="142">
        <f>J23+J25+J26</f>
        <v>0</v>
      </c>
      <c r="K22" s="142">
        <f>K23+K25+K26</f>
        <v>0</v>
      </c>
      <c r="L22" s="142">
        <f>L23+L25+L26</f>
        <v>0</v>
      </c>
      <c r="M22" s="142">
        <f>M23+M25+M26</f>
        <v>0</v>
      </c>
      <c r="N22" s="146">
        <f t="shared" si="2"/>
        <v>144950</v>
      </c>
    </row>
    <row r="23" spans="1:14" ht="38.25">
      <c r="A23" s="45"/>
      <c r="B23" s="52" t="s">
        <v>178</v>
      </c>
      <c r="C23" s="146">
        <f t="shared" si="0"/>
        <v>78000</v>
      </c>
      <c r="D23" s="142">
        <v>78000</v>
      </c>
      <c r="E23" s="142"/>
      <c r="F23" s="142"/>
      <c r="G23" s="142"/>
      <c r="H23" s="146">
        <f t="shared" si="1"/>
        <v>0</v>
      </c>
      <c r="I23" s="142"/>
      <c r="J23" s="142"/>
      <c r="K23" s="142"/>
      <c r="L23" s="142"/>
      <c r="M23" s="142"/>
      <c r="N23" s="146">
        <f t="shared" si="2"/>
        <v>78000</v>
      </c>
    </row>
    <row r="24" spans="1:14" ht="38.25">
      <c r="A24" s="45"/>
      <c r="B24" s="26" t="s">
        <v>446</v>
      </c>
      <c r="C24" s="146">
        <f t="shared" si="0"/>
        <v>36200</v>
      </c>
      <c r="D24" s="142">
        <v>25992</v>
      </c>
      <c r="E24" s="142"/>
      <c r="F24" s="142"/>
      <c r="G24" s="142">
        <v>10208</v>
      </c>
      <c r="H24" s="146">
        <f t="shared" si="1"/>
        <v>0</v>
      </c>
      <c r="I24" s="142"/>
      <c r="J24" s="142"/>
      <c r="K24" s="142"/>
      <c r="L24" s="142"/>
      <c r="M24" s="142"/>
      <c r="N24" s="146">
        <f t="shared" si="2"/>
        <v>36200</v>
      </c>
    </row>
    <row r="25" spans="1:14" ht="15" customHeight="1">
      <c r="A25" s="45"/>
      <c r="B25" s="79" t="s">
        <v>241</v>
      </c>
      <c r="C25" s="146">
        <f t="shared" si="0"/>
        <v>30750</v>
      </c>
      <c r="D25" s="142">
        <v>30750</v>
      </c>
      <c r="E25" s="142"/>
      <c r="F25" s="142"/>
      <c r="G25" s="142"/>
      <c r="H25" s="146">
        <f t="shared" si="1"/>
        <v>0</v>
      </c>
      <c r="I25" s="142"/>
      <c r="J25" s="142"/>
      <c r="K25" s="142"/>
      <c r="L25" s="142"/>
      <c r="M25" s="142"/>
      <c r="N25" s="146">
        <f t="shared" si="2"/>
        <v>30750</v>
      </c>
    </row>
    <row r="26" spans="1:14" ht="25.5" hidden="1">
      <c r="A26" s="45"/>
      <c r="B26" s="52" t="s">
        <v>232</v>
      </c>
      <c r="C26" s="146">
        <f t="shared" si="0"/>
        <v>0</v>
      </c>
      <c r="D26" s="142"/>
      <c r="E26" s="142"/>
      <c r="F26" s="142"/>
      <c r="G26" s="142"/>
      <c r="H26" s="146">
        <f t="shared" si="1"/>
        <v>0</v>
      </c>
      <c r="I26" s="142"/>
      <c r="J26" s="142"/>
      <c r="K26" s="142"/>
      <c r="L26" s="142"/>
      <c r="M26" s="142"/>
      <c r="N26" s="146">
        <f t="shared" si="2"/>
        <v>0</v>
      </c>
    </row>
    <row r="27" spans="1:14" s="124" customFormat="1" ht="25.5">
      <c r="A27" s="123" t="s">
        <v>266</v>
      </c>
      <c r="B27" s="139" t="s">
        <v>343</v>
      </c>
      <c r="C27" s="158">
        <f t="shared" si="0"/>
        <v>40342542.69</v>
      </c>
      <c r="D27" s="158">
        <f>D28+D29+D41+D42</f>
        <v>40049042.69</v>
      </c>
      <c r="E27" s="158">
        <f>E28+E29+E41+E42</f>
        <v>21848793</v>
      </c>
      <c r="F27" s="158">
        <f>F28+F29+F41+F42</f>
        <v>4427127</v>
      </c>
      <c r="G27" s="158">
        <f>G28+G29+G41+G42</f>
        <v>293500</v>
      </c>
      <c r="H27" s="158">
        <f t="shared" si="1"/>
        <v>1629416</v>
      </c>
      <c r="I27" s="158">
        <f>I28+I29</f>
        <v>1629416</v>
      </c>
      <c r="J27" s="158">
        <f>J28+J29</f>
        <v>176481</v>
      </c>
      <c r="K27" s="158">
        <f>K28+K29</f>
        <v>142150</v>
      </c>
      <c r="L27" s="158">
        <f>L28+L29</f>
        <v>0</v>
      </c>
      <c r="M27" s="158">
        <f>M28+M29</f>
        <v>0</v>
      </c>
      <c r="N27" s="158">
        <f t="shared" si="2"/>
        <v>41971958.69</v>
      </c>
    </row>
    <row r="28" spans="1:14" ht="12.75">
      <c r="A28" s="45" t="s">
        <v>22</v>
      </c>
      <c r="B28" s="52" t="s">
        <v>23</v>
      </c>
      <c r="C28" s="146">
        <f t="shared" si="0"/>
        <v>178277</v>
      </c>
      <c r="D28" s="142">
        <f>142552+10046+36479-10800</f>
        <v>178277</v>
      </c>
      <c r="E28" s="142">
        <f>99838+7376+26783-8000</f>
        <v>125997</v>
      </c>
      <c r="F28" s="142"/>
      <c r="G28" s="142"/>
      <c r="H28" s="146">
        <f t="shared" si="1"/>
        <v>0</v>
      </c>
      <c r="I28" s="142"/>
      <c r="J28" s="142"/>
      <c r="K28" s="142"/>
      <c r="L28" s="142"/>
      <c r="M28" s="142"/>
      <c r="N28" s="146">
        <f t="shared" si="2"/>
        <v>178277</v>
      </c>
    </row>
    <row r="29" spans="1:14" ht="12.75">
      <c r="A29" s="45" t="s">
        <v>24</v>
      </c>
      <c r="B29" s="52" t="s">
        <v>188</v>
      </c>
      <c r="C29" s="178">
        <f t="shared" si="0"/>
        <v>40101295.69</v>
      </c>
      <c r="D29" s="187">
        <f>SUM(D30:D40)</f>
        <v>39821295.69</v>
      </c>
      <c r="E29" s="142">
        <f>SUM(E30:E40)</f>
        <v>21722796</v>
      </c>
      <c r="F29" s="142">
        <f>SUM(F30:F40)</f>
        <v>4427127</v>
      </c>
      <c r="G29" s="142">
        <f>SUM(G30:G40)</f>
        <v>280000</v>
      </c>
      <c r="H29" s="146">
        <f t="shared" si="1"/>
        <v>1629416</v>
      </c>
      <c r="I29" s="142">
        <f>SUM(I30:I40)</f>
        <v>1629416</v>
      </c>
      <c r="J29" s="142">
        <f>SUM(J30:J40)</f>
        <v>176481</v>
      </c>
      <c r="K29" s="142">
        <f>SUM(K30:K40)</f>
        <v>142150</v>
      </c>
      <c r="L29" s="142">
        <f>SUM(L30:L40)</f>
        <v>0</v>
      </c>
      <c r="M29" s="142">
        <f>SUM(M30:M38)</f>
        <v>0</v>
      </c>
      <c r="N29" s="178">
        <f t="shared" si="2"/>
        <v>41730711.69</v>
      </c>
    </row>
    <row r="30" spans="1:14" ht="12.75">
      <c r="A30" s="45" t="s">
        <v>80</v>
      </c>
      <c r="B30" s="52" t="s">
        <v>76</v>
      </c>
      <c r="C30" s="146">
        <f t="shared" si="0"/>
        <v>8647606</v>
      </c>
      <c r="D30" s="142">
        <f>8045679-274+56000+20000+37100+154233-3100-513-59277+227657+60101+10000</f>
        <v>8547606</v>
      </c>
      <c r="E30" s="142">
        <f>4264154-16182-45000</f>
        <v>4202972</v>
      </c>
      <c r="F30" s="142">
        <f>809289+20000+154233+35+60101+10000</f>
        <v>1053658</v>
      </c>
      <c r="G30" s="142">
        <f>100000</f>
        <v>100000</v>
      </c>
      <c r="H30" s="146">
        <f t="shared" si="1"/>
        <v>690688</v>
      </c>
      <c r="I30" s="142">
        <v>690688</v>
      </c>
      <c r="J30" s="142">
        <v>30481</v>
      </c>
      <c r="K30" s="142">
        <v>10833</v>
      </c>
      <c r="L30" s="142"/>
      <c r="M30" s="142"/>
      <c r="N30" s="146">
        <f t="shared" si="2"/>
        <v>9338294</v>
      </c>
    </row>
    <row r="31" spans="1:14" ht="39" customHeight="1">
      <c r="A31" s="45" t="s">
        <v>26</v>
      </c>
      <c r="B31" s="52" t="s">
        <v>280</v>
      </c>
      <c r="C31" s="146">
        <f t="shared" si="0"/>
        <v>28646592</v>
      </c>
      <c r="D31" s="142">
        <f>26610094+274-56000+8000+856000+837603-8478+27277+55000+176822+40000</f>
        <v>28546592</v>
      </c>
      <c r="E31" s="142">
        <f>16320039-24049-40000</f>
        <v>16255990</v>
      </c>
      <c r="F31" s="142">
        <f>2287930+837603-9026+176822+40000</f>
        <v>3333329</v>
      </c>
      <c r="G31" s="142">
        <f>100000</f>
        <v>100000</v>
      </c>
      <c r="H31" s="146">
        <f t="shared" si="1"/>
        <v>851932</v>
      </c>
      <c r="I31" s="142">
        <v>851932</v>
      </c>
      <c r="J31" s="142">
        <v>146000</v>
      </c>
      <c r="K31" s="142">
        <v>62837</v>
      </c>
      <c r="L31" s="142"/>
      <c r="M31" s="142"/>
      <c r="N31" s="146">
        <f t="shared" si="2"/>
        <v>29498524</v>
      </c>
    </row>
    <row r="32" spans="1:14" ht="12.75">
      <c r="A32" s="45" t="s">
        <v>81</v>
      </c>
      <c r="B32" s="52" t="s">
        <v>115</v>
      </c>
      <c r="C32" s="146">
        <f t="shared" si="0"/>
        <v>349498</v>
      </c>
      <c r="D32" s="142">
        <f>341748+7750</f>
        <v>349498</v>
      </c>
      <c r="E32" s="142">
        <f>250090+5690</f>
        <v>255780</v>
      </c>
      <c r="F32" s="142"/>
      <c r="G32" s="142"/>
      <c r="H32" s="146">
        <f t="shared" si="1"/>
        <v>0</v>
      </c>
      <c r="I32" s="142"/>
      <c r="J32" s="142"/>
      <c r="K32" s="142"/>
      <c r="L32" s="142"/>
      <c r="M32" s="142"/>
      <c r="N32" s="146">
        <f t="shared" si="2"/>
        <v>349498</v>
      </c>
    </row>
    <row r="33" spans="1:14" ht="38.25">
      <c r="A33" s="45" t="s">
        <v>82</v>
      </c>
      <c r="B33" s="52" t="s">
        <v>116</v>
      </c>
      <c r="C33" s="146">
        <f t="shared" si="0"/>
        <v>266411</v>
      </c>
      <c r="D33" s="142">
        <f>267737-1326</f>
        <v>266411</v>
      </c>
      <c r="E33" s="142">
        <f>195929-973</f>
        <v>194956</v>
      </c>
      <c r="F33" s="142"/>
      <c r="G33" s="142"/>
      <c r="H33" s="146">
        <f t="shared" si="1"/>
        <v>0</v>
      </c>
      <c r="I33" s="142"/>
      <c r="J33" s="142"/>
      <c r="K33" s="142"/>
      <c r="L33" s="142"/>
      <c r="M33" s="142"/>
      <c r="N33" s="146">
        <f t="shared" si="2"/>
        <v>266411</v>
      </c>
    </row>
    <row r="34" spans="1:14" ht="38.25" hidden="1">
      <c r="A34" s="45" t="s">
        <v>373</v>
      </c>
      <c r="B34" s="51" t="s">
        <v>374</v>
      </c>
      <c r="C34" s="146">
        <f t="shared" si="0"/>
        <v>0</v>
      </c>
      <c r="D34" s="142"/>
      <c r="E34" s="142"/>
      <c r="F34" s="142"/>
      <c r="G34" s="142"/>
      <c r="H34" s="146">
        <f t="shared" si="1"/>
        <v>0</v>
      </c>
      <c r="I34" s="142"/>
      <c r="J34" s="142"/>
      <c r="K34" s="142"/>
      <c r="L34" s="142"/>
      <c r="M34" s="142"/>
      <c r="N34" s="146">
        <f t="shared" si="2"/>
        <v>0</v>
      </c>
    </row>
    <row r="35" spans="1:14" ht="25.5">
      <c r="A35" s="45" t="s">
        <v>29</v>
      </c>
      <c r="B35" s="52" t="s">
        <v>281</v>
      </c>
      <c r="C35" s="146">
        <f t="shared" si="0"/>
        <v>235131</v>
      </c>
      <c r="D35" s="142">
        <f>235299-168</f>
        <v>235131</v>
      </c>
      <c r="E35" s="142">
        <f>171985-123</f>
        <v>171862</v>
      </c>
      <c r="F35" s="142"/>
      <c r="G35" s="142"/>
      <c r="H35" s="146">
        <f t="shared" si="1"/>
        <v>0</v>
      </c>
      <c r="I35" s="142"/>
      <c r="J35" s="142"/>
      <c r="K35" s="142"/>
      <c r="L35" s="142"/>
      <c r="M35" s="142"/>
      <c r="N35" s="146">
        <f t="shared" si="2"/>
        <v>235131</v>
      </c>
    </row>
    <row r="36" spans="1:14" ht="25.5">
      <c r="A36" s="45" t="s">
        <v>30</v>
      </c>
      <c r="B36" s="52" t="s">
        <v>282</v>
      </c>
      <c r="C36" s="146">
        <f t="shared" si="0"/>
        <v>585455</v>
      </c>
      <c r="D36" s="142">
        <f>471812+32000+8164-3268+32000+4747</f>
        <v>545455</v>
      </c>
      <c r="E36" s="142">
        <f>285963-328</f>
        <v>285635</v>
      </c>
      <c r="F36" s="142">
        <f>30050+8164-2821+4747</f>
        <v>40140</v>
      </c>
      <c r="G36" s="142">
        <v>40000</v>
      </c>
      <c r="H36" s="146">
        <f t="shared" si="1"/>
        <v>0</v>
      </c>
      <c r="I36" s="142"/>
      <c r="J36" s="142"/>
      <c r="K36" s="142"/>
      <c r="L36" s="142"/>
      <c r="M36" s="142"/>
      <c r="N36" s="146">
        <f t="shared" si="2"/>
        <v>585455</v>
      </c>
    </row>
    <row r="37" spans="1:14" ht="25.5">
      <c r="A37" s="45" t="s">
        <v>31</v>
      </c>
      <c r="B37" s="52" t="s">
        <v>230</v>
      </c>
      <c r="C37" s="146">
        <f t="shared" si="0"/>
        <v>295971</v>
      </c>
      <c r="D37" s="142">
        <f>254322+2000-351</f>
        <v>255971</v>
      </c>
      <c r="E37" s="142">
        <f>146051-258</f>
        <v>145793</v>
      </c>
      <c r="F37" s="142"/>
      <c r="G37" s="142">
        <v>40000</v>
      </c>
      <c r="H37" s="146">
        <f t="shared" si="1"/>
        <v>15016</v>
      </c>
      <c r="I37" s="142">
        <v>15016</v>
      </c>
      <c r="J37" s="142"/>
      <c r="K37" s="142"/>
      <c r="L37" s="142"/>
      <c r="M37" s="142"/>
      <c r="N37" s="146">
        <f t="shared" si="2"/>
        <v>310987</v>
      </c>
    </row>
    <row r="38" spans="1:14" ht="12.75">
      <c r="A38" s="45" t="s">
        <v>104</v>
      </c>
      <c r="B38" s="52" t="s">
        <v>97</v>
      </c>
      <c r="C38" s="146">
        <f t="shared" si="0"/>
        <v>286721</v>
      </c>
      <c r="D38" s="142">
        <f>292179-5458</f>
        <v>286721</v>
      </c>
      <c r="E38" s="142">
        <f>213816-4008</f>
        <v>209808</v>
      </c>
      <c r="F38" s="142"/>
      <c r="G38" s="142"/>
      <c r="H38" s="146">
        <f t="shared" si="1"/>
        <v>71780</v>
      </c>
      <c r="I38" s="142">
        <v>71780</v>
      </c>
      <c r="J38" s="142"/>
      <c r="K38" s="142">
        <v>68480</v>
      </c>
      <c r="L38" s="142"/>
      <c r="M38" s="142"/>
      <c r="N38" s="146">
        <f t="shared" si="2"/>
        <v>358501</v>
      </c>
    </row>
    <row r="39" spans="1:14" s="17" customFormat="1" ht="38.25">
      <c r="A39" s="45" t="s">
        <v>371</v>
      </c>
      <c r="B39" s="27" t="s">
        <v>372</v>
      </c>
      <c r="C39" s="147">
        <f t="shared" si="0"/>
        <v>11130</v>
      </c>
      <c r="D39" s="147">
        <v>11130</v>
      </c>
      <c r="E39" s="147"/>
      <c r="F39" s="147"/>
      <c r="G39" s="147"/>
      <c r="H39" s="147">
        <f t="shared" si="1"/>
        <v>0</v>
      </c>
      <c r="I39" s="147"/>
      <c r="J39" s="147"/>
      <c r="K39" s="147"/>
      <c r="L39" s="147"/>
      <c r="M39" s="147"/>
      <c r="N39" s="146">
        <f t="shared" si="2"/>
        <v>11130</v>
      </c>
    </row>
    <row r="40" spans="1:16" ht="89.25">
      <c r="A40" s="45" t="s">
        <v>398</v>
      </c>
      <c r="B40" s="27" t="s">
        <v>399</v>
      </c>
      <c r="C40" s="186">
        <f t="shared" si="0"/>
        <v>776780.69</v>
      </c>
      <c r="D40" s="186">
        <f>773511+3269.69</f>
        <v>776780.69</v>
      </c>
      <c r="E40" s="143"/>
      <c r="F40" s="143"/>
      <c r="G40" s="143"/>
      <c r="H40" s="143">
        <f t="shared" si="1"/>
        <v>0</v>
      </c>
      <c r="I40" s="143"/>
      <c r="J40" s="143"/>
      <c r="K40" s="143"/>
      <c r="L40" s="143"/>
      <c r="M40" s="143"/>
      <c r="N40" s="187">
        <f t="shared" si="2"/>
        <v>776780.69</v>
      </c>
      <c r="O40" s="144"/>
      <c r="P40" s="144"/>
    </row>
    <row r="41" spans="1:16" ht="63.75">
      <c r="A41" s="45" t="s">
        <v>309</v>
      </c>
      <c r="B41" s="27" t="s">
        <v>415</v>
      </c>
      <c r="C41" s="143">
        <f t="shared" si="0"/>
        <v>33970</v>
      </c>
      <c r="D41" s="142">
        <v>33970</v>
      </c>
      <c r="E41" s="143"/>
      <c r="F41" s="143"/>
      <c r="G41" s="143"/>
      <c r="H41" s="143">
        <f t="shared" si="1"/>
        <v>0</v>
      </c>
      <c r="I41" s="143"/>
      <c r="J41" s="143"/>
      <c r="K41" s="143"/>
      <c r="L41" s="143"/>
      <c r="M41" s="143"/>
      <c r="N41" s="142">
        <f t="shared" si="2"/>
        <v>33970</v>
      </c>
      <c r="O41" s="144"/>
      <c r="P41" s="144"/>
    </row>
    <row r="42" spans="1:16" ht="38.25">
      <c r="A42" s="45" t="s">
        <v>71</v>
      </c>
      <c r="B42" s="26" t="s">
        <v>446</v>
      </c>
      <c r="C42" s="143">
        <f t="shared" si="0"/>
        <v>29000</v>
      </c>
      <c r="D42" s="142">
        <v>15500</v>
      </c>
      <c r="E42" s="143"/>
      <c r="F42" s="143"/>
      <c r="G42" s="143">
        <v>13500</v>
      </c>
      <c r="H42" s="143"/>
      <c r="I42" s="143"/>
      <c r="J42" s="143"/>
      <c r="K42" s="143"/>
      <c r="L42" s="143"/>
      <c r="M42" s="143"/>
      <c r="N42" s="142">
        <f t="shared" si="2"/>
        <v>29000</v>
      </c>
      <c r="O42" s="144"/>
      <c r="P42" s="144"/>
    </row>
    <row r="43" spans="1:14" s="124" customFormat="1" ht="38.25">
      <c r="A43" s="123" t="s">
        <v>267</v>
      </c>
      <c r="B43" s="139" t="s">
        <v>344</v>
      </c>
      <c r="C43" s="158">
        <f t="shared" si="0"/>
        <v>20492692</v>
      </c>
      <c r="D43" s="158">
        <f>D44+D45+D76</f>
        <v>20457692</v>
      </c>
      <c r="E43" s="158">
        <f>E44+E45+E76</f>
        <v>1185014</v>
      </c>
      <c r="F43" s="158">
        <f>F44+F45+F76</f>
        <v>29065</v>
      </c>
      <c r="G43" s="158">
        <f>G44+G45+G76</f>
        <v>35000</v>
      </c>
      <c r="H43" s="158">
        <f t="shared" si="1"/>
        <v>0</v>
      </c>
      <c r="I43" s="158">
        <f>I44+I45</f>
        <v>0</v>
      </c>
      <c r="J43" s="158">
        <f>J44+J45</f>
        <v>0</v>
      </c>
      <c r="K43" s="158">
        <f>K44+K45</f>
        <v>0</v>
      </c>
      <c r="L43" s="158">
        <f>L44+L45</f>
        <v>0</v>
      </c>
      <c r="M43" s="158">
        <f>M44+M45</f>
        <v>0</v>
      </c>
      <c r="N43" s="158">
        <f t="shared" si="2"/>
        <v>20492692</v>
      </c>
    </row>
    <row r="44" spans="1:14" ht="12.75">
      <c r="A44" s="45" t="s">
        <v>22</v>
      </c>
      <c r="B44" s="52" t="s">
        <v>23</v>
      </c>
      <c r="C44" s="146">
        <f t="shared" si="0"/>
        <v>1714216</v>
      </c>
      <c r="D44" s="142">
        <f>1037364-11391+75155+482322+87700+7857+209</f>
        <v>1679216</v>
      </c>
      <c r="E44" s="142">
        <f>720370-8363+55180+354127+63700</f>
        <v>1185014</v>
      </c>
      <c r="F44" s="142">
        <f>20618+7857+381+209</f>
        <v>29065</v>
      </c>
      <c r="G44" s="142">
        <f>28000+7000</f>
        <v>35000</v>
      </c>
      <c r="H44" s="146">
        <f t="shared" si="1"/>
        <v>0</v>
      </c>
      <c r="I44" s="142"/>
      <c r="J44" s="142"/>
      <c r="K44" s="142"/>
      <c r="L44" s="142"/>
      <c r="M44" s="142"/>
      <c r="N44" s="146">
        <f t="shared" si="2"/>
        <v>1714216</v>
      </c>
    </row>
    <row r="45" spans="1:16" ht="25.5">
      <c r="A45" s="45" t="s">
        <v>47</v>
      </c>
      <c r="B45" s="52" t="s">
        <v>147</v>
      </c>
      <c r="C45" s="146">
        <f t="shared" si="0"/>
        <v>18760676</v>
      </c>
      <c r="D45" s="142">
        <f>D46+D47+D48+D49+D50+D51+D52+D53+D54+D56+D57+D58+D59+D60+D62+D63+D67+D70+D74+D75+D68+D69+D61</f>
        <v>18760676</v>
      </c>
      <c r="E45" s="142"/>
      <c r="F45" s="142"/>
      <c r="G45" s="142"/>
      <c r="H45" s="146">
        <f t="shared" si="1"/>
        <v>0</v>
      </c>
      <c r="I45" s="142"/>
      <c r="J45" s="142"/>
      <c r="K45" s="142"/>
      <c r="L45" s="142"/>
      <c r="M45" s="142"/>
      <c r="N45" s="146">
        <f t="shared" si="2"/>
        <v>18760676</v>
      </c>
      <c r="O45" s="63"/>
      <c r="P45" s="30"/>
    </row>
    <row r="46" spans="1:15" ht="192" customHeight="1">
      <c r="A46" s="45" t="s">
        <v>158</v>
      </c>
      <c r="B46" s="88" t="s">
        <v>429</v>
      </c>
      <c r="C46" s="146">
        <f t="shared" si="0"/>
        <v>7805857</v>
      </c>
      <c r="D46" s="142">
        <f>7606950+198907</f>
        <v>7805857</v>
      </c>
      <c r="E46" s="142"/>
      <c r="F46" s="142"/>
      <c r="G46" s="142"/>
      <c r="H46" s="146">
        <f t="shared" si="1"/>
        <v>0</v>
      </c>
      <c r="I46" s="142"/>
      <c r="J46" s="142"/>
      <c r="K46" s="142"/>
      <c r="L46" s="142"/>
      <c r="M46" s="142"/>
      <c r="N46" s="146">
        <f t="shared" si="2"/>
        <v>7805857</v>
      </c>
      <c r="O46" s="30"/>
    </row>
    <row r="47" spans="1:15" ht="180.75" customHeight="1">
      <c r="A47" s="45" t="s">
        <v>164</v>
      </c>
      <c r="B47" s="88" t="s">
        <v>430</v>
      </c>
      <c r="C47" s="146">
        <f t="shared" si="0"/>
        <v>68560</v>
      </c>
      <c r="D47" s="142">
        <v>68560</v>
      </c>
      <c r="E47" s="142"/>
      <c r="F47" s="142"/>
      <c r="G47" s="142"/>
      <c r="H47" s="146">
        <f t="shared" si="1"/>
        <v>0</v>
      </c>
      <c r="I47" s="142"/>
      <c r="J47" s="142"/>
      <c r="K47" s="142"/>
      <c r="L47" s="142"/>
      <c r="M47" s="142"/>
      <c r="N47" s="146">
        <f t="shared" si="2"/>
        <v>68560</v>
      </c>
      <c r="O47" s="30"/>
    </row>
    <row r="48" spans="1:15" ht="193.5" customHeight="1">
      <c r="A48" s="45" t="s">
        <v>165</v>
      </c>
      <c r="B48" s="88" t="s">
        <v>432</v>
      </c>
      <c r="C48" s="146">
        <f t="shared" si="0"/>
        <v>721921</v>
      </c>
      <c r="D48" s="142">
        <f>924821-200000-2900</f>
        <v>721921</v>
      </c>
      <c r="E48" s="142"/>
      <c r="F48" s="142"/>
      <c r="G48" s="142"/>
      <c r="H48" s="146">
        <f t="shared" si="1"/>
        <v>0</v>
      </c>
      <c r="I48" s="142"/>
      <c r="J48" s="142"/>
      <c r="K48" s="142"/>
      <c r="L48" s="142"/>
      <c r="M48" s="142"/>
      <c r="N48" s="146">
        <f t="shared" si="2"/>
        <v>721921</v>
      </c>
      <c r="O48" s="30"/>
    </row>
    <row r="49" spans="1:15" ht="344.25">
      <c r="A49" s="45" t="s">
        <v>166</v>
      </c>
      <c r="B49" s="20" t="s">
        <v>436</v>
      </c>
      <c r="C49" s="146">
        <f t="shared" si="0"/>
        <v>578000</v>
      </c>
      <c r="D49" s="142">
        <v>578000</v>
      </c>
      <c r="E49" s="142"/>
      <c r="F49" s="142"/>
      <c r="G49" s="142"/>
      <c r="H49" s="146">
        <f t="shared" si="1"/>
        <v>0</v>
      </c>
      <c r="I49" s="142"/>
      <c r="J49" s="142"/>
      <c r="K49" s="142"/>
      <c r="L49" s="142"/>
      <c r="M49" s="142"/>
      <c r="N49" s="146">
        <f t="shared" si="2"/>
        <v>578000</v>
      </c>
      <c r="O49" s="30"/>
    </row>
    <row r="50" spans="1:15" ht="280.5" hidden="1">
      <c r="A50" s="45" t="s">
        <v>167</v>
      </c>
      <c r="B50" s="20" t="s">
        <v>1</v>
      </c>
      <c r="C50" s="146">
        <f t="shared" si="0"/>
        <v>0</v>
      </c>
      <c r="D50" s="142"/>
      <c r="E50" s="142"/>
      <c r="F50" s="142"/>
      <c r="G50" s="142"/>
      <c r="H50" s="146">
        <f t="shared" si="1"/>
        <v>0</v>
      </c>
      <c r="I50" s="142"/>
      <c r="J50" s="142"/>
      <c r="K50" s="142"/>
      <c r="L50" s="142"/>
      <c r="M50" s="142"/>
      <c r="N50" s="146">
        <f t="shared" si="2"/>
        <v>0</v>
      </c>
      <c r="O50" s="30"/>
    </row>
    <row r="51" spans="1:15" ht="127.5">
      <c r="A51" s="45" t="s">
        <v>159</v>
      </c>
      <c r="B51" s="20" t="s">
        <v>11</v>
      </c>
      <c r="C51" s="146">
        <f t="shared" si="0"/>
        <v>48000</v>
      </c>
      <c r="D51" s="142">
        <f>50000-2000</f>
        <v>48000</v>
      </c>
      <c r="E51" s="142"/>
      <c r="F51" s="142"/>
      <c r="G51" s="142"/>
      <c r="H51" s="146">
        <f t="shared" si="1"/>
        <v>0</v>
      </c>
      <c r="I51" s="142"/>
      <c r="J51" s="142"/>
      <c r="K51" s="142"/>
      <c r="L51" s="142"/>
      <c r="M51" s="142"/>
      <c r="N51" s="146">
        <f t="shared" si="2"/>
        <v>48000</v>
      </c>
      <c r="O51" s="30"/>
    </row>
    <row r="52" spans="1:15" ht="76.5">
      <c r="A52" s="45" t="s">
        <v>168</v>
      </c>
      <c r="B52" s="20" t="s">
        <v>433</v>
      </c>
      <c r="C52" s="146">
        <f t="shared" si="0"/>
        <v>210078</v>
      </c>
      <c r="D52" s="142">
        <v>210078</v>
      </c>
      <c r="E52" s="142"/>
      <c r="F52" s="142"/>
      <c r="G52" s="142"/>
      <c r="H52" s="146">
        <f t="shared" si="1"/>
        <v>0</v>
      </c>
      <c r="I52" s="142"/>
      <c r="J52" s="142"/>
      <c r="K52" s="142"/>
      <c r="L52" s="142"/>
      <c r="M52" s="142"/>
      <c r="N52" s="146">
        <f t="shared" si="2"/>
        <v>210078</v>
      </c>
      <c r="O52" s="30"/>
    </row>
    <row r="53" spans="1:15" ht="76.5">
      <c r="A53" s="45" t="s">
        <v>169</v>
      </c>
      <c r="B53" s="20" t="s">
        <v>434</v>
      </c>
      <c r="C53" s="146">
        <f t="shared" si="0"/>
        <v>624</v>
      </c>
      <c r="D53" s="142">
        <v>624</v>
      </c>
      <c r="E53" s="142"/>
      <c r="F53" s="142"/>
      <c r="G53" s="142"/>
      <c r="H53" s="146">
        <f t="shared" si="1"/>
        <v>0</v>
      </c>
      <c r="I53" s="142"/>
      <c r="J53" s="142"/>
      <c r="K53" s="142"/>
      <c r="L53" s="142"/>
      <c r="M53" s="142"/>
      <c r="N53" s="146">
        <f t="shared" si="2"/>
        <v>624</v>
      </c>
      <c r="O53" s="30"/>
    </row>
    <row r="54" spans="1:15" ht="63.75">
      <c r="A54" s="45" t="s">
        <v>170</v>
      </c>
      <c r="B54" s="20" t="s">
        <v>435</v>
      </c>
      <c r="C54" s="146">
        <f t="shared" si="0"/>
        <v>23500</v>
      </c>
      <c r="D54" s="142">
        <f>33000-8000-1500</f>
        <v>23500</v>
      </c>
      <c r="E54" s="142"/>
      <c r="F54" s="142"/>
      <c r="G54" s="142"/>
      <c r="H54" s="146">
        <f t="shared" si="1"/>
        <v>0</v>
      </c>
      <c r="I54" s="142"/>
      <c r="J54" s="142"/>
      <c r="K54" s="142"/>
      <c r="L54" s="142"/>
      <c r="M54" s="142"/>
      <c r="N54" s="146">
        <f t="shared" si="2"/>
        <v>23500</v>
      </c>
      <c r="O54" s="30"/>
    </row>
    <row r="55" spans="1:15" ht="25.5" hidden="1">
      <c r="A55" s="45" t="s">
        <v>126</v>
      </c>
      <c r="B55" s="88" t="s">
        <v>243</v>
      </c>
      <c r="C55" s="146">
        <f t="shared" si="0"/>
        <v>0</v>
      </c>
      <c r="D55" s="142"/>
      <c r="E55" s="142"/>
      <c r="F55" s="142"/>
      <c r="G55" s="142"/>
      <c r="H55" s="146">
        <f t="shared" si="1"/>
        <v>0</v>
      </c>
      <c r="I55" s="142"/>
      <c r="J55" s="142"/>
      <c r="K55" s="142"/>
      <c r="L55" s="142"/>
      <c r="M55" s="142"/>
      <c r="N55" s="146">
        <f t="shared" si="2"/>
        <v>0</v>
      </c>
      <c r="O55" s="30"/>
    </row>
    <row r="56" spans="1:15" ht="12.75">
      <c r="A56" s="45" t="s">
        <v>127</v>
      </c>
      <c r="B56" s="52" t="s">
        <v>211</v>
      </c>
      <c r="C56" s="146">
        <f t="shared" si="0"/>
        <v>243800</v>
      </c>
      <c r="D56" s="142">
        <f>243800</f>
        <v>243800</v>
      </c>
      <c r="E56" s="142"/>
      <c r="F56" s="142"/>
      <c r="G56" s="142"/>
      <c r="H56" s="146">
        <f t="shared" si="1"/>
        <v>0</v>
      </c>
      <c r="I56" s="142"/>
      <c r="J56" s="142"/>
      <c r="K56" s="142"/>
      <c r="L56" s="142"/>
      <c r="M56" s="142"/>
      <c r="N56" s="146">
        <f t="shared" si="2"/>
        <v>243800</v>
      </c>
      <c r="O56" s="30"/>
    </row>
    <row r="57" spans="1:15" ht="25.5">
      <c r="A57" s="45" t="s">
        <v>128</v>
      </c>
      <c r="B57" s="52" t="s">
        <v>212</v>
      </c>
      <c r="C57" s="146">
        <f t="shared" si="0"/>
        <v>1492260</v>
      </c>
      <c r="D57" s="142">
        <f>1492260</f>
        <v>1492260</v>
      </c>
      <c r="E57" s="142"/>
      <c r="F57" s="142"/>
      <c r="G57" s="142"/>
      <c r="H57" s="146">
        <f t="shared" si="1"/>
        <v>0</v>
      </c>
      <c r="I57" s="142"/>
      <c r="J57" s="142"/>
      <c r="K57" s="142"/>
      <c r="L57" s="142"/>
      <c r="M57" s="142"/>
      <c r="N57" s="146">
        <f t="shared" si="2"/>
        <v>1492260</v>
      </c>
      <c r="O57" s="30"/>
    </row>
    <row r="58" spans="1:15" ht="25.5">
      <c r="A58" s="45" t="s">
        <v>129</v>
      </c>
      <c r="B58" s="52" t="s">
        <v>103</v>
      </c>
      <c r="C58" s="146">
        <f t="shared" si="0"/>
        <v>2756770</v>
      </c>
      <c r="D58" s="142">
        <v>2756770</v>
      </c>
      <c r="E58" s="142"/>
      <c r="F58" s="142"/>
      <c r="G58" s="142"/>
      <c r="H58" s="146">
        <f t="shared" si="1"/>
        <v>0</v>
      </c>
      <c r="I58" s="142"/>
      <c r="J58" s="142"/>
      <c r="K58" s="142"/>
      <c r="L58" s="142"/>
      <c r="M58" s="142"/>
      <c r="N58" s="146">
        <f t="shared" si="2"/>
        <v>2756770</v>
      </c>
      <c r="O58" s="30"/>
    </row>
    <row r="59" spans="1:15" ht="25.5">
      <c r="A59" s="45" t="s">
        <v>89</v>
      </c>
      <c r="B59" s="52" t="s">
        <v>172</v>
      </c>
      <c r="C59" s="146">
        <f t="shared" si="0"/>
        <v>528440</v>
      </c>
      <c r="D59" s="142">
        <f>528440</f>
        <v>528440</v>
      </c>
      <c r="E59" s="142"/>
      <c r="F59" s="142"/>
      <c r="G59" s="142"/>
      <c r="H59" s="146">
        <f t="shared" si="1"/>
        <v>0</v>
      </c>
      <c r="I59" s="142"/>
      <c r="J59" s="142"/>
      <c r="K59" s="142"/>
      <c r="L59" s="142"/>
      <c r="M59" s="142"/>
      <c r="N59" s="146">
        <f t="shared" si="2"/>
        <v>528440</v>
      </c>
      <c r="O59" s="30"/>
    </row>
    <row r="60" spans="1:15" ht="12.75">
      <c r="A60" s="45" t="s">
        <v>233</v>
      </c>
      <c r="B60" s="52" t="s">
        <v>171</v>
      </c>
      <c r="C60" s="146">
        <f t="shared" si="0"/>
        <v>1806665</v>
      </c>
      <c r="D60" s="142">
        <v>1806665</v>
      </c>
      <c r="E60" s="142"/>
      <c r="F60" s="142"/>
      <c r="G60" s="142"/>
      <c r="H60" s="146">
        <f t="shared" si="1"/>
        <v>0</v>
      </c>
      <c r="I60" s="142"/>
      <c r="J60" s="142"/>
      <c r="K60" s="142"/>
      <c r="L60" s="142"/>
      <c r="M60" s="142"/>
      <c r="N60" s="146">
        <f t="shared" si="2"/>
        <v>1806665</v>
      </c>
      <c r="O60" s="30"/>
    </row>
    <row r="61" spans="1:15" ht="12.75">
      <c r="A61" s="45" t="s">
        <v>419</v>
      </c>
      <c r="B61" s="102" t="s">
        <v>420</v>
      </c>
      <c r="C61" s="146">
        <f t="shared" si="0"/>
        <v>39030</v>
      </c>
      <c r="D61" s="142">
        <f>39030</f>
        <v>39030</v>
      </c>
      <c r="E61" s="142"/>
      <c r="F61" s="142"/>
      <c r="G61" s="142"/>
      <c r="H61" s="146"/>
      <c r="I61" s="142"/>
      <c r="J61" s="142"/>
      <c r="K61" s="142"/>
      <c r="L61" s="142"/>
      <c r="M61" s="142"/>
      <c r="N61" s="146">
        <f t="shared" si="2"/>
        <v>39030</v>
      </c>
      <c r="O61" s="30"/>
    </row>
    <row r="62" spans="1:15" ht="25.5">
      <c r="A62" s="45" t="s">
        <v>173</v>
      </c>
      <c r="B62" s="52" t="s">
        <v>213</v>
      </c>
      <c r="C62" s="146">
        <f t="shared" si="0"/>
        <v>759945</v>
      </c>
      <c r="D62" s="142">
        <f>759945</f>
        <v>759945</v>
      </c>
      <c r="E62" s="142"/>
      <c r="F62" s="142"/>
      <c r="G62" s="142"/>
      <c r="H62" s="146">
        <f t="shared" si="1"/>
        <v>0</v>
      </c>
      <c r="I62" s="142"/>
      <c r="J62" s="142"/>
      <c r="K62" s="142"/>
      <c r="L62" s="142"/>
      <c r="M62" s="142"/>
      <c r="N62" s="146">
        <f t="shared" si="2"/>
        <v>759945</v>
      </c>
      <c r="O62" s="30"/>
    </row>
    <row r="63" spans="1:15" ht="38.25">
      <c r="A63" s="45" t="s">
        <v>90</v>
      </c>
      <c r="B63" s="52" t="s">
        <v>148</v>
      </c>
      <c r="C63" s="146">
        <f t="shared" si="0"/>
        <v>463088</v>
      </c>
      <c r="D63" s="142">
        <f>D65+D66</f>
        <v>463088</v>
      </c>
      <c r="E63" s="142"/>
      <c r="F63" s="142"/>
      <c r="G63" s="142"/>
      <c r="H63" s="146">
        <f t="shared" si="1"/>
        <v>0</v>
      </c>
      <c r="I63" s="142"/>
      <c r="J63" s="142"/>
      <c r="K63" s="142"/>
      <c r="L63" s="142"/>
      <c r="M63" s="142"/>
      <c r="N63" s="146">
        <f t="shared" si="2"/>
        <v>463088</v>
      </c>
      <c r="O63" s="30"/>
    </row>
    <row r="64" spans="1:15" ht="12.75">
      <c r="A64" s="45"/>
      <c r="B64" s="52" t="s">
        <v>224</v>
      </c>
      <c r="C64" s="146"/>
      <c r="D64" s="142"/>
      <c r="E64" s="142"/>
      <c r="F64" s="142"/>
      <c r="G64" s="142"/>
      <c r="H64" s="146"/>
      <c r="I64" s="142"/>
      <c r="J64" s="142"/>
      <c r="K64" s="142"/>
      <c r="L64" s="142"/>
      <c r="M64" s="142"/>
      <c r="N64" s="146"/>
      <c r="O64" s="30"/>
    </row>
    <row r="65" spans="1:15" ht="63.75">
      <c r="A65" s="45"/>
      <c r="B65" s="52" t="s">
        <v>214</v>
      </c>
      <c r="C65" s="146">
        <f t="shared" si="0"/>
        <v>434120</v>
      </c>
      <c r="D65" s="142">
        <f>633027-198907</f>
        <v>434120</v>
      </c>
      <c r="E65" s="142"/>
      <c r="F65" s="142"/>
      <c r="G65" s="142"/>
      <c r="H65" s="146">
        <f t="shared" si="1"/>
        <v>0</v>
      </c>
      <c r="I65" s="142"/>
      <c r="J65" s="142"/>
      <c r="K65" s="142"/>
      <c r="L65" s="142"/>
      <c r="M65" s="142"/>
      <c r="N65" s="146">
        <f t="shared" si="2"/>
        <v>434120</v>
      </c>
      <c r="O65" s="30"/>
    </row>
    <row r="66" spans="1:15" ht="25.5">
      <c r="A66" s="45"/>
      <c r="B66" s="52" t="s">
        <v>196</v>
      </c>
      <c r="C66" s="146">
        <f t="shared" si="0"/>
        <v>28968</v>
      </c>
      <c r="D66" s="142">
        <v>28968</v>
      </c>
      <c r="E66" s="142"/>
      <c r="F66" s="142"/>
      <c r="G66" s="142"/>
      <c r="H66" s="146">
        <f t="shared" si="1"/>
        <v>0</v>
      </c>
      <c r="I66" s="142"/>
      <c r="J66" s="142"/>
      <c r="K66" s="142"/>
      <c r="L66" s="142"/>
      <c r="M66" s="142"/>
      <c r="N66" s="146">
        <f t="shared" si="2"/>
        <v>28968</v>
      </c>
      <c r="O66" s="30"/>
    </row>
    <row r="67" spans="1:15" ht="25.5">
      <c r="A67" s="45" t="s">
        <v>48</v>
      </c>
      <c r="B67" s="92" t="s">
        <v>197</v>
      </c>
      <c r="C67" s="146">
        <f t="shared" si="0"/>
        <v>158878</v>
      </c>
      <c r="D67" s="142">
        <f>90000+64300+4578</f>
        <v>158878</v>
      </c>
      <c r="E67" s="142"/>
      <c r="F67" s="142"/>
      <c r="G67" s="142"/>
      <c r="H67" s="146">
        <f t="shared" si="1"/>
        <v>0</v>
      </c>
      <c r="I67" s="142"/>
      <c r="J67" s="142"/>
      <c r="K67" s="142"/>
      <c r="L67" s="142"/>
      <c r="M67" s="142"/>
      <c r="N67" s="146">
        <f t="shared" si="2"/>
        <v>158878</v>
      </c>
      <c r="O67" s="30"/>
    </row>
    <row r="68" spans="1:15" ht="25.5" hidden="1">
      <c r="A68" s="89" t="s">
        <v>390</v>
      </c>
      <c r="B68" s="79" t="s">
        <v>391</v>
      </c>
      <c r="C68" s="146">
        <f t="shared" si="0"/>
        <v>0</v>
      </c>
      <c r="D68" s="142"/>
      <c r="E68" s="142"/>
      <c r="F68" s="142"/>
      <c r="G68" s="142"/>
      <c r="H68" s="146"/>
      <c r="I68" s="142"/>
      <c r="J68" s="142"/>
      <c r="K68" s="142"/>
      <c r="L68" s="142"/>
      <c r="M68" s="142"/>
      <c r="N68" s="146">
        <f t="shared" si="2"/>
        <v>0</v>
      </c>
      <c r="O68" s="30"/>
    </row>
    <row r="69" spans="1:15" ht="25.5" hidden="1">
      <c r="A69" s="89" t="s">
        <v>321</v>
      </c>
      <c r="B69" s="79" t="s">
        <v>392</v>
      </c>
      <c r="C69" s="146">
        <f t="shared" si="0"/>
        <v>0</v>
      </c>
      <c r="D69" s="142"/>
      <c r="E69" s="142"/>
      <c r="F69" s="142"/>
      <c r="G69" s="142"/>
      <c r="H69" s="146"/>
      <c r="I69" s="142"/>
      <c r="J69" s="142"/>
      <c r="K69" s="142"/>
      <c r="L69" s="142"/>
      <c r="M69" s="142"/>
      <c r="N69" s="146">
        <f t="shared" si="2"/>
        <v>0</v>
      </c>
      <c r="O69" s="30"/>
    </row>
    <row r="70" spans="1:15" ht="76.5" hidden="1">
      <c r="A70" s="45" t="s">
        <v>318</v>
      </c>
      <c r="B70" s="52" t="s">
        <v>320</v>
      </c>
      <c r="C70" s="146">
        <f t="shared" si="0"/>
        <v>0</v>
      </c>
      <c r="D70" s="142">
        <f>D72+D73</f>
        <v>0</v>
      </c>
      <c r="E70" s="142"/>
      <c r="F70" s="142"/>
      <c r="G70" s="142"/>
      <c r="H70" s="146">
        <f t="shared" si="1"/>
        <v>0</v>
      </c>
      <c r="I70" s="142"/>
      <c r="J70" s="142"/>
      <c r="K70" s="142"/>
      <c r="L70" s="142"/>
      <c r="M70" s="142"/>
      <c r="N70" s="146">
        <f t="shared" si="2"/>
        <v>0</v>
      </c>
      <c r="O70" s="30"/>
    </row>
    <row r="71" spans="1:15" ht="12.75" hidden="1">
      <c r="A71" s="45"/>
      <c r="B71" s="52" t="s">
        <v>224</v>
      </c>
      <c r="C71" s="146"/>
      <c r="D71" s="142"/>
      <c r="E71" s="142"/>
      <c r="F71" s="142"/>
      <c r="G71" s="142"/>
      <c r="H71" s="146"/>
      <c r="I71" s="142"/>
      <c r="J71" s="142"/>
      <c r="K71" s="142"/>
      <c r="L71" s="142"/>
      <c r="M71" s="142"/>
      <c r="N71" s="146"/>
      <c r="O71" s="30"/>
    </row>
    <row r="72" spans="1:15" ht="63.75" hidden="1">
      <c r="A72" s="45"/>
      <c r="B72" s="52" t="s">
        <v>214</v>
      </c>
      <c r="C72" s="146">
        <f t="shared" si="0"/>
        <v>0</v>
      </c>
      <c r="D72" s="142"/>
      <c r="E72" s="142"/>
      <c r="F72" s="142"/>
      <c r="G72" s="142"/>
      <c r="H72" s="146"/>
      <c r="I72" s="142"/>
      <c r="J72" s="142"/>
      <c r="K72" s="142"/>
      <c r="L72" s="142"/>
      <c r="M72" s="142"/>
      <c r="N72" s="146">
        <f t="shared" si="2"/>
        <v>0</v>
      </c>
      <c r="O72" s="30"/>
    </row>
    <row r="73" spans="1:15" ht="25.5" hidden="1">
      <c r="A73" s="45"/>
      <c r="B73" s="52" t="s">
        <v>196</v>
      </c>
      <c r="C73" s="146">
        <f t="shared" si="0"/>
        <v>0</v>
      </c>
      <c r="D73" s="142"/>
      <c r="E73" s="142"/>
      <c r="F73" s="142"/>
      <c r="G73" s="142"/>
      <c r="H73" s="146"/>
      <c r="I73" s="142"/>
      <c r="J73" s="142"/>
      <c r="K73" s="142"/>
      <c r="L73" s="142"/>
      <c r="M73" s="142"/>
      <c r="N73" s="146">
        <f t="shared" si="2"/>
        <v>0</v>
      </c>
      <c r="O73" s="30"/>
    </row>
    <row r="74" spans="1:15" ht="25.5">
      <c r="A74" s="45" t="s">
        <v>160</v>
      </c>
      <c r="B74" s="184" t="s">
        <v>417</v>
      </c>
      <c r="C74" s="146">
        <f t="shared" si="0"/>
        <v>25350</v>
      </c>
      <c r="D74" s="142">
        <v>25350</v>
      </c>
      <c r="E74" s="142"/>
      <c r="F74" s="142"/>
      <c r="G74" s="142"/>
      <c r="H74" s="146">
        <f t="shared" si="1"/>
        <v>0</v>
      </c>
      <c r="I74" s="142"/>
      <c r="J74" s="142"/>
      <c r="K74" s="142"/>
      <c r="L74" s="142"/>
      <c r="M74" s="142"/>
      <c r="N74" s="146">
        <f t="shared" si="2"/>
        <v>25350</v>
      </c>
      <c r="O74" s="30"/>
    </row>
    <row r="75" spans="1:15" ht="25.5">
      <c r="A75" s="45" t="s">
        <v>120</v>
      </c>
      <c r="B75" s="52" t="s">
        <v>198</v>
      </c>
      <c r="C75" s="146">
        <f t="shared" si="0"/>
        <v>1029910</v>
      </c>
      <c r="D75" s="142">
        <f>1029910</f>
        <v>1029910</v>
      </c>
      <c r="E75" s="142"/>
      <c r="F75" s="142"/>
      <c r="G75" s="142"/>
      <c r="H75" s="146">
        <f t="shared" si="1"/>
        <v>0</v>
      </c>
      <c r="I75" s="142"/>
      <c r="J75" s="142"/>
      <c r="K75" s="142"/>
      <c r="L75" s="142"/>
      <c r="M75" s="142"/>
      <c r="N75" s="146">
        <f t="shared" si="2"/>
        <v>1029910</v>
      </c>
      <c r="O75" s="30"/>
    </row>
    <row r="76" spans="1:15" ht="38.25">
      <c r="A76" s="45" t="s">
        <v>71</v>
      </c>
      <c r="B76" s="26" t="s">
        <v>446</v>
      </c>
      <c r="C76" s="146">
        <f t="shared" si="0"/>
        <v>17800</v>
      </c>
      <c r="D76" s="142">
        <v>17800</v>
      </c>
      <c r="E76" s="142"/>
      <c r="F76" s="142"/>
      <c r="G76" s="142"/>
      <c r="H76" s="146"/>
      <c r="I76" s="142"/>
      <c r="J76" s="142"/>
      <c r="K76" s="142"/>
      <c r="L76" s="142"/>
      <c r="M76" s="142"/>
      <c r="N76" s="146">
        <f t="shared" si="2"/>
        <v>17800</v>
      </c>
      <c r="O76" s="30"/>
    </row>
    <row r="77" spans="1:14" s="124" customFormat="1" ht="38.25">
      <c r="A77" s="123" t="s">
        <v>376</v>
      </c>
      <c r="B77" s="136" t="s">
        <v>345</v>
      </c>
      <c r="C77" s="158">
        <f t="shared" si="0"/>
        <v>506263</v>
      </c>
      <c r="D77" s="158">
        <f>D78+D79+D80</f>
        <v>499263</v>
      </c>
      <c r="E77" s="158">
        <f aca="true" t="shared" si="3" ref="E77:M77">E78+E79+E80</f>
        <v>114082</v>
      </c>
      <c r="F77" s="158">
        <f t="shared" si="3"/>
        <v>148079</v>
      </c>
      <c r="G77" s="158">
        <f t="shared" si="3"/>
        <v>7000</v>
      </c>
      <c r="H77" s="158">
        <f t="shared" si="3"/>
        <v>0</v>
      </c>
      <c r="I77" s="158">
        <f t="shared" si="3"/>
        <v>0</v>
      </c>
      <c r="J77" s="158">
        <f t="shared" si="3"/>
        <v>0</v>
      </c>
      <c r="K77" s="158">
        <f t="shared" si="3"/>
        <v>0</v>
      </c>
      <c r="L77" s="158">
        <f t="shared" si="3"/>
        <v>0</v>
      </c>
      <c r="M77" s="158">
        <f t="shared" si="3"/>
        <v>0</v>
      </c>
      <c r="N77" s="158">
        <f t="shared" si="2"/>
        <v>506263</v>
      </c>
    </row>
    <row r="78" spans="1:14" ht="12.75">
      <c r="A78" s="45" t="s">
        <v>22</v>
      </c>
      <c r="B78" s="52" t="s">
        <v>23</v>
      </c>
      <c r="C78" s="146">
        <f t="shared" si="0"/>
        <v>166263</v>
      </c>
      <c r="D78" s="142">
        <f>105599+3508+47260+9330+799+713-946</f>
        <v>166263</v>
      </c>
      <c r="E78" s="142">
        <f>70007+2576+34699+6800</f>
        <v>114082</v>
      </c>
      <c r="F78" s="142">
        <f>3226+799-946</f>
        <v>3079</v>
      </c>
      <c r="G78" s="142"/>
      <c r="H78" s="146">
        <f t="shared" si="1"/>
        <v>0</v>
      </c>
      <c r="I78" s="142"/>
      <c r="J78" s="142"/>
      <c r="K78" s="142"/>
      <c r="L78" s="142"/>
      <c r="M78" s="142"/>
      <c r="N78" s="146">
        <f t="shared" si="2"/>
        <v>166263</v>
      </c>
    </row>
    <row r="79" spans="1:14" ht="12.75">
      <c r="A79" s="45">
        <v>100203</v>
      </c>
      <c r="B79" s="52" t="s">
        <v>53</v>
      </c>
      <c r="C79" s="146">
        <f t="shared" si="0"/>
        <v>325000</v>
      </c>
      <c r="D79" s="142">
        <f>275000+50000</f>
        <v>325000</v>
      </c>
      <c r="E79" s="142"/>
      <c r="F79" s="142">
        <f>95000+50000</f>
        <v>145000</v>
      </c>
      <c r="G79" s="142"/>
      <c r="H79" s="146">
        <f t="shared" si="1"/>
        <v>0</v>
      </c>
      <c r="I79" s="142"/>
      <c r="J79" s="142"/>
      <c r="K79" s="142"/>
      <c r="L79" s="142"/>
      <c r="M79" s="142"/>
      <c r="N79" s="146">
        <f t="shared" si="2"/>
        <v>325000</v>
      </c>
    </row>
    <row r="80" spans="1:14" ht="38.25">
      <c r="A80" s="45" t="s">
        <v>71</v>
      </c>
      <c r="B80" s="26" t="s">
        <v>446</v>
      </c>
      <c r="C80" s="146">
        <f t="shared" si="0"/>
        <v>15000</v>
      </c>
      <c r="D80" s="142">
        <v>8000</v>
      </c>
      <c r="E80" s="142"/>
      <c r="F80" s="142"/>
      <c r="G80" s="142">
        <v>7000</v>
      </c>
      <c r="H80" s="146">
        <f t="shared" si="1"/>
        <v>0</v>
      </c>
      <c r="I80" s="142"/>
      <c r="J80" s="142"/>
      <c r="K80" s="142"/>
      <c r="L80" s="142"/>
      <c r="M80" s="142"/>
      <c r="N80" s="146">
        <f t="shared" si="2"/>
        <v>15000</v>
      </c>
    </row>
    <row r="81" spans="1:14" s="124" customFormat="1" ht="25.5">
      <c r="A81" s="123" t="s">
        <v>274</v>
      </c>
      <c r="B81" s="139" t="s">
        <v>346</v>
      </c>
      <c r="C81" s="158">
        <f t="shared" si="0"/>
        <v>337764</v>
      </c>
      <c r="D81" s="158">
        <f>D82+D84</f>
        <v>325887</v>
      </c>
      <c r="E81" s="158">
        <f>E82+E84</f>
        <v>209255</v>
      </c>
      <c r="F81" s="158">
        <f>F82+F84</f>
        <v>5915</v>
      </c>
      <c r="G81" s="158">
        <f>G82+G84</f>
        <v>11877</v>
      </c>
      <c r="H81" s="180">
        <f t="shared" si="1"/>
        <v>1806502.24</v>
      </c>
      <c r="I81" s="180">
        <f>I82+I84+I83</f>
        <v>1806502.24</v>
      </c>
      <c r="J81" s="158">
        <f>J82+J84+J83</f>
        <v>0</v>
      </c>
      <c r="K81" s="158">
        <f>K82+K84+K83</f>
        <v>0</v>
      </c>
      <c r="L81" s="158">
        <f>L82+L84+L83</f>
        <v>0</v>
      </c>
      <c r="M81" s="158">
        <f>M82+M84+M83</f>
        <v>0</v>
      </c>
      <c r="N81" s="180">
        <f t="shared" si="2"/>
        <v>2144266.24</v>
      </c>
    </row>
    <row r="82" spans="1:14" ht="12.75">
      <c r="A82" s="45" t="s">
        <v>22</v>
      </c>
      <c r="B82" s="52" t="s">
        <v>23</v>
      </c>
      <c r="C82" s="146">
        <f t="shared" si="0"/>
        <v>337764</v>
      </c>
      <c r="D82" s="142">
        <f>211644+7032+92087+14870+1398+123-1267</f>
        <v>325887</v>
      </c>
      <c r="E82" s="142">
        <f>126280+5163+67612+10200</f>
        <v>209255</v>
      </c>
      <c r="F82" s="142">
        <f>5784+1398-1267</f>
        <v>5915</v>
      </c>
      <c r="G82" s="142">
        <f>12000-123</f>
        <v>11877</v>
      </c>
      <c r="H82" s="146">
        <f t="shared" si="1"/>
        <v>0</v>
      </c>
      <c r="I82" s="142"/>
      <c r="J82" s="142"/>
      <c r="K82" s="142"/>
      <c r="L82" s="142"/>
      <c r="M82" s="142"/>
      <c r="N82" s="146">
        <f t="shared" si="2"/>
        <v>337764</v>
      </c>
    </row>
    <row r="83" spans="1:14" s="17" customFormat="1" ht="76.5">
      <c r="A83" s="118" t="s">
        <v>401</v>
      </c>
      <c r="B83" s="79" t="s">
        <v>402</v>
      </c>
      <c r="C83" s="147">
        <f t="shared" si="0"/>
        <v>0</v>
      </c>
      <c r="D83" s="147"/>
      <c r="E83" s="147"/>
      <c r="F83" s="147"/>
      <c r="G83" s="147"/>
      <c r="H83" s="177">
        <f t="shared" si="1"/>
        <v>1806502.24</v>
      </c>
      <c r="I83" s="177">
        <v>1806502.24</v>
      </c>
      <c r="J83" s="147"/>
      <c r="K83" s="147"/>
      <c r="L83" s="147"/>
      <c r="M83" s="147"/>
      <c r="N83" s="178">
        <f t="shared" si="2"/>
        <v>1806502.24</v>
      </c>
    </row>
    <row r="84" spans="1:14" ht="38.25" hidden="1">
      <c r="A84" s="45">
        <v>250306</v>
      </c>
      <c r="B84" s="52" t="s">
        <v>161</v>
      </c>
      <c r="C84" s="146">
        <f t="shared" si="0"/>
        <v>0</v>
      </c>
      <c r="D84" s="142"/>
      <c r="E84" s="142"/>
      <c r="F84" s="142"/>
      <c r="G84" s="142"/>
      <c r="H84" s="146">
        <f t="shared" si="1"/>
        <v>0</v>
      </c>
      <c r="I84" s="142"/>
      <c r="J84" s="142"/>
      <c r="K84" s="142"/>
      <c r="L84" s="142"/>
      <c r="M84" s="142"/>
      <c r="N84" s="146">
        <f t="shared" si="2"/>
        <v>0</v>
      </c>
    </row>
    <row r="85" spans="1:14" ht="12.75">
      <c r="A85" s="45"/>
      <c r="B85" s="52" t="s">
        <v>78</v>
      </c>
      <c r="C85" s="146">
        <f t="shared" si="0"/>
        <v>81548878.69</v>
      </c>
      <c r="D85" s="142">
        <f>D11+D27+D43+D77+D81</f>
        <v>80950793.69</v>
      </c>
      <c r="E85" s="142">
        <f>E11+E27+E43+E77+E81</f>
        <v>34773115</v>
      </c>
      <c r="F85" s="142">
        <f>F11+F27+F43+F77+F81</f>
        <v>6049143</v>
      </c>
      <c r="G85" s="142">
        <f>G11+G27+G43+G77+G81</f>
        <v>598085</v>
      </c>
      <c r="H85" s="178">
        <f t="shared" si="1"/>
        <v>4395433.24</v>
      </c>
      <c r="I85" s="187">
        <f>I11+I27+I43+I77+I81</f>
        <v>4279933.24</v>
      </c>
      <c r="J85" s="142">
        <f>J11+J27+J43+J77+J81</f>
        <v>499796</v>
      </c>
      <c r="K85" s="142">
        <f>K11+K27+K43+K77+K81</f>
        <v>228866</v>
      </c>
      <c r="L85" s="142">
        <f>L11+L27+L43+L77+L81</f>
        <v>115500</v>
      </c>
      <c r="M85" s="142">
        <f>M11+M27+M43+M77+M81</f>
        <v>0</v>
      </c>
      <c r="N85" s="178">
        <f t="shared" si="2"/>
        <v>85944311.92999999</v>
      </c>
    </row>
    <row r="87" spans="1:10" s="32" customFormat="1" ht="15" customHeight="1">
      <c r="A87" s="32" t="s">
        <v>239</v>
      </c>
      <c r="B87" s="190"/>
      <c r="C87" s="190"/>
      <c r="D87" s="190"/>
      <c r="E87" s="190"/>
      <c r="J87" s="32" t="s">
        <v>442</v>
      </c>
    </row>
    <row r="89" ht="12.75">
      <c r="H89" s="53"/>
    </row>
  </sheetData>
  <mergeCells count="9">
    <mergeCell ref="N8:N9"/>
    <mergeCell ref="A8:A9"/>
    <mergeCell ref="B8:B9"/>
    <mergeCell ref="C8:G8"/>
    <mergeCell ref="H8:M8"/>
    <mergeCell ref="L1:N1"/>
    <mergeCell ref="L2:N2"/>
    <mergeCell ref="L3:N3"/>
    <mergeCell ref="A5:N5"/>
  </mergeCells>
  <printOptions/>
  <pageMargins left="0.9055118110236221" right="0.35433070866141736" top="0.6299212598425197" bottom="0.3937007874015748" header="0.5118110236220472" footer="0.5118110236220472"/>
  <pageSetup fitToHeight="0" fitToWidth="1" horizontalDpi="600" verticalDpi="600" orientation="landscape" paperSize="9" scale="71" r:id="rId1"/>
  <headerFooter alignWithMargins="0">
    <oddHeader>&amp;C&amp;P</oddHeader>
  </headerFooter>
  <rowBreaks count="1" manualBreakCount="1">
    <brk id="49" max="13" man="1"/>
  </rowBreaks>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75" zoomScaleNormal="75" zoomScaleSheetLayoutView="75" workbookViewId="0" topLeftCell="A1">
      <pane xSplit="2" ySplit="10" topLeftCell="K47" activePane="bottomRight" state="frozen"/>
      <selection pane="topLeft" activeCell="A1" sqref="A1"/>
      <selection pane="topRight" activeCell="E1" sqref="E1"/>
      <selection pane="bottomLeft" activeCell="A11" sqref="A11"/>
      <selection pane="bottomRight" activeCell="L3" sqref="L3:N3"/>
    </sheetView>
  </sheetViews>
  <sheetFormatPr defaultColWidth="9.00390625" defaultRowHeight="12.75"/>
  <cols>
    <col min="1" max="1" width="7.875" style="67" customWidth="1"/>
    <col min="2" max="2" width="38.625" style="69" customWidth="1"/>
    <col min="3" max="3" width="12.125" style="68" customWidth="1"/>
    <col min="4" max="4" width="11.75390625" style="68" customWidth="1"/>
    <col min="5" max="5" width="11.875" style="68" customWidth="1"/>
    <col min="6" max="6" width="9.875" style="68" customWidth="1"/>
    <col min="7" max="7" width="11.375" style="68" customWidth="1"/>
    <col min="8" max="9" width="13.25390625" style="68" bestFit="1" customWidth="1"/>
    <col min="10" max="10" width="11.75390625" style="68" customWidth="1"/>
    <col min="11" max="11" width="9.875" style="68" customWidth="1"/>
    <col min="12" max="12" width="11.375" style="68" customWidth="1"/>
    <col min="13" max="13" width="9.625" style="68" customWidth="1"/>
    <col min="14" max="14" width="12.875" style="68" customWidth="1"/>
    <col min="15" max="15" width="9.125" style="68" customWidth="1"/>
    <col min="16" max="16384" width="9.125" style="22" customWidth="1"/>
  </cols>
  <sheetData>
    <row r="1" spans="1:15" ht="18">
      <c r="A1" s="85"/>
      <c r="B1" s="22"/>
      <c r="C1" s="3"/>
      <c r="D1" s="22"/>
      <c r="E1" s="22"/>
      <c r="F1" s="22"/>
      <c r="G1" s="22"/>
      <c r="H1" s="22"/>
      <c r="I1" s="22"/>
      <c r="J1" s="22"/>
      <c r="K1" s="22"/>
      <c r="L1" s="197" t="s">
        <v>367</v>
      </c>
      <c r="M1" s="197"/>
      <c r="N1" s="197"/>
      <c r="O1" s="22"/>
    </row>
    <row r="2" spans="1:15" ht="18">
      <c r="A2" s="85"/>
      <c r="B2" s="22"/>
      <c r="C2" s="3"/>
      <c r="D2" s="22"/>
      <c r="E2" s="22"/>
      <c r="F2" s="22"/>
      <c r="G2" s="22"/>
      <c r="H2" s="22"/>
      <c r="I2" s="22"/>
      <c r="J2" s="22"/>
      <c r="K2" s="22"/>
      <c r="L2" s="197" t="s">
        <v>112</v>
      </c>
      <c r="M2" s="197"/>
      <c r="N2" s="197"/>
      <c r="O2" s="22"/>
    </row>
    <row r="3" spans="1:15" ht="18">
      <c r="A3" s="85"/>
      <c r="B3" s="22"/>
      <c r="C3" s="3"/>
      <c r="D3" s="22"/>
      <c r="E3" s="22"/>
      <c r="F3" s="22"/>
      <c r="G3" s="22"/>
      <c r="H3" s="22"/>
      <c r="I3" s="22"/>
      <c r="J3" s="22"/>
      <c r="K3" s="22"/>
      <c r="L3" s="197" t="s">
        <v>451</v>
      </c>
      <c r="M3" s="197"/>
      <c r="N3" s="197"/>
      <c r="O3" s="22"/>
    </row>
    <row r="4" spans="1:15" ht="10.5" customHeight="1">
      <c r="A4" s="85"/>
      <c r="B4" s="22"/>
      <c r="C4" s="3"/>
      <c r="D4" s="22"/>
      <c r="E4" s="22"/>
      <c r="F4" s="22"/>
      <c r="G4" s="22"/>
      <c r="H4" s="22"/>
      <c r="I4" s="22"/>
      <c r="J4" s="22"/>
      <c r="K4" s="22"/>
      <c r="L4" s="22"/>
      <c r="M4" s="22"/>
      <c r="N4" s="22"/>
      <c r="O4" s="22"/>
    </row>
    <row r="5" spans="1:15" ht="18">
      <c r="A5" s="198" t="s">
        <v>4</v>
      </c>
      <c r="B5" s="198"/>
      <c r="C5" s="198"/>
      <c r="D5" s="198"/>
      <c r="E5" s="198"/>
      <c r="F5" s="198"/>
      <c r="G5" s="198"/>
      <c r="H5" s="198"/>
      <c r="I5" s="198"/>
      <c r="J5" s="198"/>
      <c r="K5" s="198"/>
      <c r="L5" s="198"/>
      <c r="M5" s="198"/>
      <c r="N5" s="198"/>
      <c r="O5" s="22"/>
    </row>
    <row r="6" spans="1:15" ht="15.75" hidden="1">
      <c r="A6" s="85"/>
      <c r="B6" s="22"/>
      <c r="C6" s="3" t="s">
        <v>209</v>
      </c>
      <c r="D6" s="22"/>
      <c r="E6" s="22"/>
      <c r="F6" s="22"/>
      <c r="G6" s="22"/>
      <c r="H6" s="22"/>
      <c r="I6" s="22"/>
      <c r="J6" s="22"/>
      <c r="K6" s="22"/>
      <c r="L6" s="22"/>
      <c r="M6" s="22"/>
      <c r="N6" s="22"/>
      <c r="O6" s="22"/>
    </row>
    <row r="7" spans="1:15" ht="15.75">
      <c r="A7" s="85"/>
      <c r="B7" s="22"/>
      <c r="C7" s="3"/>
      <c r="D7" s="2"/>
      <c r="E7" s="22"/>
      <c r="F7" s="22"/>
      <c r="G7" s="22"/>
      <c r="H7" s="22"/>
      <c r="I7" s="22"/>
      <c r="J7" s="22"/>
      <c r="K7" s="22"/>
      <c r="L7" s="22"/>
      <c r="M7" s="22" t="s">
        <v>365</v>
      </c>
      <c r="N7" s="22"/>
      <c r="O7" s="22"/>
    </row>
    <row r="8" spans="1:14" ht="12.75">
      <c r="A8" s="193" t="s">
        <v>325</v>
      </c>
      <c r="B8" s="193" t="s">
        <v>326</v>
      </c>
      <c r="C8" s="210" t="s">
        <v>14</v>
      </c>
      <c r="D8" s="210"/>
      <c r="E8" s="210"/>
      <c r="F8" s="210"/>
      <c r="G8" s="210"/>
      <c r="H8" s="210" t="s">
        <v>15</v>
      </c>
      <c r="I8" s="210"/>
      <c r="J8" s="210"/>
      <c r="K8" s="210"/>
      <c r="L8" s="210"/>
      <c r="M8" s="210"/>
      <c r="N8" s="209" t="s">
        <v>95</v>
      </c>
    </row>
    <row r="9" spans="1:14" ht="51">
      <c r="A9" s="193"/>
      <c r="B9" s="193"/>
      <c r="C9" s="70" t="s">
        <v>16</v>
      </c>
      <c r="D9" s="71" t="s">
        <v>17</v>
      </c>
      <c r="E9" s="71" t="s">
        <v>18</v>
      </c>
      <c r="F9" s="71" t="s">
        <v>19</v>
      </c>
      <c r="G9" s="71" t="s">
        <v>20</v>
      </c>
      <c r="H9" s="70" t="s">
        <v>16</v>
      </c>
      <c r="I9" s="71" t="s">
        <v>17</v>
      </c>
      <c r="J9" s="71" t="s">
        <v>18</v>
      </c>
      <c r="K9" s="71" t="s">
        <v>19</v>
      </c>
      <c r="L9" s="71" t="s">
        <v>20</v>
      </c>
      <c r="M9" s="71" t="s">
        <v>21</v>
      </c>
      <c r="N9" s="209"/>
    </row>
    <row r="10" spans="1:14" ht="12.75">
      <c r="A10" s="72">
        <v>1</v>
      </c>
      <c r="B10" s="106">
        <v>2</v>
      </c>
      <c r="C10" s="73">
        <v>3</v>
      </c>
      <c r="D10" s="73">
        <v>4</v>
      </c>
      <c r="E10" s="73">
        <v>5</v>
      </c>
      <c r="F10" s="73">
        <v>6</v>
      </c>
      <c r="G10" s="73">
        <v>7</v>
      </c>
      <c r="H10" s="73">
        <v>8</v>
      </c>
      <c r="I10" s="73">
        <v>9</v>
      </c>
      <c r="J10" s="73">
        <v>10</v>
      </c>
      <c r="K10" s="73">
        <v>11</v>
      </c>
      <c r="L10" s="73">
        <v>12</v>
      </c>
      <c r="M10" s="73">
        <v>13</v>
      </c>
      <c r="N10" s="73">
        <v>14</v>
      </c>
    </row>
    <row r="11" spans="1:15" s="124" customFormat="1" ht="12.75">
      <c r="A11" s="133" t="s">
        <v>262</v>
      </c>
      <c r="B11" s="135" t="s">
        <v>337</v>
      </c>
      <c r="C11" s="171">
        <f>D11+G11</f>
        <v>13370655</v>
      </c>
      <c r="D11" s="171">
        <f>D12+D13+D17+D18+D19+D20</f>
        <v>13309812</v>
      </c>
      <c r="E11" s="171">
        <f>E12+E13+E17+E18+E19+E20</f>
        <v>7686509</v>
      </c>
      <c r="F11" s="171">
        <f>F12+F13+F17+F18+F19+F20</f>
        <v>956605</v>
      </c>
      <c r="G11" s="171">
        <f>G12+G13+G17+G18+G19+G20</f>
        <v>60843</v>
      </c>
      <c r="H11" s="171">
        <f>I11+L11</f>
        <v>11089530</v>
      </c>
      <c r="I11" s="171">
        <f>I12+I13+I17+I18+I19+I20</f>
        <v>10559592</v>
      </c>
      <c r="J11" s="171">
        <f>J12+J13+J17+J18+J19+J20</f>
        <v>6091534</v>
      </c>
      <c r="K11" s="171">
        <f>K12+K13+K17+K18+K19+K20</f>
        <v>264355</v>
      </c>
      <c r="L11" s="171">
        <f>L12+L13+L17+L18+L19+L20</f>
        <v>529938</v>
      </c>
      <c r="M11" s="171">
        <f>M12+M13+M17+M18+M19+M20</f>
        <v>0</v>
      </c>
      <c r="N11" s="171">
        <f>C11+H11</f>
        <v>24460185</v>
      </c>
      <c r="O11" s="134"/>
    </row>
    <row r="12" spans="1:15" s="64" customFormat="1" ht="12.75">
      <c r="A12" s="74" t="s">
        <v>22</v>
      </c>
      <c r="B12" s="101" t="s">
        <v>23</v>
      </c>
      <c r="C12" s="155">
        <f aca="true" t="shared" si="0" ref="C12:C81">D12+G12</f>
        <v>2108079</v>
      </c>
      <c r="D12" s="155">
        <f>1296651-40000-12449+93138+649023+36963+20753+3157</f>
        <v>2047236</v>
      </c>
      <c r="E12" s="155">
        <f>747286-9140+68383+476522+15427</f>
        <v>1298478</v>
      </c>
      <c r="F12" s="155">
        <f>59168+20753</f>
        <v>79921</v>
      </c>
      <c r="G12" s="155">
        <f>40000+4000+20000-3157</f>
        <v>60843</v>
      </c>
      <c r="H12" s="155">
        <f aca="true" t="shared" si="1" ref="H12:H81">I12+L12</f>
        <v>22463</v>
      </c>
      <c r="I12" s="155">
        <v>22463</v>
      </c>
      <c r="J12" s="155"/>
      <c r="K12" s="155">
        <v>12097</v>
      </c>
      <c r="L12" s="155"/>
      <c r="M12" s="155"/>
      <c r="N12" s="155">
        <f aca="true" t="shared" si="2" ref="N12:N81">C12+H12</f>
        <v>2130542</v>
      </c>
      <c r="O12" s="68"/>
    </row>
    <row r="13" spans="1:15" s="64" customFormat="1" ht="12.75">
      <c r="A13" s="74" t="s">
        <v>33</v>
      </c>
      <c r="B13" s="107" t="s">
        <v>34</v>
      </c>
      <c r="C13" s="155">
        <f t="shared" si="0"/>
        <v>11220426</v>
      </c>
      <c r="D13" s="155">
        <f>SUM(D14:D16)</f>
        <v>11220426</v>
      </c>
      <c r="E13" s="155">
        <f>SUM(E14:E16)</f>
        <v>6388031</v>
      </c>
      <c r="F13" s="155">
        <f>SUM(F14:F16)</f>
        <v>876684</v>
      </c>
      <c r="G13" s="155">
        <f>SUM(G14:G16)</f>
        <v>0</v>
      </c>
      <c r="H13" s="155">
        <f t="shared" si="1"/>
        <v>10867067</v>
      </c>
      <c r="I13" s="155">
        <f>SUM(I14:I16)</f>
        <v>10402129</v>
      </c>
      <c r="J13" s="155">
        <f>SUM(J14:J16)</f>
        <v>6091534</v>
      </c>
      <c r="K13" s="155">
        <f>SUM(K14:K16)</f>
        <v>252258</v>
      </c>
      <c r="L13" s="155">
        <f>SUM(L14:L16)</f>
        <v>464938</v>
      </c>
      <c r="M13" s="155">
        <f>SUM(M14:M16)</f>
        <v>0</v>
      </c>
      <c r="N13" s="155">
        <f t="shared" si="2"/>
        <v>22087493</v>
      </c>
      <c r="O13" s="68"/>
    </row>
    <row r="14" spans="1:14" ht="12.75">
      <c r="A14" s="74" t="s">
        <v>35</v>
      </c>
      <c r="B14" s="101" t="s">
        <v>298</v>
      </c>
      <c r="C14" s="155">
        <f t="shared" si="0"/>
        <v>10556749</v>
      </c>
      <c r="D14" s="155">
        <f>9015117+11000+515926-2200+8000-1000+48400+848700+84806+28000</f>
        <v>10556749</v>
      </c>
      <c r="E14" s="155">
        <f>5586292+378800+20664</f>
        <v>5985756</v>
      </c>
      <c r="F14" s="155">
        <f>689600+8000-1000+74801+84806</f>
        <v>856207</v>
      </c>
      <c r="G14" s="155"/>
      <c r="H14" s="155">
        <f t="shared" si="1"/>
        <v>10078555</v>
      </c>
      <c r="I14" s="155">
        <v>9769785</v>
      </c>
      <c r="J14" s="155">
        <v>5839893</v>
      </c>
      <c r="K14" s="155">
        <v>232831</v>
      </c>
      <c r="L14" s="155">
        <v>308770</v>
      </c>
      <c r="M14" s="155"/>
      <c r="N14" s="155">
        <f t="shared" si="2"/>
        <v>20635304</v>
      </c>
    </row>
    <row r="15" spans="1:14" ht="25.5">
      <c r="A15" s="74" t="s">
        <v>39</v>
      </c>
      <c r="B15" s="101" t="s">
        <v>40</v>
      </c>
      <c r="C15" s="155">
        <f t="shared" si="0"/>
        <v>663677</v>
      </c>
      <c r="D15" s="155">
        <f>633183+1000+5000+22300+2194</f>
        <v>663677</v>
      </c>
      <c r="E15" s="155">
        <v>402275</v>
      </c>
      <c r="F15" s="155">
        <f>12100+1000+5183+2194</f>
        <v>20477</v>
      </c>
      <c r="G15" s="155"/>
      <c r="H15" s="155">
        <f t="shared" si="1"/>
        <v>788512</v>
      </c>
      <c r="I15" s="155">
        <v>632344</v>
      </c>
      <c r="J15" s="155">
        <v>251641</v>
      </c>
      <c r="K15" s="155">
        <v>19427</v>
      </c>
      <c r="L15" s="155">
        <v>156168</v>
      </c>
      <c r="M15" s="155"/>
      <c r="N15" s="155">
        <f t="shared" si="2"/>
        <v>1452189</v>
      </c>
    </row>
    <row r="16" spans="1:14" ht="12.75" hidden="1">
      <c r="A16" s="74" t="s">
        <v>42</v>
      </c>
      <c r="B16" s="107" t="s">
        <v>43</v>
      </c>
      <c r="C16" s="155">
        <f t="shared" si="0"/>
        <v>0</v>
      </c>
      <c r="D16" s="155"/>
      <c r="E16" s="155"/>
      <c r="F16" s="155"/>
      <c r="G16" s="155"/>
      <c r="H16" s="155">
        <f t="shared" si="1"/>
        <v>0</v>
      </c>
      <c r="I16" s="155"/>
      <c r="J16" s="155"/>
      <c r="K16" s="155"/>
      <c r="L16" s="155"/>
      <c r="M16" s="155"/>
      <c r="N16" s="155">
        <f t="shared" si="2"/>
        <v>0</v>
      </c>
    </row>
    <row r="17" spans="1:15" s="64" customFormat="1" ht="25.5" hidden="1">
      <c r="A17" s="74" t="s">
        <v>48</v>
      </c>
      <c r="B17" s="92" t="s">
        <v>197</v>
      </c>
      <c r="C17" s="155">
        <f t="shared" si="0"/>
        <v>0</v>
      </c>
      <c r="D17" s="155"/>
      <c r="E17" s="155"/>
      <c r="F17" s="155"/>
      <c r="G17" s="155"/>
      <c r="H17" s="155">
        <f t="shared" si="1"/>
        <v>0</v>
      </c>
      <c r="I17" s="155"/>
      <c r="J17" s="155"/>
      <c r="K17" s="155"/>
      <c r="L17" s="155"/>
      <c r="M17" s="155"/>
      <c r="N17" s="155">
        <f t="shared" si="2"/>
        <v>0</v>
      </c>
      <c r="O17" s="68"/>
    </row>
    <row r="18" spans="1:14" ht="38.25" hidden="1">
      <c r="A18" s="74" t="s">
        <v>160</v>
      </c>
      <c r="B18" s="92" t="s">
        <v>227</v>
      </c>
      <c r="C18" s="155">
        <f t="shared" si="0"/>
        <v>0</v>
      </c>
      <c r="D18" s="155"/>
      <c r="E18" s="155"/>
      <c r="F18" s="155"/>
      <c r="G18" s="155"/>
      <c r="H18" s="155">
        <f t="shared" si="1"/>
        <v>0</v>
      </c>
      <c r="I18" s="155"/>
      <c r="J18" s="155"/>
      <c r="K18" s="155"/>
      <c r="L18" s="155"/>
      <c r="M18" s="155"/>
      <c r="N18" s="155">
        <f t="shared" si="2"/>
        <v>0</v>
      </c>
    </row>
    <row r="19" spans="1:14" ht="25.5">
      <c r="A19" s="76" t="s">
        <v>69</v>
      </c>
      <c r="B19" s="92" t="s">
        <v>218</v>
      </c>
      <c r="C19" s="155">
        <f t="shared" si="0"/>
        <v>0</v>
      </c>
      <c r="D19" s="155"/>
      <c r="E19" s="155"/>
      <c r="F19" s="155"/>
      <c r="G19" s="155"/>
      <c r="H19" s="155">
        <f t="shared" si="1"/>
        <v>200000</v>
      </c>
      <c r="I19" s="155">
        <f>85000+50000</f>
        <v>135000</v>
      </c>
      <c r="J19" s="155"/>
      <c r="K19" s="155"/>
      <c r="L19" s="155">
        <f>115000-50000</f>
        <v>65000</v>
      </c>
      <c r="M19" s="155"/>
      <c r="N19" s="155">
        <f t="shared" si="2"/>
        <v>200000</v>
      </c>
    </row>
    <row r="20" spans="1:14" ht="12.75">
      <c r="A20" s="76" t="s">
        <v>71</v>
      </c>
      <c r="B20" s="108" t="s">
        <v>219</v>
      </c>
      <c r="C20" s="155">
        <f t="shared" si="0"/>
        <v>42150</v>
      </c>
      <c r="D20" s="155">
        <f>SUM(D21:D23)</f>
        <v>42150</v>
      </c>
      <c r="E20" s="155">
        <f>SUM(E21:E23)</f>
        <v>0</v>
      </c>
      <c r="F20" s="155">
        <f>SUM(F21:F23)</f>
        <v>0</v>
      </c>
      <c r="G20" s="155">
        <f>SUM(G21:G23)</f>
        <v>0</v>
      </c>
      <c r="H20" s="155">
        <f t="shared" si="1"/>
        <v>0</v>
      </c>
      <c r="I20" s="155">
        <f>SUM(I21:I23)</f>
        <v>0</v>
      </c>
      <c r="J20" s="155">
        <f>SUM(J21:J23)</f>
        <v>0</v>
      </c>
      <c r="K20" s="155">
        <f>SUM(K21:K23)</f>
        <v>0</v>
      </c>
      <c r="L20" s="155">
        <f>SUM(L21:L23)</f>
        <v>0</v>
      </c>
      <c r="M20" s="155">
        <f>SUM(M21:M23)</f>
        <v>0</v>
      </c>
      <c r="N20" s="155">
        <f t="shared" si="2"/>
        <v>42150</v>
      </c>
    </row>
    <row r="21" spans="1:14" ht="25.5">
      <c r="A21" s="76"/>
      <c r="B21" s="79" t="s">
        <v>242</v>
      </c>
      <c r="C21" s="155">
        <f t="shared" si="0"/>
        <v>23400</v>
      </c>
      <c r="D21" s="155">
        <v>23400</v>
      </c>
      <c r="E21" s="155"/>
      <c r="F21" s="155"/>
      <c r="G21" s="155"/>
      <c r="H21" s="155">
        <f t="shared" si="1"/>
        <v>0</v>
      </c>
      <c r="I21" s="155"/>
      <c r="J21" s="155"/>
      <c r="K21" s="155"/>
      <c r="L21" s="155"/>
      <c r="M21" s="155"/>
      <c r="N21" s="155">
        <f t="shared" si="2"/>
        <v>23400</v>
      </c>
    </row>
    <row r="22" spans="1:14" ht="25.5">
      <c r="A22" s="76"/>
      <c r="B22" s="79" t="s">
        <v>241</v>
      </c>
      <c r="C22" s="155">
        <f t="shared" si="0"/>
        <v>14750</v>
      </c>
      <c r="D22" s="155">
        <f>12750+2000</f>
        <v>14750</v>
      </c>
      <c r="E22" s="155"/>
      <c r="F22" s="155"/>
      <c r="G22" s="155"/>
      <c r="H22" s="155">
        <f t="shared" si="1"/>
        <v>0</v>
      </c>
      <c r="I22" s="155"/>
      <c r="J22" s="155"/>
      <c r="K22" s="155"/>
      <c r="L22" s="155"/>
      <c r="M22" s="155"/>
      <c r="N22" s="155">
        <f t="shared" si="2"/>
        <v>14750</v>
      </c>
    </row>
    <row r="23" spans="1:14" ht="38.25">
      <c r="A23" s="76"/>
      <c r="B23" s="26" t="s">
        <v>446</v>
      </c>
      <c r="C23" s="155">
        <f t="shared" si="0"/>
        <v>4000</v>
      </c>
      <c r="D23" s="147">
        <v>4000</v>
      </c>
      <c r="E23" s="156"/>
      <c r="F23" s="156"/>
      <c r="G23" s="147"/>
      <c r="H23" s="155">
        <f t="shared" si="1"/>
        <v>0</v>
      </c>
      <c r="I23" s="155"/>
      <c r="J23" s="155"/>
      <c r="K23" s="155"/>
      <c r="L23" s="155"/>
      <c r="M23" s="155"/>
      <c r="N23" s="155">
        <f t="shared" si="2"/>
        <v>4000</v>
      </c>
    </row>
    <row r="24" spans="1:15" s="124" customFormat="1" ht="25.5">
      <c r="A24" s="133" t="s">
        <v>266</v>
      </c>
      <c r="B24" s="135" t="s">
        <v>338</v>
      </c>
      <c r="C24" s="171">
        <f t="shared" si="0"/>
        <v>14979432</v>
      </c>
      <c r="D24" s="171">
        <f>D25+D26+D37+D38</f>
        <v>14790535</v>
      </c>
      <c r="E24" s="171">
        <f>E25+E26+E37+E38</f>
        <v>8234392</v>
      </c>
      <c r="F24" s="171">
        <f>F25+F26+F37+F38</f>
        <v>1439055</v>
      </c>
      <c r="G24" s="171">
        <f>G25+G26+G37+G38</f>
        <v>188897</v>
      </c>
      <c r="H24" s="171">
        <f t="shared" si="1"/>
        <v>1217346</v>
      </c>
      <c r="I24" s="171">
        <f>I25+I26+I37</f>
        <v>1073846</v>
      </c>
      <c r="J24" s="171">
        <f>J25+J26+J37</f>
        <v>45721</v>
      </c>
      <c r="K24" s="171">
        <f>K25+K26+K37</f>
        <v>18691</v>
      </c>
      <c r="L24" s="171">
        <f>L25+L26+L37</f>
        <v>143500</v>
      </c>
      <c r="M24" s="171">
        <f>M25+M26</f>
        <v>0</v>
      </c>
      <c r="N24" s="171">
        <f t="shared" si="2"/>
        <v>16196778</v>
      </c>
      <c r="O24" s="134"/>
    </row>
    <row r="25" spans="1:15" s="64" customFormat="1" ht="12.75">
      <c r="A25" s="74" t="s">
        <v>22</v>
      </c>
      <c r="B25" s="101" t="s">
        <v>23</v>
      </c>
      <c r="C25" s="155">
        <f t="shared" si="0"/>
        <v>151186</v>
      </c>
      <c r="D25" s="155">
        <f>97675+7369+40451+2825+2866</f>
        <v>151186</v>
      </c>
      <c r="E25" s="155">
        <f>64834+5411+29699+1259</f>
        <v>101203</v>
      </c>
      <c r="F25" s="155">
        <f>7376+2866</f>
        <v>10242</v>
      </c>
      <c r="G25" s="155"/>
      <c r="H25" s="155">
        <f t="shared" si="1"/>
        <v>0</v>
      </c>
      <c r="I25" s="155"/>
      <c r="J25" s="155"/>
      <c r="K25" s="155"/>
      <c r="L25" s="155"/>
      <c r="M25" s="155"/>
      <c r="N25" s="155">
        <f t="shared" si="2"/>
        <v>151186</v>
      </c>
      <c r="O25" s="68"/>
    </row>
    <row r="26" spans="1:15" s="64" customFormat="1" ht="12.75">
      <c r="A26" s="74" t="s">
        <v>24</v>
      </c>
      <c r="B26" s="101" t="s">
        <v>151</v>
      </c>
      <c r="C26" s="155">
        <f t="shared" si="0"/>
        <v>14820617</v>
      </c>
      <c r="D26" s="155">
        <f>SUM(D27:D36)</f>
        <v>14635720</v>
      </c>
      <c r="E26" s="155">
        <f>SUM(E27:E36)</f>
        <v>8133189</v>
      </c>
      <c r="F26" s="155">
        <f>SUM(F27:F36)</f>
        <v>1428813</v>
      </c>
      <c r="G26" s="155">
        <f>SUM(G27:G36)</f>
        <v>184897</v>
      </c>
      <c r="H26" s="155">
        <f t="shared" si="1"/>
        <v>1214489</v>
      </c>
      <c r="I26" s="155">
        <f>SUM(I27:I34)</f>
        <v>1070989</v>
      </c>
      <c r="J26" s="155">
        <f>SUM(J27:J34)</f>
        <v>45721</v>
      </c>
      <c r="K26" s="155">
        <f>SUM(K27:K34)</f>
        <v>18691</v>
      </c>
      <c r="L26" s="155">
        <f>SUM(L27:L34)</f>
        <v>143500</v>
      </c>
      <c r="M26" s="155">
        <f>SUM(M27:M34)</f>
        <v>0</v>
      </c>
      <c r="N26" s="155">
        <f t="shared" si="2"/>
        <v>16035106</v>
      </c>
      <c r="O26" s="68"/>
    </row>
    <row r="27" spans="1:14" ht="12.75">
      <c r="A27" s="74" t="s">
        <v>80</v>
      </c>
      <c r="B27" s="101" t="s">
        <v>76</v>
      </c>
      <c r="C27" s="155">
        <f t="shared" si="0"/>
        <v>4117845</v>
      </c>
      <c r="D27" s="155">
        <f>3844190-21903+153400+106381+35777</f>
        <v>4117845</v>
      </c>
      <c r="E27" s="155">
        <v>1952954</v>
      </c>
      <c r="F27" s="155">
        <f>445247+22509+24859+37047</f>
        <v>529662</v>
      </c>
      <c r="G27" s="155"/>
      <c r="H27" s="155">
        <f t="shared" si="1"/>
        <v>526088</v>
      </c>
      <c r="I27" s="155">
        <v>521088</v>
      </c>
      <c r="J27" s="155"/>
      <c r="K27" s="155"/>
      <c r="L27" s="155">
        <v>5000</v>
      </c>
      <c r="M27" s="155"/>
      <c r="N27" s="155">
        <f t="shared" si="2"/>
        <v>4643933</v>
      </c>
    </row>
    <row r="28" spans="1:14" ht="42" customHeight="1">
      <c r="A28" s="74" t="s">
        <v>26</v>
      </c>
      <c r="B28" s="101" t="s">
        <v>280</v>
      </c>
      <c r="C28" s="155">
        <f t="shared" si="0"/>
        <v>9462878</v>
      </c>
      <c r="D28" s="155">
        <f>8918458+19710+216800-46200+8800+46200+149213</f>
        <v>9312981</v>
      </c>
      <c r="E28" s="155">
        <f>5614351+7000</f>
        <v>5621351</v>
      </c>
      <c r="F28" s="155">
        <f>648554+19710+10151+152605</f>
        <v>831020</v>
      </c>
      <c r="G28" s="155">
        <f>130000+20000-103</f>
        <v>149897</v>
      </c>
      <c r="H28" s="155">
        <f t="shared" si="1"/>
        <v>626490</v>
      </c>
      <c r="I28" s="155">
        <v>501490</v>
      </c>
      <c r="J28" s="155">
        <v>45168</v>
      </c>
      <c r="K28" s="155">
        <v>18599</v>
      </c>
      <c r="L28" s="155">
        <v>125000</v>
      </c>
      <c r="M28" s="155"/>
      <c r="N28" s="155">
        <f t="shared" si="2"/>
        <v>10089368</v>
      </c>
    </row>
    <row r="29" spans="1:14" ht="12.75">
      <c r="A29" s="74" t="s">
        <v>81</v>
      </c>
      <c r="B29" s="101" t="s">
        <v>96</v>
      </c>
      <c r="C29" s="155">
        <f t="shared" si="0"/>
        <v>196630</v>
      </c>
      <c r="D29" s="155">
        <f>217209-20579</f>
        <v>196630</v>
      </c>
      <c r="E29" s="155">
        <f>159122-14691</f>
        <v>144431</v>
      </c>
      <c r="F29" s="155"/>
      <c r="G29" s="155"/>
      <c r="H29" s="155">
        <f t="shared" si="1"/>
        <v>0</v>
      </c>
      <c r="I29" s="155"/>
      <c r="J29" s="155"/>
      <c r="K29" s="155"/>
      <c r="L29" s="155"/>
      <c r="M29" s="155"/>
      <c r="N29" s="155">
        <f t="shared" si="2"/>
        <v>196630</v>
      </c>
    </row>
    <row r="30" spans="1:14" ht="51" hidden="1">
      <c r="A30" s="45" t="s">
        <v>373</v>
      </c>
      <c r="B30" s="51" t="s">
        <v>374</v>
      </c>
      <c r="C30" s="155">
        <f t="shared" si="0"/>
        <v>0</v>
      </c>
      <c r="D30" s="155"/>
      <c r="E30" s="155"/>
      <c r="F30" s="155"/>
      <c r="G30" s="155"/>
      <c r="H30" s="155">
        <f t="shared" si="1"/>
        <v>0</v>
      </c>
      <c r="I30" s="155"/>
      <c r="J30" s="155"/>
      <c r="K30" s="155"/>
      <c r="L30" s="155"/>
      <c r="M30" s="155"/>
      <c r="N30" s="155">
        <f t="shared" si="2"/>
        <v>0</v>
      </c>
    </row>
    <row r="31" spans="1:14" ht="25.5">
      <c r="A31" s="74" t="s">
        <v>29</v>
      </c>
      <c r="B31" s="101" t="s">
        <v>281</v>
      </c>
      <c r="C31" s="155">
        <f t="shared" si="0"/>
        <v>137578</v>
      </c>
      <c r="D31" s="155">
        <f>126655+529+8032+2362</f>
        <v>137578</v>
      </c>
      <c r="E31" s="155">
        <f>78885+5754</f>
        <v>84639</v>
      </c>
      <c r="F31" s="155">
        <f>7578+529+2362</f>
        <v>10469</v>
      </c>
      <c r="G31" s="155"/>
      <c r="H31" s="155">
        <f t="shared" si="1"/>
        <v>0</v>
      </c>
      <c r="I31" s="155"/>
      <c r="J31" s="155"/>
      <c r="K31" s="155"/>
      <c r="L31" s="155"/>
      <c r="M31" s="155"/>
      <c r="N31" s="155">
        <f t="shared" si="2"/>
        <v>137578</v>
      </c>
    </row>
    <row r="32" spans="1:14" ht="25.5">
      <c r="A32" s="74" t="s">
        <v>30</v>
      </c>
      <c r="B32" s="101" t="s">
        <v>282</v>
      </c>
      <c r="C32" s="155">
        <f t="shared" si="0"/>
        <v>252876</v>
      </c>
      <c r="D32" s="155">
        <f>247694+529+2291+2362</f>
        <v>252876</v>
      </c>
      <c r="E32" s="155">
        <f>162642+1076</f>
        <v>163718</v>
      </c>
      <c r="F32" s="155">
        <f>7578+529+2362</f>
        <v>10469</v>
      </c>
      <c r="G32" s="155"/>
      <c r="H32" s="155">
        <f t="shared" si="1"/>
        <v>0</v>
      </c>
      <c r="I32" s="155"/>
      <c r="J32" s="155"/>
      <c r="K32" s="155"/>
      <c r="L32" s="155"/>
      <c r="M32" s="155"/>
      <c r="N32" s="155">
        <f t="shared" si="2"/>
        <v>252876</v>
      </c>
    </row>
    <row r="33" spans="1:14" ht="25.5">
      <c r="A33" s="74" t="s">
        <v>31</v>
      </c>
      <c r="B33" s="101" t="s">
        <v>32</v>
      </c>
      <c r="C33" s="155">
        <f t="shared" si="0"/>
        <v>206826</v>
      </c>
      <c r="D33" s="155">
        <f>167632+529+1303+2362</f>
        <v>171826</v>
      </c>
      <c r="E33" s="155">
        <f>99154+861</f>
        <v>100015</v>
      </c>
      <c r="F33" s="155">
        <f>8357+529+2362</f>
        <v>11248</v>
      </c>
      <c r="G33" s="155">
        <v>35000</v>
      </c>
      <c r="H33" s="155">
        <f t="shared" si="1"/>
        <v>39060</v>
      </c>
      <c r="I33" s="155">
        <v>31560</v>
      </c>
      <c r="J33" s="155"/>
      <c r="K33" s="155"/>
      <c r="L33" s="155">
        <v>7500</v>
      </c>
      <c r="M33" s="155"/>
      <c r="N33" s="155">
        <f t="shared" si="2"/>
        <v>245886</v>
      </c>
    </row>
    <row r="34" spans="1:14" ht="12.75">
      <c r="A34" s="74" t="s">
        <v>104</v>
      </c>
      <c r="B34" s="101" t="s">
        <v>97</v>
      </c>
      <c r="C34" s="155">
        <f t="shared" si="0"/>
        <v>129811</v>
      </c>
      <c r="D34" s="155">
        <f>119187+606+153+9865</f>
        <v>129811</v>
      </c>
      <c r="E34" s="155">
        <v>66081</v>
      </c>
      <c r="F34" s="155">
        <f>25474+606+9865</f>
        <v>35945</v>
      </c>
      <c r="G34" s="155"/>
      <c r="H34" s="155">
        <f t="shared" si="1"/>
        <v>22851</v>
      </c>
      <c r="I34" s="155">
        <v>16851</v>
      </c>
      <c r="J34" s="155">
        <v>553</v>
      </c>
      <c r="K34" s="155">
        <v>92</v>
      </c>
      <c r="L34" s="155">
        <v>6000</v>
      </c>
      <c r="M34" s="155"/>
      <c r="N34" s="155">
        <f t="shared" si="2"/>
        <v>152662</v>
      </c>
    </row>
    <row r="35" spans="1:14" s="17" customFormat="1" ht="38.25">
      <c r="A35" s="45" t="s">
        <v>371</v>
      </c>
      <c r="B35" s="27" t="s">
        <v>372</v>
      </c>
      <c r="C35" s="147">
        <f t="shared" si="0"/>
        <v>8637</v>
      </c>
      <c r="D35" s="147">
        <f>3975+4662</f>
        <v>8637</v>
      </c>
      <c r="E35" s="147"/>
      <c r="F35" s="147"/>
      <c r="G35" s="147"/>
      <c r="H35" s="147">
        <f t="shared" si="1"/>
        <v>0</v>
      </c>
      <c r="I35" s="147"/>
      <c r="J35" s="147"/>
      <c r="K35" s="147"/>
      <c r="L35" s="147"/>
      <c r="M35" s="147"/>
      <c r="N35" s="146">
        <f t="shared" si="2"/>
        <v>8637</v>
      </c>
    </row>
    <row r="36" spans="1:16" ht="89.25">
      <c r="A36" s="45" t="s">
        <v>398</v>
      </c>
      <c r="B36" s="27" t="s">
        <v>399</v>
      </c>
      <c r="C36" s="143">
        <f t="shared" si="0"/>
        <v>307536</v>
      </c>
      <c r="D36" s="143">
        <v>307536</v>
      </c>
      <c r="E36" s="143"/>
      <c r="F36" s="143"/>
      <c r="G36" s="143"/>
      <c r="H36" s="143">
        <f t="shared" si="1"/>
        <v>0</v>
      </c>
      <c r="I36" s="143"/>
      <c r="J36" s="143"/>
      <c r="K36" s="143"/>
      <c r="L36" s="143"/>
      <c r="M36" s="143"/>
      <c r="N36" s="142">
        <f t="shared" si="2"/>
        <v>307536</v>
      </c>
      <c r="O36" s="144"/>
      <c r="P36" s="144"/>
    </row>
    <row r="37" spans="1:16" ht="63.75">
      <c r="A37" s="45" t="s">
        <v>309</v>
      </c>
      <c r="B37" s="27" t="s">
        <v>415</v>
      </c>
      <c r="C37" s="143">
        <f t="shared" si="0"/>
        <v>3629</v>
      </c>
      <c r="D37" s="155">
        <v>3629</v>
      </c>
      <c r="E37" s="143"/>
      <c r="F37" s="143"/>
      <c r="G37" s="143"/>
      <c r="H37" s="143">
        <f t="shared" si="1"/>
        <v>2857</v>
      </c>
      <c r="I37" s="155">
        <v>2857</v>
      </c>
      <c r="J37" s="143"/>
      <c r="K37" s="143"/>
      <c r="L37" s="143"/>
      <c r="M37" s="143"/>
      <c r="N37" s="142">
        <f t="shared" si="2"/>
        <v>6486</v>
      </c>
      <c r="O37" s="144"/>
      <c r="P37" s="144"/>
    </row>
    <row r="38" spans="1:16" ht="38.25">
      <c r="A38" s="45" t="s">
        <v>71</v>
      </c>
      <c r="B38" s="26" t="s">
        <v>446</v>
      </c>
      <c r="C38" s="143">
        <f t="shared" si="0"/>
        <v>4000</v>
      </c>
      <c r="D38" s="155"/>
      <c r="E38" s="143"/>
      <c r="F38" s="143"/>
      <c r="G38" s="143">
        <v>4000</v>
      </c>
      <c r="H38" s="143"/>
      <c r="I38" s="155"/>
      <c r="J38" s="143"/>
      <c r="K38" s="143"/>
      <c r="L38" s="143"/>
      <c r="M38" s="143"/>
      <c r="N38" s="142">
        <f t="shared" si="2"/>
        <v>4000</v>
      </c>
      <c r="O38" s="144"/>
      <c r="P38" s="144"/>
    </row>
    <row r="39" spans="1:15" s="124" customFormat="1" ht="38.25">
      <c r="A39" s="133" t="s">
        <v>267</v>
      </c>
      <c r="B39" s="136" t="s">
        <v>339</v>
      </c>
      <c r="C39" s="171">
        <f t="shared" si="0"/>
        <v>9254657</v>
      </c>
      <c r="D39" s="171">
        <f>D40+D41+D72</f>
        <v>9222657</v>
      </c>
      <c r="E39" s="171">
        <f>E40+E41+E72</f>
        <v>552418</v>
      </c>
      <c r="F39" s="171">
        <f>F40+F41+F72</f>
        <v>35038</v>
      </c>
      <c r="G39" s="171">
        <f>G40+G41+G72</f>
        <v>32000</v>
      </c>
      <c r="H39" s="171">
        <f t="shared" si="1"/>
        <v>0</v>
      </c>
      <c r="I39" s="171">
        <f>I40+I41</f>
        <v>0</v>
      </c>
      <c r="J39" s="171">
        <f>J40+J41</f>
        <v>0</v>
      </c>
      <c r="K39" s="171">
        <f>K40+K41</f>
        <v>0</v>
      </c>
      <c r="L39" s="171">
        <f>L40+L41</f>
        <v>0</v>
      </c>
      <c r="M39" s="171">
        <f>M40+M41</f>
        <v>0</v>
      </c>
      <c r="N39" s="171">
        <f t="shared" si="2"/>
        <v>9254657</v>
      </c>
      <c r="O39" s="134"/>
    </row>
    <row r="40" spans="1:15" s="64" customFormat="1" ht="12.75">
      <c r="A40" s="74" t="s">
        <v>22</v>
      </c>
      <c r="B40" s="101" t="s">
        <v>23</v>
      </c>
      <c r="C40" s="155">
        <f t="shared" si="0"/>
        <v>860647</v>
      </c>
      <c r="D40" s="155">
        <f>531129+39405+230473+21524+12616-6500</f>
        <v>828647</v>
      </c>
      <c r="E40" s="155">
        <f>337978+28932+169217+16291</f>
        <v>552418</v>
      </c>
      <c r="F40" s="155">
        <f>28922+12616-6500</f>
        <v>35038</v>
      </c>
      <c r="G40" s="155">
        <f>28000+4000</f>
        <v>32000</v>
      </c>
      <c r="H40" s="155">
        <f t="shared" si="1"/>
        <v>0</v>
      </c>
      <c r="I40" s="155"/>
      <c r="J40" s="155"/>
      <c r="K40" s="155"/>
      <c r="L40" s="155"/>
      <c r="M40" s="155"/>
      <c r="N40" s="155">
        <f t="shared" si="2"/>
        <v>860647</v>
      </c>
      <c r="O40" s="68"/>
    </row>
    <row r="41" spans="1:15" s="64" customFormat="1" ht="25.5">
      <c r="A41" s="74" t="s">
        <v>47</v>
      </c>
      <c r="B41" s="92" t="s">
        <v>147</v>
      </c>
      <c r="C41" s="155">
        <f t="shared" si="0"/>
        <v>8370010</v>
      </c>
      <c r="D41" s="155">
        <f>D42+D43+D44+D45+D46+D48+D49+D50+D52+D53+D54+D55+D56+D58+D59+D63+D66+D71+D47+D64+D65+D57</f>
        <v>8370010</v>
      </c>
      <c r="E41" s="155"/>
      <c r="F41" s="155"/>
      <c r="G41" s="155"/>
      <c r="H41" s="155">
        <f t="shared" si="1"/>
        <v>0</v>
      </c>
      <c r="I41" s="155"/>
      <c r="J41" s="155"/>
      <c r="K41" s="155"/>
      <c r="L41" s="155"/>
      <c r="M41" s="155"/>
      <c r="N41" s="155">
        <f t="shared" si="2"/>
        <v>8370010</v>
      </c>
      <c r="O41" s="68"/>
    </row>
    <row r="42" spans="1:14" ht="229.5">
      <c r="A42" s="74" t="s">
        <v>158</v>
      </c>
      <c r="B42" s="88" t="s">
        <v>429</v>
      </c>
      <c r="C42" s="155">
        <f t="shared" si="0"/>
        <v>3189879</v>
      </c>
      <c r="D42" s="155">
        <f>3159379+30500</f>
        <v>3189879</v>
      </c>
      <c r="E42" s="155"/>
      <c r="F42" s="155"/>
      <c r="G42" s="155"/>
      <c r="H42" s="155">
        <f t="shared" si="1"/>
        <v>0</v>
      </c>
      <c r="I42" s="155"/>
      <c r="J42" s="155"/>
      <c r="K42" s="155"/>
      <c r="L42" s="155"/>
      <c r="M42" s="155"/>
      <c r="N42" s="155">
        <f t="shared" si="2"/>
        <v>3189879</v>
      </c>
    </row>
    <row r="43" spans="1:14" ht="191.25">
      <c r="A43" s="74" t="s">
        <v>164</v>
      </c>
      <c r="B43" s="88" t="s">
        <v>430</v>
      </c>
      <c r="C43" s="155">
        <f t="shared" si="0"/>
        <v>38321</v>
      </c>
      <c r="D43" s="155">
        <v>38321</v>
      </c>
      <c r="E43" s="155"/>
      <c r="F43" s="155"/>
      <c r="G43" s="155"/>
      <c r="H43" s="155">
        <f t="shared" si="1"/>
        <v>0</v>
      </c>
      <c r="I43" s="155"/>
      <c r="J43" s="155"/>
      <c r="K43" s="155"/>
      <c r="L43" s="155"/>
      <c r="M43" s="155"/>
      <c r="N43" s="155">
        <f t="shared" si="2"/>
        <v>38321</v>
      </c>
    </row>
    <row r="44" spans="1:14" ht="216.75">
      <c r="A44" s="74" t="s">
        <v>165</v>
      </c>
      <c r="B44" s="88" t="s">
        <v>432</v>
      </c>
      <c r="C44" s="155">
        <f t="shared" si="0"/>
        <v>522531</v>
      </c>
      <c r="D44" s="155">
        <f>554031-26400-5100</f>
        <v>522531</v>
      </c>
      <c r="E44" s="155"/>
      <c r="F44" s="155"/>
      <c r="G44" s="155"/>
      <c r="H44" s="155">
        <f t="shared" si="1"/>
        <v>0</v>
      </c>
      <c r="I44" s="155"/>
      <c r="J44" s="155"/>
      <c r="K44" s="155"/>
      <c r="L44" s="155"/>
      <c r="M44" s="155"/>
      <c r="N44" s="155">
        <f t="shared" si="2"/>
        <v>522531</v>
      </c>
    </row>
    <row r="45" spans="1:14" ht="357">
      <c r="A45" s="74" t="s">
        <v>166</v>
      </c>
      <c r="B45" s="20" t="s">
        <v>436</v>
      </c>
      <c r="C45" s="155">
        <f t="shared" si="0"/>
        <v>98700</v>
      </c>
      <c r="D45" s="155">
        <f>105300-6600</f>
        <v>98700</v>
      </c>
      <c r="E45" s="155"/>
      <c r="F45" s="155"/>
      <c r="G45" s="155"/>
      <c r="H45" s="155">
        <f t="shared" si="1"/>
        <v>0</v>
      </c>
      <c r="I45" s="155"/>
      <c r="J45" s="155"/>
      <c r="K45" s="155"/>
      <c r="L45" s="155"/>
      <c r="M45" s="155"/>
      <c r="N45" s="155">
        <f t="shared" si="2"/>
        <v>98700</v>
      </c>
    </row>
    <row r="46" spans="1:14" ht="280.5">
      <c r="A46" s="74" t="s">
        <v>167</v>
      </c>
      <c r="B46" s="20" t="s">
        <v>1</v>
      </c>
      <c r="C46" s="155">
        <f t="shared" si="0"/>
        <v>210</v>
      </c>
      <c r="D46" s="155">
        <v>210</v>
      </c>
      <c r="E46" s="155"/>
      <c r="F46" s="155"/>
      <c r="G46" s="155"/>
      <c r="H46" s="155">
        <f t="shared" si="1"/>
        <v>0</v>
      </c>
      <c r="I46" s="155"/>
      <c r="J46" s="155"/>
      <c r="K46" s="155"/>
      <c r="L46" s="155"/>
      <c r="M46" s="155"/>
      <c r="N46" s="155">
        <f t="shared" si="2"/>
        <v>210</v>
      </c>
    </row>
    <row r="47" spans="1:14" ht="127.5">
      <c r="A47" s="13" t="s">
        <v>159</v>
      </c>
      <c r="B47" s="20" t="s">
        <v>11</v>
      </c>
      <c r="C47" s="155">
        <f t="shared" si="0"/>
        <v>6192</v>
      </c>
      <c r="D47" s="155">
        <f>15492-8000-1300</f>
        <v>6192</v>
      </c>
      <c r="E47" s="155"/>
      <c r="F47" s="155"/>
      <c r="G47" s="155"/>
      <c r="H47" s="155">
        <f t="shared" si="1"/>
        <v>0</v>
      </c>
      <c r="I47" s="155"/>
      <c r="J47" s="155"/>
      <c r="K47" s="155"/>
      <c r="L47" s="155"/>
      <c r="M47" s="155"/>
      <c r="N47" s="155">
        <f t="shared" si="2"/>
        <v>6192</v>
      </c>
    </row>
    <row r="48" spans="1:14" ht="76.5">
      <c r="A48" s="74" t="s">
        <v>168</v>
      </c>
      <c r="B48" s="20" t="s">
        <v>433</v>
      </c>
      <c r="C48" s="155">
        <f t="shared" si="0"/>
        <v>102300</v>
      </c>
      <c r="D48" s="155">
        <f>101200+1100</f>
        <v>102300</v>
      </c>
      <c r="E48" s="155"/>
      <c r="F48" s="155"/>
      <c r="G48" s="155"/>
      <c r="H48" s="155">
        <f t="shared" si="1"/>
        <v>0</v>
      </c>
      <c r="I48" s="155"/>
      <c r="J48" s="155"/>
      <c r="K48" s="155"/>
      <c r="L48" s="155"/>
      <c r="M48" s="155"/>
      <c r="N48" s="155">
        <f t="shared" si="2"/>
        <v>102300</v>
      </c>
    </row>
    <row r="49" spans="1:14" ht="76.5">
      <c r="A49" s="74" t="s">
        <v>169</v>
      </c>
      <c r="B49" s="20" t="s">
        <v>434</v>
      </c>
      <c r="C49" s="155">
        <f t="shared" si="0"/>
        <v>1466</v>
      </c>
      <c r="D49" s="155">
        <v>1466</v>
      </c>
      <c r="E49" s="155"/>
      <c r="F49" s="155"/>
      <c r="G49" s="155"/>
      <c r="H49" s="155">
        <f t="shared" si="1"/>
        <v>0</v>
      </c>
      <c r="I49" s="155"/>
      <c r="J49" s="155"/>
      <c r="K49" s="155"/>
      <c r="L49" s="155"/>
      <c r="M49" s="155"/>
      <c r="N49" s="155">
        <f t="shared" si="2"/>
        <v>1466</v>
      </c>
    </row>
    <row r="50" spans="1:14" ht="63.75">
      <c r="A50" s="74" t="s">
        <v>170</v>
      </c>
      <c r="B50" s="20" t="s">
        <v>435</v>
      </c>
      <c r="C50" s="155">
        <f t="shared" si="0"/>
        <v>8685</v>
      </c>
      <c r="D50" s="155">
        <f>26785-15000-3100</f>
        <v>8685</v>
      </c>
      <c r="E50" s="155"/>
      <c r="F50" s="155"/>
      <c r="G50" s="155"/>
      <c r="H50" s="155">
        <f t="shared" si="1"/>
        <v>0</v>
      </c>
      <c r="I50" s="155"/>
      <c r="J50" s="155"/>
      <c r="K50" s="155"/>
      <c r="L50" s="155"/>
      <c r="M50" s="155"/>
      <c r="N50" s="155">
        <f t="shared" si="2"/>
        <v>8685</v>
      </c>
    </row>
    <row r="51" spans="1:14" ht="25.5" hidden="1">
      <c r="A51" s="74" t="s">
        <v>126</v>
      </c>
      <c r="B51" s="92" t="s">
        <v>243</v>
      </c>
      <c r="C51" s="155">
        <f t="shared" si="0"/>
        <v>0</v>
      </c>
      <c r="D51" s="155"/>
      <c r="E51" s="155"/>
      <c r="F51" s="155"/>
      <c r="G51" s="155"/>
      <c r="H51" s="155">
        <f t="shared" si="1"/>
        <v>0</v>
      </c>
      <c r="I51" s="155"/>
      <c r="J51" s="155"/>
      <c r="K51" s="155"/>
      <c r="L51" s="155"/>
      <c r="M51" s="155"/>
      <c r="N51" s="155">
        <f t="shared" si="2"/>
        <v>0</v>
      </c>
    </row>
    <row r="52" spans="1:14" ht="12.75">
      <c r="A52" s="74" t="s">
        <v>127</v>
      </c>
      <c r="B52" s="92" t="s">
        <v>204</v>
      </c>
      <c r="C52" s="155">
        <f t="shared" si="0"/>
        <v>122327</v>
      </c>
      <c r="D52" s="155">
        <v>122327</v>
      </c>
      <c r="E52" s="155"/>
      <c r="F52" s="155"/>
      <c r="G52" s="155"/>
      <c r="H52" s="155">
        <f t="shared" si="1"/>
        <v>0</v>
      </c>
      <c r="I52" s="155"/>
      <c r="J52" s="155"/>
      <c r="K52" s="155"/>
      <c r="L52" s="155"/>
      <c r="M52" s="155"/>
      <c r="N52" s="155">
        <f t="shared" si="2"/>
        <v>122327</v>
      </c>
    </row>
    <row r="53" spans="1:14" ht="25.5">
      <c r="A53" s="74" t="s">
        <v>128</v>
      </c>
      <c r="B53" s="92" t="s">
        <v>215</v>
      </c>
      <c r="C53" s="155">
        <f t="shared" si="0"/>
        <v>747257</v>
      </c>
      <c r="D53" s="155">
        <f>747257</f>
        <v>747257</v>
      </c>
      <c r="E53" s="155"/>
      <c r="F53" s="155"/>
      <c r="G53" s="155"/>
      <c r="H53" s="155">
        <f t="shared" si="1"/>
        <v>0</v>
      </c>
      <c r="I53" s="155"/>
      <c r="J53" s="155"/>
      <c r="K53" s="155"/>
      <c r="L53" s="155"/>
      <c r="M53" s="155"/>
      <c r="N53" s="155">
        <f t="shared" si="2"/>
        <v>747257</v>
      </c>
    </row>
    <row r="54" spans="1:14" ht="25.5">
      <c r="A54" s="74" t="s">
        <v>129</v>
      </c>
      <c r="B54" s="92" t="s">
        <v>103</v>
      </c>
      <c r="C54" s="155">
        <f t="shared" si="0"/>
        <v>1317476</v>
      </c>
      <c r="D54" s="155">
        <f>1317476</f>
        <v>1317476</v>
      </c>
      <c r="E54" s="155"/>
      <c r="F54" s="155"/>
      <c r="G54" s="155"/>
      <c r="H54" s="155">
        <f t="shared" si="1"/>
        <v>0</v>
      </c>
      <c r="I54" s="155"/>
      <c r="J54" s="155"/>
      <c r="K54" s="155"/>
      <c r="L54" s="155"/>
      <c r="M54" s="155"/>
      <c r="N54" s="155">
        <f t="shared" si="2"/>
        <v>1317476</v>
      </c>
    </row>
    <row r="55" spans="1:14" ht="25.5">
      <c r="A55" s="74" t="s">
        <v>89</v>
      </c>
      <c r="B55" s="108" t="s">
        <v>192</v>
      </c>
      <c r="C55" s="155">
        <f t="shared" si="0"/>
        <v>213515</v>
      </c>
      <c r="D55" s="155">
        <v>213515</v>
      </c>
      <c r="E55" s="155"/>
      <c r="F55" s="155"/>
      <c r="G55" s="155"/>
      <c r="H55" s="155">
        <f t="shared" si="1"/>
        <v>0</v>
      </c>
      <c r="I55" s="155"/>
      <c r="J55" s="155"/>
      <c r="K55" s="155"/>
      <c r="L55" s="155"/>
      <c r="M55" s="155"/>
      <c r="N55" s="155">
        <f t="shared" si="2"/>
        <v>213515</v>
      </c>
    </row>
    <row r="56" spans="1:14" ht="12.75">
      <c r="A56" s="74" t="s">
        <v>233</v>
      </c>
      <c r="B56" s="108" t="s">
        <v>235</v>
      </c>
      <c r="C56" s="155">
        <f t="shared" si="0"/>
        <v>770667</v>
      </c>
      <c r="D56" s="155">
        <v>770667</v>
      </c>
      <c r="E56" s="155"/>
      <c r="F56" s="155"/>
      <c r="G56" s="155"/>
      <c r="H56" s="155">
        <f t="shared" si="1"/>
        <v>0</v>
      </c>
      <c r="I56" s="155"/>
      <c r="J56" s="155"/>
      <c r="K56" s="155"/>
      <c r="L56" s="155"/>
      <c r="M56" s="155"/>
      <c r="N56" s="155">
        <f t="shared" si="2"/>
        <v>770667</v>
      </c>
    </row>
    <row r="57" spans="1:14" ht="12.75">
      <c r="A57" s="74" t="s">
        <v>419</v>
      </c>
      <c r="B57" s="102" t="s">
        <v>420</v>
      </c>
      <c r="C57" s="155">
        <f t="shared" si="0"/>
        <v>44721</v>
      </c>
      <c r="D57" s="155">
        <v>44721</v>
      </c>
      <c r="E57" s="155"/>
      <c r="F57" s="155"/>
      <c r="G57" s="155"/>
      <c r="H57" s="155"/>
      <c r="I57" s="155"/>
      <c r="J57" s="155"/>
      <c r="K57" s="155"/>
      <c r="L57" s="155"/>
      <c r="M57" s="155"/>
      <c r="N57" s="155">
        <f t="shared" si="2"/>
        <v>44721</v>
      </c>
    </row>
    <row r="58" spans="1:14" ht="25.5">
      <c r="A58" s="74" t="s">
        <v>173</v>
      </c>
      <c r="B58" s="109" t="s">
        <v>213</v>
      </c>
      <c r="C58" s="155">
        <f t="shared" si="0"/>
        <v>511300</v>
      </c>
      <c r="D58" s="155">
        <f>511300</f>
        <v>511300</v>
      </c>
      <c r="E58" s="155"/>
      <c r="F58" s="155"/>
      <c r="G58" s="155"/>
      <c r="H58" s="155">
        <f t="shared" si="1"/>
        <v>0</v>
      </c>
      <c r="I58" s="155"/>
      <c r="J58" s="155"/>
      <c r="K58" s="155"/>
      <c r="L58" s="155"/>
      <c r="M58" s="155"/>
      <c r="N58" s="155">
        <f t="shared" si="2"/>
        <v>511300</v>
      </c>
    </row>
    <row r="59" spans="1:15" s="64" customFormat="1" ht="38.25">
      <c r="A59" s="75" t="s">
        <v>90</v>
      </c>
      <c r="B59" s="110" t="s">
        <v>148</v>
      </c>
      <c r="C59" s="155">
        <f t="shared" si="0"/>
        <v>219011</v>
      </c>
      <c r="D59" s="155">
        <f>D61+D62</f>
        <v>219011</v>
      </c>
      <c r="E59" s="155"/>
      <c r="F59" s="155"/>
      <c r="G59" s="155"/>
      <c r="H59" s="155">
        <f t="shared" si="1"/>
        <v>0</v>
      </c>
      <c r="I59" s="155"/>
      <c r="J59" s="155"/>
      <c r="K59" s="155"/>
      <c r="L59" s="155"/>
      <c r="M59" s="155"/>
      <c r="N59" s="155">
        <f t="shared" si="2"/>
        <v>219011</v>
      </c>
      <c r="O59" s="68"/>
    </row>
    <row r="60" spans="1:14" ht="12.75">
      <c r="A60" s="75"/>
      <c r="B60" s="108" t="s">
        <v>145</v>
      </c>
      <c r="C60" s="155"/>
      <c r="D60" s="155"/>
      <c r="E60" s="155"/>
      <c r="F60" s="155"/>
      <c r="G60" s="155"/>
      <c r="H60" s="155"/>
      <c r="I60" s="155"/>
      <c r="J60" s="155"/>
      <c r="K60" s="155"/>
      <c r="L60" s="155"/>
      <c r="M60" s="155"/>
      <c r="N60" s="155"/>
    </row>
    <row r="61" spans="1:14" ht="63.75">
      <c r="A61" s="75"/>
      <c r="B61" s="108" t="s">
        <v>216</v>
      </c>
      <c r="C61" s="155">
        <f t="shared" si="0"/>
        <v>217012</v>
      </c>
      <c r="D61" s="155">
        <f>242012-25000</f>
        <v>217012</v>
      </c>
      <c r="E61" s="155"/>
      <c r="F61" s="155"/>
      <c r="G61" s="155"/>
      <c r="H61" s="155">
        <f t="shared" si="1"/>
        <v>0</v>
      </c>
      <c r="I61" s="155"/>
      <c r="J61" s="155"/>
      <c r="K61" s="155"/>
      <c r="L61" s="155"/>
      <c r="M61" s="155"/>
      <c r="N61" s="155">
        <f t="shared" si="2"/>
        <v>217012</v>
      </c>
    </row>
    <row r="62" spans="1:14" ht="38.25">
      <c r="A62" s="75"/>
      <c r="B62" s="108" t="s">
        <v>217</v>
      </c>
      <c r="C62" s="155">
        <f t="shared" si="0"/>
        <v>1999</v>
      </c>
      <c r="D62" s="155">
        <v>1999</v>
      </c>
      <c r="E62" s="155"/>
      <c r="F62" s="155"/>
      <c r="G62" s="155"/>
      <c r="H62" s="155">
        <f t="shared" si="1"/>
        <v>0</v>
      </c>
      <c r="I62" s="155"/>
      <c r="J62" s="155"/>
      <c r="K62" s="155"/>
      <c r="L62" s="155"/>
      <c r="M62" s="155"/>
      <c r="N62" s="155">
        <f t="shared" si="2"/>
        <v>1999</v>
      </c>
    </row>
    <row r="63" spans="1:15" s="64" customFormat="1" ht="25.5">
      <c r="A63" s="74" t="s">
        <v>48</v>
      </c>
      <c r="B63" s="92" t="s">
        <v>197</v>
      </c>
      <c r="C63" s="155">
        <f t="shared" si="0"/>
        <v>51200</v>
      </c>
      <c r="D63" s="155">
        <f>41600+9600</f>
        <v>51200</v>
      </c>
      <c r="E63" s="155"/>
      <c r="F63" s="155"/>
      <c r="G63" s="155"/>
      <c r="H63" s="155">
        <f t="shared" si="1"/>
        <v>0</v>
      </c>
      <c r="I63" s="155"/>
      <c r="J63" s="155"/>
      <c r="K63" s="155"/>
      <c r="L63" s="155"/>
      <c r="M63" s="155"/>
      <c r="N63" s="155">
        <f t="shared" si="2"/>
        <v>51200</v>
      </c>
      <c r="O63" s="68"/>
    </row>
    <row r="64" spans="1:14" ht="25.5">
      <c r="A64" s="74" t="s">
        <v>160</v>
      </c>
      <c r="B64" s="184" t="s">
        <v>417</v>
      </c>
      <c r="C64" s="155">
        <f t="shared" si="0"/>
        <v>25350</v>
      </c>
      <c r="D64" s="155">
        <v>25350</v>
      </c>
      <c r="E64" s="155"/>
      <c r="F64" s="155"/>
      <c r="G64" s="155"/>
      <c r="H64" s="155">
        <f t="shared" si="1"/>
        <v>0</v>
      </c>
      <c r="I64" s="155"/>
      <c r="J64" s="155"/>
      <c r="K64" s="155"/>
      <c r="L64" s="155"/>
      <c r="M64" s="155"/>
      <c r="N64" s="155">
        <f t="shared" si="2"/>
        <v>25350</v>
      </c>
    </row>
    <row r="65" spans="1:15" s="64" customFormat="1" ht="25.5" hidden="1">
      <c r="A65" s="89" t="s">
        <v>321</v>
      </c>
      <c r="B65" s="79" t="s">
        <v>392</v>
      </c>
      <c r="C65" s="155">
        <f t="shared" si="0"/>
        <v>0</v>
      </c>
      <c r="D65" s="155"/>
      <c r="E65" s="155"/>
      <c r="F65" s="155"/>
      <c r="G65" s="155"/>
      <c r="H65" s="155"/>
      <c r="I65" s="155"/>
      <c r="J65" s="155"/>
      <c r="K65" s="155"/>
      <c r="L65" s="155"/>
      <c r="M65" s="155"/>
      <c r="N65" s="155">
        <f t="shared" si="2"/>
        <v>0</v>
      </c>
      <c r="O65" s="68"/>
    </row>
    <row r="66" spans="1:14" ht="38.25" hidden="1">
      <c r="A66" s="74" t="s">
        <v>318</v>
      </c>
      <c r="B66" s="92" t="s">
        <v>319</v>
      </c>
      <c r="C66" s="155">
        <f t="shared" si="0"/>
        <v>0</v>
      </c>
      <c r="D66" s="155">
        <f>D68+D69</f>
        <v>0</v>
      </c>
      <c r="E66" s="155"/>
      <c r="F66" s="155"/>
      <c r="G66" s="155"/>
      <c r="H66" s="155">
        <f t="shared" si="1"/>
        <v>0</v>
      </c>
      <c r="I66" s="155"/>
      <c r="J66" s="155"/>
      <c r="K66" s="155"/>
      <c r="L66" s="155"/>
      <c r="M66" s="155"/>
      <c r="N66" s="155">
        <f t="shared" si="2"/>
        <v>0</v>
      </c>
    </row>
    <row r="67" spans="1:14" ht="12.75" hidden="1">
      <c r="A67" s="74"/>
      <c r="B67" s="108" t="s">
        <v>145</v>
      </c>
      <c r="C67" s="155"/>
      <c r="D67" s="155"/>
      <c r="E67" s="155"/>
      <c r="F67" s="155"/>
      <c r="G67" s="155"/>
      <c r="H67" s="155"/>
      <c r="I67" s="155"/>
      <c r="J67" s="155"/>
      <c r="K67" s="155"/>
      <c r="L67" s="155"/>
      <c r="M67" s="155"/>
      <c r="N67" s="155"/>
    </row>
    <row r="68" spans="1:14" ht="63.75" hidden="1">
      <c r="A68" s="74"/>
      <c r="B68" s="108" t="s">
        <v>216</v>
      </c>
      <c r="C68" s="155">
        <f t="shared" si="0"/>
        <v>0</v>
      </c>
      <c r="D68" s="155"/>
      <c r="E68" s="155"/>
      <c r="F68" s="155"/>
      <c r="G68" s="155"/>
      <c r="H68" s="155">
        <f>I68+L68</f>
        <v>0</v>
      </c>
      <c r="I68" s="155"/>
      <c r="J68" s="155"/>
      <c r="K68" s="155"/>
      <c r="L68" s="155"/>
      <c r="M68" s="155"/>
      <c r="N68" s="155">
        <f>C68+H68</f>
        <v>0</v>
      </c>
    </row>
    <row r="69" spans="1:14" ht="38.25" hidden="1">
      <c r="A69" s="74"/>
      <c r="B69" s="108" t="s">
        <v>217</v>
      </c>
      <c r="C69" s="155">
        <f t="shared" si="0"/>
        <v>0</v>
      </c>
      <c r="D69" s="155"/>
      <c r="E69" s="155"/>
      <c r="F69" s="155"/>
      <c r="G69" s="155"/>
      <c r="H69" s="155">
        <f>I69+L69</f>
        <v>0</v>
      </c>
      <c r="I69" s="155"/>
      <c r="J69" s="155"/>
      <c r="K69" s="155"/>
      <c r="L69" s="155"/>
      <c r="M69" s="155"/>
      <c r="N69" s="155">
        <f>C69+H69</f>
        <v>0</v>
      </c>
    </row>
    <row r="70" spans="1:14" ht="38.25" hidden="1">
      <c r="A70" s="74" t="s">
        <v>160</v>
      </c>
      <c r="B70" s="92" t="s">
        <v>227</v>
      </c>
      <c r="C70" s="155">
        <f>D70+G70</f>
        <v>0</v>
      </c>
      <c r="D70" s="155"/>
      <c r="E70" s="155"/>
      <c r="F70" s="155"/>
      <c r="G70" s="155"/>
      <c r="H70" s="155">
        <f>I70+L70</f>
        <v>0</v>
      </c>
      <c r="I70" s="155"/>
      <c r="J70" s="155"/>
      <c r="K70" s="155"/>
      <c r="L70" s="155"/>
      <c r="M70" s="155"/>
      <c r="N70" s="155">
        <f>C70+H70</f>
        <v>0</v>
      </c>
    </row>
    <row r="71" spans="1:14" ht="25.5">
      <c r="A71" s="74" t="s">
        <v>120</v>
      </c>
      <c r="B71" s="108" t="s">
        <v>149</v>
      </c>
      <c r="C71" s="155">
        <f t="shared" si="0"/>
        <v>378902</v>
      </c>
      <c r="D71" s="155">
        <f>378902</f>
        <v>378902</v>
      </c>
      <c r="E71" s="155"/>
      <c r="F71" s="155"/>
      <c r="G71" s="155"/>
      <c r="H71" s="155">
        <f t="shared" si="1"/>
        <v>0</v>
      </c>
      <c r="I71" s="155"/>
      <c r="J71" s="155"/>
      <c r="K71" s="155"/>
      <c r="L71" s="155"/>
      <c r="M71" s="155"/>
      <c r="N71" s="155">
        <f t="shared" si="2"/>
        <v>378902</v>
      </c>
    </row>
    <row r="72" spans="1:14" ht="38.25">
      <c r="A72" s="45" t="s">
        <v>71</v>
      </c>
      <c r="B72" s="26" t="s">
        <v>446</v>
      </c>
      <c r="C72" s="155">
        <f t="shared" si="0"/>
        <v>24000</v>
      </c>
      <c r="D72" s="155">
        <f>23000+1000</f>
        <v>24000</v>
      </c>
      <c r="E72" s="155"/>
      <c r="F72" s="155"/>
      <c r="G72" s="155"/>
      <c r="H72" s="155"/>
      <c r="I72" s="155"/>
      <c r="J72" s="155"/>
      <c r="K72" s="155"/>
      <c r="L72" s="155"/>
      <c r="M72" s="155"/>
      <c r="N72" s="155">
        <f t="shared" si="2"/>
        <v>24000</v>
      </c>
    </row>
    <row r="73" spans="1:15" s="124" customFormat="1" ht="25.5">
      <c r="A73" s="133" t="s">
        <v>376</v>
      </c>
      <c r="B73" s="135" t="s">
        <v>340</v>
      </c>
      <c r="C73" s="171">
        <f t="shared" si="0"/>
        <v>525927</v>
      </c>
      <c r="D73" s="171">
        <f>D74+D75+D76</f>
        <v>513927</v>
      </c>
      <c r="E73" s="171">
        <f>E74+E75+E76</f>
        <v>121875</v>
      </c>
      <c r="F73" s="171">
        <f>F74+F75+F76</f>
        <v>178497</v>
      </c>
      <c r="G73" s="171">
        <f>G74+G75+G76</f>
        <v>12000</v>
      </c>
      <c r="H73" s="171">
        <f t="shared" si="1"/>
        <v>0</v>
      </c>
      <c r="I73" s="171">
        <f>I74+I75+I76</f>
        <v>0</v>
      </c>
      <c r="J73" s="171">
        <f>J74+J75+J76</f>
        <v>0</v>
      </c>
      <c r="K73" s="171">
        <f>K74+K75+K76</f>
        <v>0</v>
      </c>
      <c r="L73" s="171">
        <f>L74+L75+L76</f>
        <v>0</v>
      </c>
      <c r="M73" s="171">
        <f>M74+M75+M76</f>
        <v>0</v>
      </c>
      <c r="N73" s="171">
        <f t="shared" si="2"/>
        <v>525927</v>
      </c>
      <c r="O73" s="134"/>
    </row>
    <row r="74" spans="1:15" s="64" customFormat="1" ht="12.75">
      <c r="A74" s="74" t="s">
        <v>22</v>
      </c>
      <c r="B74" s="101" t="s">
        <v>23</v>
      </c>
      <c r="C74" s="155">
        <f t="shared" si="0"/>
        <v>187927</v>
      </c>
      <c r="D74" s="155">
        <f>117778+7995+38348+19806</f>
        <v>183927</v>
      </c>
      <c r="E74" s="155">
        <f>74297+5870+28156+14452-900</f>
        <v>121875</v>
      </c>
      <c r="F74" s="155"/>
      <c r="G74" s="155">
        <f>4000</f>
        <v>4000</v>
      </c>
      <c r="H74" s="155">
        <f t="shared" si="1"/>
        <v>0</v>
      </c>
      <c r="I74" s="155"/>
      <c r="J74" s="155"/>
      <c r="K74" s="155"/>
      <c r="L74" s="155"/>
      <c r="M74" s="155"/>
      <c r="N74" s="155">
        <f t="shared" si="2"/>
        <v>187927</v>
      </c>
      <c r="O74" s="68"/>
    </row>
    <row r="75" spans="1:14" ht="12.75">
      <c r="A75" s="74">
        <v>100203</v>
      </c>
      <c r="B75" s="92" t="s">
        <v>53</v>
      </c>
      <c r="C75" s="155">
        <f t="shared" si="0"/>
        <v>325000</v>
      </c>
      <c r="D75" s="155">
        <f>267000+50000</f>
        <v>317000</v>
      </c>
      <c r="E75" s="155"/>
      <c r="F75" s="155">
        <f>128497+50000</f>
        <v>178497</v>
      </c>
      <c r="G75" s="155">
        <v>8000</v>
      </c>
      <c r="H75" s="155">
        <f t="shared" si="1"/>
        <v>0</v>
      </c>
      <c r="I75" s="155"/>
      <c r="J75" s="155"/>
      <c r="K75" s="155"/>
      <c r="L75" s="155"/>
      <c r="M75" s="155"/>
      <c r="N75" s="155">
        <f t="shared" si="2"/>
        <v>325000</v>
      </c>
    </row>
    <row r="76" spans="1:14" ht="38.25">
      <c r="A76" s="76" t="s">
        <v>71</v>
      </c>
      <c r="B76" s="26" t="s">
        <v>446</v>
      </c>
      <c r="C76" s="155">
        <f t="shared" si="0"/>
        <v>13000</v>
      </c>
      <c r="D76" s="155">
        <v>13000</v>
      </c>
      <c r="E76" s="155"/>
      <c r="F76" s="155"/>
      <c r="G76" s="155"/>
      <c r="H76" s="155">
        <f t="shared" si="1"/>
        <v>0</v>
      </c>
      <c r="I76" s="155">
        <f>I77</f>
        <v>0</v>
      </c>
      <c r="J76" s="155">
        <f>J77</f>
        <v>0</v>
      </c>
      <c r="K76" s="155">
        <f>K77</f>
        <v>0</v>
      </c>
      <c r="L76" s="155">
        <f>L77</f>
        <v>0</v>
      </c>
      <c r="M76" s="155">
        <f>M77</f>
        <v>0</v>
      </c>
      <c r="N76" s="155">
        <f t="shared" si="2"/>
        <v>13000</v>
      </c>
    </row>
    <row r="77" spans="1:14" ht="38.25" hidden="1">
      <c r="A77" s="76"/>
      <c r="B77" s="108" t="s">
        <v>236</v>
      </c>
      <c r="C77" s="155">
        <f t="shared" si="0"/>
        <v>0</v>
      </c>
      <c r="D77" s="155"/>
      <c r="E77" s="155"/>
      <c r="F77" s="155"/>
      <c r="G77" s="155"/>
      <c r="H77" s="155">
        <f t="shared" si="1"/>
        <v>0</v>
      </c>
      <c r="I77" s="155"/>
      <c r="J77" s="155"/>
      <c r="K77" s="155"/>
      <c r="L77" s="155"/>
      <c r="M77" s="155"/>
      <c r="N77" s="155">
        <f t="shared" si="2"/>
        <v>0</v>
      </c>
    </row>
    <row r="78" spans="1:15" s="124" customFormat="1" ht="25.5">
      <c r="A78" s="133" t="s">
        <v>274</v>
      </c>
      <c r="B78" s="135" t="s">
        <v>341</v>
      </c>
      <c r="C78" s="171">
        <f t="shared" si="0"/>
        <v>347607</v>
      </c>
      <c r="D78" s="171">
        <f>D79</f>
        <v>331607</v>
      </c>
      <c r="E78" s="171">
        <f>E79</f>
        <v>224769</v>
      </c>
      <c r="F78" s="171">
        <f>F79</f>
        <v>4869</v>
      </c>
      <c r="G78" s="171">
        <f>G79</f>
        <v>16000</v>
      </c>
      <c r="H78" s="182">
        <f t="shared" si="1"/>
        <v>625404.44</v>
      </c>
      <c r="I78" s="182">
        <f>I79+I80</f>
        <v>625404.44</v>
      </c>
      <c r="J78" s="171">
        <f>J79</f>
        <v>0</v>
      </c>
      <c r="K78" s="171">
        <f>K79</f>
        <v>0</v>
      </c>
      <c r="L78" s="171">
        <f>L79</f>
        <v>0</v>
      </c>
      <c r="M78" s="171">
        <f>M79</f>
        <v>0</v>
      </c>
      <c r="N78" s="182">
        <f t="shared" si="2"/>
        <v>973011.44</v>
      </c>
      <c r="O78" s="134"/>
    </row>
    <row r="79" spans="1:15" s="64" customFormat="1" ht="12.75">
      <c r="A79" s="74" t="s">
        <v>22</v>
      </c>
      <c r="B79" s="101" t="s">
        <v>23</v>
      </c>
      <c r="C79" s="155">
        <f t="shared" si="0"/>
        <v>347607</v>
      </c>
      <c r="D79" s="155">
        <f>203499+14394+92347+20261+1106</f>
        <v>331607</v>
      </c>
      <c r="E79" s="155">
        <f>131927+10568+67803+14471</f>
        <v>224769</v>
      </c>
      <c r="F79" s="155">
        <f>3763+1106</f>
        <v>4869</v>
      </c>
      <c r="G79" s="155">
        <f>16000</f>
        <v>16000</v>
      </c>
      <c r="H79" s="155">
        <f t="shared" si="1"/>
        <v>0</v>
      </c>
      <c r="I79" s="155"/>
      <c r="J79" s="155"/>
      <c r="K79" s="155"/>
      <c r="L79" s="155"/>
      <c r="M79" s="155"/>
      <c r="N79" s="155">
        <f t="shared" si="2"/>
        <v>347607</v>
      </c>
      <c r="O79" s="68"/>
    </row>
    <row r="80" spans="1:14" s="17" customFormat="1" ht="76.5">
      <c r="A80" s="118" t="s">
        <v>401</v>
      </c>
      <c r="B80" s="79" t="s">
        <v>402</v>
      </c>
      <c r="C80" s="147">
        <f t="shared" si="0"/>
        <v>0</v>
      </c>
      <c r="D80" s="147"/>
      <c r="E80" s="147"/>
      <c r="F80" s="147"/>
      <c r="G80" s="147"/>
      <c r="H80" s="177">
        <f t="shared" si="1"/>
        <v>625404.44</v>
      </c>
      <c r="I80" s="177">
        <v>625404.44</v>
      </c>
      <c r="J80" s="147"/>
      <c r="K80" s="147"/>
      <c r="L80" s="147"/>
      <c r="M80" s="147"/>
      <c r="N80" s="178">
        <f t="shared" si="2"/>
        <v>625404.44</v>
      </c>
    </row>
    <row r="81" spans="1:15" s="64" customFormat="1" ht="12.75">
      <c r="A81" s="74"/>
      <c r="B81" s="92" t="s">
        <v>73</v>
      </c>
      <c r="C81" s="155">
        <f t="shared" si="0"/>
        <v>38478278</v>
      </c>
      <c r="D81" s="155">
        <f>D11+D24+D39+D73+D78</f>
        <v>38168538</v>
      </c>
      <c r="E81" s="155">
        <f>E11+E24+E39+E73+E78</f>
        <v>16819963</v>
      </c>
      <c r="F81" s="155">
        <f>F11+F24+F39+F73+F78</f>
        <v>2614064</v>
      </c>
      <c r="G81" s="155">
        <f>G11+G24+G39+G73+G78</f>
        <v>309740</v>
      </c>
      <c r="H81" s="188">
        <f t="shared" si="1"/>
        <v>12932280.44</v>
      </c>
      <c r="I81" s="188">
        <f>I11+I24+I39+I73+I78</f>
        <v>12258842.44</v>
      </c>
      <c r="J81" s="155">
        <f>J11+J24+J39+J73+J78</f>
        <v>6137255</v>
      </c>
      <c r="K81" s="155">
        <f>K11+K24+K39+K73+K78</f>
        <v>283046</v>
      </c>
      <c r="L81" s="155">
        <f>L11+L24+L39+L73+L78</f>
        <v>673438</v>
      </c>
      <c r="M81" s="155">
        <f>M11+M24+M39+M73+M78</f>
        <v>0</v>
      </c>
      <c r="N81" s="188">
        <f t="shared" si="2"/>
        <v>51410558.44</v>
      </c>
      <c r="O81" s="68"/>
    </row>
    <row r="83" spans="1:10" s="32" customFormat="1" ht="15" customHeight="1">
      <c r="A83" s="32" t="s">
        <v>239</v>
      </c>
      <c r="B83" s="190"/>
      <c r="C83" s="190"/>
      <c r="D83" s="190"/>
      <c r="E83" s="190"/>
      <c r="J83" s="32" t="s">
        <v>443</v>
      </c>
    </row>
    <row r="85" ht="12.75">
      <c r="H85" s="100"/>
    </row>
  </sheetData>
  <mergeCells count="9">
    <mergeCell ref="L1:N1"/>
    <mergeCell ref="L2:N2"/>
    <mergeCell ref="L3:N3"/>
    <mergeCell ref="N8:N9"/>
    <mergeCell ref="A5:N5"/>
    <mergeCell ref="C8:G8"/>
    <mergeCell ref="H8:M8"/>
    <mergeCell ref="B8:B9"/>
    <mergeCell ref="A8:A9"/>
  </mergeCells>
  <printOptions/>
  <pageMargins left="0.9055118110236221" right="0.35433070866141736" top="0.5511811023622047" bottom="0.3937007874015748" header="0.3937007874015748" footer="0.4724409448818898"/>
  <pageSetup fitToHeight="5" fitToWidth="1" horizontalDpi="600" verticalDpi="600" orientation="landscape" paperSize="9" scale="73"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405"/>
  <sheetViews>
    <sheetView showZeros="0" view="pageBreakPreview" zoomScale="75" zoomScaleNormal="75" zoomScaleSheetLayoutView="75" workbookViewId="0" topLeftCell="A1">
      <pane xSplit="2" ySplit="9" topLeftCell="K10" activePane="bottomRight" state="frozen"/>
      <selection pane="topLeft" activeCell="A1" sqref="A1"/>
      <selection pane="topRight" activeCell="C1" sqref="C1"/>
      <selection pane="bottomLeft" activeCell="A10" sqref="A10"/>
      <selection pane="bottomRight" activeCell="L3" sqref="L3"/>
    </sheetView>
  </sheetViews>
  <sheetFormatPr defaultColWidth="9.00390625" defaultRowHeight="12.75"/>
  <cols>
    <col min="1" max="1" width="7.875" style="33" customWidth="1"/>
    <col min="2" max="2" width="38.625" style="34" customWidth="1"/>
    <col min="3" max="3" width="12.125" style="22" customWidth="1"/>
    <col min="4" max="4" width="11.75390625" style="22" customWidth="1"/>
    <col min="5" max="5" width="11.875" style="22" customWidth="1"/>
    <col min="6" max="6" width="12.875" style="22" customWidth="1"/>
    <col min="7" max="7" width="11.375" style="22" customWidth="1"/>
    <col min="8" max="8" width="12.125" style="22" customWidth="1"/>
    <col min="9" max="9" width="11.875" style="22" customWidth="1"/>
    <col min="10" max="10" width="11.75390625" style="22" customWidth="1"/>
    <col min="11" max="11" width="10.00390625" style="22" customWidth="1"/>
    <col min="12" max="12" width="11.375" style="22" customWidth="1"/>
    <col min="13" max="13" width="9.25390625" style="22" customWidth="1"/>
    <col min="14" max="14" width="12.875" style="22" customWidth="1"/>
    <col min="15" max="15" width="13.25390625" style="22" customWidth="1"/>
    <col min="16" max="16" width="12.25390625" style="22" customWidth="1"/>
    <col min="17" max="16384" width="9.125" style="22" customWidth="1"/>
  </cols>
  <sheetData>
    <row r="1" spans="11:15" ht="18">
      <c r="K1" s="47"/>
      <c r="L1" s="32" t="s">
        <v>315</v>
      </c>
      <c r="M1" s="32"/>
      <c r="O1" s="81"/>
    </row>
    <row r="2" spans="11:15" ht="18">
      <c r="K2" s="50"/>
      <c r="L2" s="32" t="s">
        <v>155</v>
      </c>
      <c r="M2" s="32"/>
      <c r="O2" s="81"/>
    </row>
    <row r="3" spans="12:13" ht="18">
      <c r="L3" s="32" t="s">
        <v>451</v>
      </c>
      <c r="M3" s="32"/>
    </row>
    <row r="4" spans="12:13" ht="18">
      <c r="L4" s="32"/>
      <c r="M4" s="32"/>
    </row>
    <row r="5" spans="1:13" ht="18">
      <c r="A5" s="198" t="s">
        <v>3</v>
      </c>
      <c r="B5" s="198"/>
      <c r="C5" s="198"/>
      <c r="D5" s="198"/>
      <c r="E5" s="198"/>
      <c r="F5" s="198"/>
      <c r="G5" s="198"/>
      <c r="H5" s="198"/>
      <c r="I5" s="198"/>
      <c r="J5" s="198"/>
      <c r="K5" s="198"/>
      <c r="L5" s="198"/>
      <c r="M5" s="198"/>
    </row>
    <row r="6" spans="2:16" ht="15">
      <c r="B6" s="35"/>
      <c r="C6" s="29"/>
      <c r="D6" s="29"/>
      <c r="E6" s="29"/>
      <c r="F6" s="29"/>
      <c r="G6" s="29"/>
      <c r="H6" s="29"/>
      <c r="I6" s="29"/>
      <c r="J6" s="29"/>
      <c r="K6" s="29"/>
      <c r="L6" s="211" t="s">
        <v>365</v>
      </c>
      <c r="M6" s="211"/>
      <c r="N6" s="211"/>
      <c r="O6" s="36"/>
      <c r="P6" s="36"/>
    </row>
    <row r="7" spans="1:16" ht="12.75">
      <c r="A7" s="193" t="s">
        <v>325</v>
      </c>
      <c r="B7" s="193" t="s">
        <v>326</v>
      </c>
      <c r="C7" s="193" t="s">
        <v>14</v>
      </c>
      <c r="D7" s="193"/>
      <c r="E7" s="193"/>
      <c r="F7" s="193"/>
      <c r="G7" s="193"/>
      <c r="H7" s="196" t="s">
        <v>15</v>
      </c>
      <c r="I7" s="196"/>
      <c r="J7" s="196"/>
      <c r="K7" s="196"/>
      <c r="L7" s="196"/>
      <c r="M7" s="196"/>
      <c r="N7" s="212" t="s">
        <v>95</v>
      </c>
      <c r="O7" s="37"/>
      <c r="P7" s="38"/>
    </row>
    <row r="8" spans="1:14" ht="89.25">
      <c r="A8" s="193"/>
      <c r="B8" s="193"/>
      <c r="C8" s="6" t="s">
        <v>16</v>
      </c>
      <c r="D8" s="6" t="s">
        <v>79</v>
      </c>
      <c r="E8" s="6" t="s">
        <v>106</v>
      </c>
      <c r="F8" s="6" t="s">
        <v>107</v>
      </c>
      <c r="G8" s="6" t="s">
        <v>108</v>
      </c>
      <c r="H8" s="6" t="s">
        <v>16</v>
      </c>
      <c r="I8" s="6" t="s">
        <v>79</v>
      </c>
      <c r="J8" s="6" t="s">
        <v>106</v>
      </c>
      <c r="K8" s="6" t="s">
        <v>107</v>
      </c>
      <c r="L8" s="6" t="s">
        <v>108</v>
      </c>
      <c r="M8" s="6" t="s">
        <v>109</v>
      </c>
      <c r="N8" s="213"/>
    </row>
    <row r="9" spans="1:14" ht="15">
      <c r="A9" s="39">
        <v>1</v>
      </c>
      <c r="B9" s="122">
        <v>2</v>
      </c>
      <c r="C9" s="40">
        <v>3</v>
      </c>
      <c r="D9" s="41">
        <v>4</v>
      </c>
      <c r="E9" s="40">
        <v>5</v>
      </c>
      <c r="F9" s="41">
        <v>6</v>
      </c>
      <c r="G9" s="40">
        <v>7</v>
      </c>
      <c r="H9" s="41">
        <v>8</v>
      </c>
      <c r="I9" s="40">
        <v>9</v>
      </c>
      <c r="J9" s="41">
        <v>10</v>
      </c>
      <c r="K9" s="40">
        <v>11</v>
      </c>
      <c r="L9" s="41">
        <v>12</v>
      </c>
      <c r="M9" s="42">
        <v>13</v>
      </c>
      <c r="N9" s="40">
        <v>14</v>
      </c>
    </row>
    <row r="10" spans="1:14" s="124" customFormat="1" ht="18.75" customHeight="1">
      <c r="A10" s="140" t="s">
        <v>262</v>
      </c>
      <c r="B10" s="141" t="s">
        <v>347</v>
      </c>
      <c r="C10" s="159">
        <f>D10+G10</f>
        <v>18497961</v>
      </c>
      <c r="D10" s="159">
        <f>D11+D12+D18+D19+D20+D17</f>
        <v>18468511</v>
      </c>
      <c r="E10" s="159">
        <f>E11+E12+E18+E19+E20+E17</f>
        <v>10736071</v>
      </c>
      <c r="F10" s="159">
        <f>F11+F12+F18+F19+F20+F17</f>
        <v>1644076</v>
      </c>
      <c r="G10" s="159">
        <f>G11+G12+G18+G19+G20+G17</f>
        <v>29450</v>
      </c>
      <c r="H10" s="159">
        <f>I10+L10</f>
        <v>882472</v>
      </c>
      <c r="I10" s="159">
        <f>I11+I12+I18+I19+I20+I17</f>
        <v>842472</v>
      </c>
      <c r="J10" s="159">
        <f>J11+J12+J18+J19+J20+J17</f>
        <v>404805</v>
      </c>
      <c r="K10" s="159">
        <f>K11+K12+K18+K19+K20+K17</f>
        <v>51080</v>
      </c>
      <c r="L10" s="159">
        <f>L11+L12+L18+L19+L20+L17</f>
        <v>40000</v>
      </c>
      <c r="M10" s="159">
        <f>M11+M12+M18+M19+M20+M17</f>
        <v>0</v>
      </c>
      <c r="N10" s="159">
        <f>C10+H10</f>
        <v>19380433</v>
      </c>
    </row>
    <row r="11" spans="1:14" ht="12.75">
      <c r="A11" s="60" t="s">
        <v>22</v>
      </c>
      <c r="B11" s="80" t="s">
        <v>23</v>
      </c>
      <c r="C11" s="147">
        <f aca="true" t="shared" si="0" ref="C11:C79">D11+G11</f>
        <v>1920520</v>
      </c>
      <c r="D11" s="143">
        <f>1171122-12448-28500+105942+622574+6905+17895+18380+3700</f>
        <v>1905570</v>
      </c>
      <c r="E11" s="143">
        <f>716011-9140+77784+457103+5070+1663</f>
        <v>1248491</v>
      </c>
      <c r="F11" s="143">
        <f>64572+18380</f>
        <v>82952</v>
      </c>
      <c r="G11" s="143">
        <f>7550+7400</f>
        <v>14950</v>
      </c>
      <c r="H11" s="147">
        <f aca="true" t="shared" si="1" ref="H11:H79">I11+L11</f>
        <v>15320</v>
      </c>
      <c r="I11" s="143">
        <v>15320</v>
      </c>
      <c r="J11" s="143"/>
      <c r="K11" s="143">
        <v>13880</v>
      </c>
      <c r="L11" s="143"/>
      <c r="M11" s="143"/>
      <c r="N11" s="159">
        <f aca="true" t="shared" si="2" ref="N11:N79">C11+H11</f>
        <v>1935840</v>
      </c>
    </row>
    <row r="12" spans="1:14" ht="12.75">
      <c r="A12" s="43" t="s">
        <v>33</v>
      </c>
      <c r="B12" s="80" t="s">
        <v>114</v>
      </c>
      <c r="C12" s="147">
        <f t="shared" si="0"/>
        <v>16362611</v>
      </c>
      <c r="D12" s="143">
        <f>D13+D14+D15+D16</f>
        <v>16362611</v>
      </c>
      <c r="E12" s="143">
        <f>E13+E14+E15+E16</f>
        <v>9487580</v>
      </c>
      <c r="F12" s="143">
        <f>F13+F14+F15+F16</f>
        <v>1561124</v>
      </c>
      <c r="G12" s="143">
        <f>G13+G14+G15+G16</f>
        <v>0</v>
      </c>
      <c r="H12" s="147">
        <f t="shared" si="1"/>
        <v>827152</v>
      </c>
      <c r="I12" s="143">
        <f>I13+I14+I15+I16</f>
        <v>797152</v>
      </c>
      <c r="J12" s="143">
        <f>J13+J14+J15+J16</f>
        <v>404805</v>
      </c>
      <c r="K12" s="143">
        <f>K13+K14+K15+K16</f>
        <v>37200</v>
      </c>
      <c r="L12" s="143">
        <f>L13+L14+L15+L16</f>
        <v>30000</v>
      </c>
      <c r="M12" s="143">
        <f>M13+M14+M15+M16</f>
        <v>0</v>
      </c>
      <c r="N12" s="159">
        <f t="shared" si="2"/>
        <v>17189763</v>
      </c>
    </row>
    <row r="13" spans="1:14" ht="12.75">
      <c r="A13" s="43" t="s">
        <v>35</v>
      </c>
      <c r="B13" s="80" t="s">
        <v>298</v>
      </c>
      <c r="C13" s="147">
        <f t="shared" si="0"/>
        <v>11325420</v>
      </c>
      <c r="D13" s="143">
        <f>10631059+26000-5200+121100+24111+298600+189750+40000</f>
        <v>11325420</v>
      </c>
      <c r="E13" s="143">
        <f>6436134+19580+38000</f>
        <v>6493714</v>
      </c>
      <c r="F13" s="143">
        <f>957800+54324+137100+189750</f>
        <v>1338974</v>
      </c>
      <c r="G13" s="143"/>
      <c r="H13" s="147">
        <f t="shared" si="1"/>
        <v>230860</v>
      </c>
      <c r="I13" s="143">
        <v>230860</v>
      </c>
      <c r="J13" s="143">
        <v>114140</v>
      </c>
      <c r="K13" s="143">
        <v>15000</v>
      </c>
      <c r="L13" s="143"/>
      <c r="M13" s="143"/>
      <c r="N13" s="159">
        <f t="shared" si="2"/>
        <v>11556280</v>
      </c>
    </row>
    <row r="14" spans="1:14" ht="12.75">
      <c r="A14" s="43" t="s">
        <v>37</v>
      </c>
      <c r="B14" s="80" t="s">
        <v>38</v>
      </c>
      <c r="C14" s="147">
        <f t="shared" si="0"/>
        <v>4093640</v>
      </c>
      <c r="D14" s="143">
        <f>3665790+394300+33550</f>
        <v>4093640</v>
      </c>
      <c r="E14" s="143">
        <v>2467804</v>
      </c>
      <c r="F14" s="143">
        <f>132200+10000+10400+33550</f>
        <v>186150</v>
      </c>
      <c r="G14" s="143"/>
      <c r="H14" s="147">
        <f t="shared" si="1"/>
        <v>16000</v>
      </c>
      <c r="I14" s="143">
        <v>16000</v>
      </c>
      <c r="J14" s="143"/>
      <c r="K14" s="143">
        <v>1400</v>
      </c>
      <c r="L14" s="143"/>
      <c r="M14" s="143"/>
      <c r="N14" s="159">
        <f t="shared" si="2"/>
        <v>4109640</v>
      </c>
    </row>
    <row r="15" spans="1:14" ht="12.75">
      <c r="A15" s="43" t="s">
        <v>39</v>
      </c>
      <c r="B15" s="80" t="s">
        <v>118</v>
      </c>
      <c r="C15" s="147">
        <f t="shared" si="0"/>
        <v>943551</v>
      </c>
      <c r="D15" s="143">
        <f>936951+3900+2700</f>
        <v>943551</v>
      </c>
      <c r="E15" s="143">
        <v>526062</v>
      </c>
      <c r="F15" s="143">
        <f>29400+3900+2700</f>
        <v>36000</v>
      </c>
      <c r="G15" s="143"/>
      <c r="H15" s="147">
        <f t="shared" si="1"/>
        <v>580292</v>
      </c>
      <c r="I15" s="143">
        <v>550292</v>
      </c>
      <c r="J15" s="143">
        <v>290665</v>
      </c>
      <c r="K15" s="143">
        <v>20800</v>
      </c>
      <c r="L15" s="143">
        <v>30000</v>
      </c>
      <c r="M15" s="143"/>
      <c r="N15" s="159">
        <f t="shared" si="2"/>
        <v>1523843</v>
      </c>
    </row>
    <row r="16" spans="1:14" ht="12.75" hidden="1">
      <c r="A16" s="43" t="s">
        <v>42</v>
      </c>
      <c r="B16" s="80" t="s">
        <v>111</v>
      </c>
      <c r="C16" s="147">
        <f t="shared" si="0"/>
        <v>0</v>
      </c>
      <c r="D16" s="143"/>
      <c r="E16" s="143"/>
      <c r="F16" s="143"/>
      <c r="G16" s="143"/>
      <c r="H16" s="147">
        <f t="shared" si="1"/>
        <v>0</v>
      </c>
      <c r="I16" s="143"/>
      <c r="J16" s="143"/>
      <c r="K16" s="143"/>
      <c r="L16" s="143"/>
      <c r="M16" s="143"/>
      <c r="N16" s="159">
        <f t="shared" si="2"/>
        <v>0</v>
      </c>
    </row>
    <row r="17" spans="1:14" ht="25.5">
      <c r="A17" s="25" t="s">
        <v>48</v>
      </c>
      <c r="B17" s="16" t="s">
        <v>197</v>
      </c>
      <c r="C17" s="147">
        <f t="shared" si="0"/>
        <v>84670</v>
      </c>
      <c r="D17" s="143">
        <f>70870+10800+3000</f>
        <v>84670</v>
      </c>
      <c r="E17" s="143"/>
      <c r="F17" s="143"/>
      <c r="G17" s="143"/>
      <c r="H17" s="147">
        <f t="shared" si="1"/>
        <v>0</v>
      </c>
      <c r="I17" s="143"/>
      <c r="J17" s="143"/>
      <c r="K17" s="143"/>
      <c r="L17" s="143"/>
      <c r="M17" s="143"/>
      <c r="N17" s="159">
        <f t="shared" si="2"/>
        <v>84670</v>
      </c>
    </row>
    <row r="18" spans="1:14" ht="38.25" hidden="1">
      <c r="A18" s="25" t="s">
        <v>160</v>
      </c>
      <c r="B18" s="79" t="s">
        <v>246</v>
      </c>
      <c r="C18" s="147">
        <f t="shared" si="0"/>
        <v>0</v>
      </c>
      <c r="D18" s="143"/>
      <c r="E18" s="143"/>
      <c r="F18" s="143"/>
      <c r="G18" s="143"/>
      <c r="H18" s="147">
        <f t="shared" si="1"/>
        <v>0</v>
      </c>
      <c r="I18" s="143"/>
      <c r="J18" s="143"/>
      <c r="K18" s="143"/>
      <c r="L18" s="143"/>
      <c r="M18" s="143"/>
      <c r="N18" s="159">
        <f t="shared" si="2"/>
        <v>0</v>
      </c>
    </row>
    <row r="19" spans="1:14" ht="12.75">
      <c r="A19" s="28" t="s">
        <v>69</v>
      </c>
      <c r="B19" s="16" t="s">
        <v>91</v>
      </c>
      <c r="C19" s="147">
        <f t="shared" si="0"/>
        <v>0</v>
      </c>
      <c r="D19" s="143"/>
      <c r="E19" s="143"/>
      <c r="F19" s="143"/>
      <c r="G19" s="143"/>
      <c r="H19" s="147">
        <f t="shared" si="1"/>
        <v>40000</v>
      </c>
      <c r="I19" s="143">
        <v>30000</v>
      </c>
      <c r="J19" s="143"/>
      <c r="K19" s="143"/>
      <c r="L19" s="143">
        <v>10000</v>
      </c>
      <c r="M19" s="143"/>
      <c r="N19" s="159">
        <f t="shared" si="2"/>
        <v>40000</v>
      </c>
    </row>
    <row r="20" spans="1:14" ht="12.75">
      <c r="A20" s="28" t="s">
        <v>121</v>
      </c>
      <c r="B20" s="79" t="s">
        <v>72</v>
      </c>
      <c r="C20" s="147">
        <f t="shared" si="0"/>
        <v>130160</v>
      </c>
      <c r="D20" s="143">
        <f>D21+D22+D23+D24</f>
        <v>115660</v>
      </c>
      <c r="E20" s="143">
        <f>E21+E22+E23+E24</f>
        <v>0</v>
      </c>
      <c r="F20" s="143">
        <f>F21+F22+F23+F24</f>
        <v>0</v>
      </c>
      <c r="G20" s="143">
        <f>G21+G22+G23+G24</f>
        <v>14500</v>
      </c>
      <c r="H20" s="147">
        <f t="shared" si="1"/>
        <v>0</v>
      </c>
      <c r="I20" s="143">
        <f>I21+I22+I23+I24</f>
        <v>0</v>
      </c>
      <c r="J20" s="143">
        <f>J21+J22+J23+J24</f>
        <v>0</v>
      </c>
      <c r="K20" s="143">
        <f>K21+K22+K23+K24</f>
        <v>0</v>
      </c>
      <c r="L20" s="143">
        <f>L21+L22+L23+L24</f>
        <v>0</v>
      </c>
      <c r="M20" s="143">
        <f>M21+M22+M23+M24</f>
        <v>0</v>
      </c>
      <c r="N20" s="159">
        <f t="shared" si="2"/>
        <v>130160</v>
      </c>
    </row>
    <row r="21" spans="1:14" ht="25.5">
      <c r="A21" s="28"/>
      <c r="B21" s="79" t="s">
        <v>241</v>
      </c>
      <c r="C21" s="147">
        <f t="shared" si="0"/>
        <v>21600</v>
      </c>
      <c r="D21" s="143">
        <v>21600</v>
      </c>
      <c r="E21" s="143"/>
      <c r="F21" s="143"/>
      <c r="G21" s="143"/>
      <c r="H21" s="147">
        <f t="shared" si="1"/>
        <v>0</v>
      </c>
      <c r="I21" s="143"/>
      <c r="J21" s="143"/>
      <c r="K21" s="143"/>
      <c r="L21" s="143"/>
      <c r="M21" s="143"/>
      <c r="N21" s="159">
        <f t="shared" si="2"/>
        <v>21600</v>
      </c>
    </row>
    <row r="22" spans="1:14" ht="38.25">
      <c r="A22" s="28"/>
      <c r="B22" s="26" t="s">
        <v>446</v>
      </c>
      <c r="C22" s="147">
        <f t="shared" si="0"/>
        <v>68000</v>
      </c>
      <c r="D22" s="143">
        <f>8000+50000-4500</f>
        <v>53500</v>
      </c>
      <c r="E22" s="143"/>
      <c r="F22" s="143"/>
      <c r="G22" s="143">
        <f>10000+4500</f>
        <v>14500</v>
      </c>
      <c r="H22" s="147">
        <f t="shared" si="1"/>
        <v>0</v>
      </c>
      <c r="I22" s="143"/>
      <c r="J22" s="143"/>
      <c r="K22" s="143"/>
      <c r="L22" s="143"/>
      <c r="M22" s="143"/>
      <c r="N22" s="159">
        <f t="shared" si="2"/>
        <v>68000</v>
      </c>
    </row>
    <row r="23" spans="1:14" ht="25.5">
      <c r="A23" s="28"/>
      <c r="B23" s="79" t="s">
        <v>242</v>
      </c>
      <c r="C23" s="147">
        <f t="shared" si="0"/>
        <v>40560</v>
      </c>
      <c r="D23" s="143">
        <v>40560</v>
      </c>
      <c r="E23" s="143"/>
      <c r="F23" s="143"/>
      <c r="G23" s="143"/>
      <c r="H23" s="147">
        <f t="shared" si="1"/>
        <v>0</v>
      </c>
      <c r="I23" s="143"/>
      <c r="J23" s="143"/>
      <c r="K23" s="143"/>
      <c r="L23" s="143"/>
      <c r="M23" s="143"/>
      <c r="N23" s="159">
        <f t="shared" si="2"/>
        <v>40560</v>
      </c>
    </row>
    <row r="24" spans="1:14" ht="38.25" hidden="1">
      <c r="A24" s="28"/>
      <c r="B24" s="79" t="s">
        <v>236</v>
      </c>
      <c r="C24" s="147">
        <f t="shared" si="0"/>
        <v>0</v>
      </c>
      <c r="D24" s="143"/>
      <c r="E24" s="143"/>
      <c r="F24" s="143"/>
      <c r="G24" s="143"/>
      <c r="H24" s="147">
        <f t="shared" si="1"/>
        <v>0</v>
      </c>
      <c r="I24" s="143"/>
      <c r="J24" s="143"/>
      <c r="K24" s="143"/>
      <c r="L24" s="143"/>
      <c r="M24" s="143"/>
      <c r="N24" s="159">
        <f t="shared" si="2"/>
        <v>0</v>
      </c>
    </row>
    <row r="25" spans="1:14" s="124" customFormat="1" ht="25.5">
      <c r="A25" s="140" t="s">
        <v>266</v>
      </c>
      <c r="B25" s="141" t="s">
        <v>348</v>
      </c>
      <c r="C25" s="159">
        <f t="shared" si="0"/>
        <v>39951094</v>
      </c>
      <c r="D25" s="159">
        <f>D26+D27+D37+D38</f>
        <v>39605094</v>
      </c>
      <c r="E25" s="159">
        <f>E26+E27+E37+E38</f>
        <v>22015533</v>
      </c>
      <c r="F25" s="159">
        <f>F26+F27+F37+F38</f>
        <v>3973448</v>
      </c>
      <c r="G25" s="159">
        <f>G26+G27+G37+G38</f>
        <v>346000</v>
      </c>
      <c r="H25" s="159">
        <f t="shared" si="1"/>
        <v>1587207</v>
      </c>
      <c r="I25" s="159">
        <f>I26+I27+I36</f>
        <v>1587207</v>
      </c>
      <c r="J25" s="159">
        <f>J26+J27+J36</f>
        <v>52817</v>
      </c>
      <c r="K25" s="159">
        <f>K26+K27+K36</f>
        <v>41142</v>
      </c>
      <c r="L25" s="159">
        <f>L26+L27+L36</f>
        <v>0</v>
      </c>
      <c r="M25" s="159">
        <f>M26+M27+M36</f>
        <v>0</v>
      </c>
      <c r="N25" s="159">
        <f t="shared" si="2"/>
        <v>41538301</v>
      </c>
    </row>
    <row r="26" spans="1:14" ht="12.75">
      <c r="A26" s="60" t="s">
        <v>22</v>
      </c>
      <c r="B26" s="80" t="s">
        <v>23</v>
      </c>
      <c r="C26" s="147">
        <f t="shared" si="0"/>
        <v>164373</v>
      </c>
      <c r="D26" s="143">
        <f>118897+5192+46685-6401</f>
        <v>164373</v>
      </c>
      <c r="E26" s="143">
        <f>86929+3812+34277-4700</f>
        <v>120318</v>
      </c>
      <c r="F26" s="143"/>
      <c r="G26" s="143"/>
      <c r="H26" s="147">
        <f t="shared" si="1"/>
        <v>0</v>
      </c>
      <c r="I26" s="143"/>
      <c r="J26" s="143"/>
      <c r="K26" s="143"/>
      <c r="L26" s="143"/>
      <c r="M26" s="143"/>
      <c r="N26" s="159">
        <f t="shared" si="2"/>
        <v>164373</v>
      </c>
    </row>
    <row r="27" spans="1:14" ht="12.75">
      <c r="A27" s="43" t="s">
        <v>24</v>
      </c>
      <c r="B27" s="80" t="s">
        <v>25</v>
      </c>
      <c r="C27" s="147">
        <f t="shared" si="0"/>
        <v>39705951</v>
      </c>
      <c r="D27" s="143">
        <f>D28+D29+D30+D32+D33+D34+D31+D35+D36</f>
        <v>39415951</v>
      </c>
      <c r="E27" s="143">
        <f>E28+E29+E30+E32+E33+E34+E31+E35+E36</f>
        <v>21895215</v>
      </c>
      <c r="F27" s="143">
        <f>F28+F29+F30+F32+F33+F34+F31+F35+F36</f>
        <v>3973448</v>
      </c>
      <c r="G27" s="143">
        <f>G28+G29+G30+G32+G33+G34+G31+G35+G36</f>
        <v>290000</v>
      </c>
      <c r="H27" s="147">
        <f t="shared" si="1"/>
        <v>1587207</v>
      </c>
      <c r="I27" s="143">
        <f>I28+I29+I30+I32+I33+I34+I31+I35+I36</f>
        <v>1587207</v>
      </c>
      <c r="J27" s="143">
        <f>J28+J29+J30+J32+J33+J34+J31+J35+J36</f>
        <v>52817</v>
      </c>
      <c r="K27" s="143">
        <f>K28+K29+K30+K32+K33+K34+K31+K35+K36</f>
        <v>41142</v>
      </c>
      <c r="L27" s="143">
        <f>L28+L29+L30+L32+L33+L34+L31+L35+L36</f>
        <v>0</v>
      </c>
      <c r="M27" s="143">
        <f>M28+M29+M30+M32+M33+M34</f>
        <v>0</v>
      </c>
      <c r="N27" s="159">
        <f t="shared" si="2"/>
        <v>41293158</v>
      </c>
    </row>
    <row r="28" spans="1:14" ht="12.75">
      <c r="A28" s="43" t="s">
        <v>80</v>
      </c>
      <c r="B28" s="80" t="s">
        <v>76</v>
      </c>
      <c r="C28" s="147">
        <f t="shared" si="0"/>
        <v>9837489</v>
      </c>
      <c r="D28" s="143">
        <f>8874561+1691+47775+280000+285828-160000-48736-37483+407266+179587+19000-12000</f>
        <v>9837489</v>
      </c>
      <c r="E28" s="143">
        <f>4554414+41476-35820</f>
        <v>4560070</v>
      </c>
      <c r="F28" s="143">
        <f>954920+1691+285828-37483+179587+19000-12000</f>
        <v>1391543</v>
      </c>
      <c r="G28" s="143"/>
      <c r="H28" s="147">
        <f t="shared" si="1"/>
        <v>1131458</v>
      </c>
      <c r="I28" s="143">
        <v>1131458</v>
      </c>
      <c r="J28" s="143">
        <v>11007</v>
      </c>
      <c r="K28" s="143">
        <v>3620</v>
      </c>
      <c r="L28" s="143"/>
      <c r="M28" s="143"/>
      <c r="N28" s="159">
        <f t="shared" si="2"/>
        <v>10968947</v>
      </c>
    </row>
    <row r="29" spans="1:14" ht="51">
      <c r="A29" s="43" t="s">
        <v>26</v>
      </c>
      <c r="B29" s="80" t="s">
        <v>280</v>
      </c>
      <c r="C29" s="147">
        <f t="shared" si="0"/>
        <v>27540803</v>
      </c>
      <c r="D29" s="143">
        <f>25984186-1691-40479+603400+401093-261400+48736-94942-25003+7000+312790+355413+23700-32000</f>
        <v>27280803</v>
      </c>
      <c r="E29" s="143">
        <f>16534445-35820+35820-25003</f>
        <v>16509442</v>
      </c>
      <c r="F29" s="143">
        <f>1867098+401093-94942+7000+355413+23700-32000</f>
        <v>2527362</v>
      </c>
      <c r="G29" s="143">
        <f>80000+180000</f>
        <v>260000</v>
      </c>
      <c r="H29" s="147">
        <f t="shared" si="1"/>
        <v>455749</v>
      </c>
      <c r="I29" s="143">
        <v>455749</v>
      </c>
      <c r="J29" s="143">
        <v>41810</v>
      </c>
      <c r="K29" s="143">
        <v>37522</v>
      </c>
      <c r="L29" s="143"/>
      <c r="M29" s="143"/>
      <c r="N29" s="159">
        <f t="shared" si="2"/>
        <v>27996552</v>
      </c>
    </row>
    <row r="30" spans="1:14" ht="51">
      <c r="A30" s="43" t="s">
        <v>82</v>
      </c>
      <c r="B30" s="80" t="s">
        <v>110</v>
      </c>
      <c r="C30" s="147">
        <f t="shared" si="0"/>
        <v>223318</v>
      </c>
      <c r="D30" s="143">
        <f>236030-15209+2497</f>
        <v>223318</v>
      </c>
      <c r="E30" s="143">
        <f>172726-11466+1833</f>
        <v>163093</v>
      </c>
      <c r="F30" s="143"/>
      <c r="G30" s="143"/>
      <c r="H30" s="147">
        <f t="shared" si="1"/>
        <v>0</v>
      </c>
      <c r="I30" s="143"/>
      <c r="J30" s="143"/>
      <c r="K30" s="143"/>
      <c r="L30" s="143"/>
      <c r="M30" s="143"/>
      <c r="N30" s="159">
        <f t="shared" si="2"/>
        <v>223318</v>
      </c>
    </row>
    <row r="31" spans="1:14" ht="51" hidden="1">
      <c r="A31" s="45" t="s">
        <v>373</v>
      </c>
      <c r="B31" s="51" t="s">
        <v>374</v>
      </c>
      <c r="C31" s="147">
        <f t="shared" si="0"/>
        <v>0</v>
      </c>
      <c r="D31" s="143"/>
      <c r="E31" s="143"/>
      <c r="F31" s="143"/>
      <c r="G31" s="143"/>
      <c r="H31" s="147">
        <f t="shared" si="1"/>
        <v>0</v>
      </c>
      <c r="I31" s="143"/>
      <c r="J31" s="143"/>
      <c r="K31" s="143"/>
      <c r="L31" s="143"/>
      <c r="M31" s="143"/>
      <c r="N31" s="159">
        <f t="shared" si="2"/>
        <v>0</v>
      </c>
    </row>
    <row r="32" spans="1:14" ht="25.5">
      <c r="A32" s="43" t="s">
        <v>29</v>
      </c>
      <c r="B32" s="80" t="s">
        <v>281</v>
      </c>
      <c r="C32" s="147">
        <f t="shared" si="0"/>
        <v>345927</v>
      </c>
      <c r="D32" s="143">
        <f>340511+7913-2497</f>
        <v>345927</v>
      </c>
      <c r="E32" s="143">
        <f>234545+5810-1833</f>
        <v>238522</v>
      </c>
      <c r="F32" s="143"/>
      <c r="G32" s="143"/>
      <c r="H32" s="147">
        <f t="shared" si="1"/>
        <v>0</v>
      </c>
      <c r="I32" s="143"/>
      <c r="J32" s="143"/>
      <c r="K32" s="143"/>
      <c r="L32" s="143"/>
      <c r="M32" s="143"/>
      <c r="N32" s="159">
        <f t="shared" si="2"/>
        <v>345927</v>
      </c>
    </row>
    <row r="33" spans="1:14" ht="25.5">
      <c r="A33" s="43" t="s">
        <v>30</v>
      </c>
      <c r="B33" s="80" t="s">
        <v>282</v>
      </c>
      <c r="C33" s="147">
        <f t="shared" si="0"/>
        <v>482402</v>
      </c>
      <c r="D33" s="143">
        <v>452402</v>
      </c>
      <c r="E33" s="143">
        <f>298125-2000</f>
        <v>296125</v>
      </c>
      <c r="F33" s="143"/>
      <c r="G33" s="143">
        <v>30000</v>
      </c>
      <c r="H33" s="147">
        <f t="shared" si="1"/>
        <v>0</v>
      </c>
      <c r="I33" s="143"/>
      <c r="J33" s="143"/>
      <c r="K33" s="143"/>
      <c r="L33" s="143"/>
      <c r="M33" s="143"/>
      <c r="N33" s="159">
        <f t="shared" si="2"/>
        <v>482402</v>
      </c>
    </row>
    <row r="34" spans="1:14" ht="25.5">
      <c r="A34" s="43" t="s">
        <v>31</v>
      </c>
      <c r="B34" s="80" t="s">
        <v>32</v>
      </c>
      <c r="C34" s="147">
        <f t="shared" si="0"/>
        <v>306214</v>
      </c>
      <c r="D34" s="143">
        <f>286410+13079+425+5000+1300</f>
        <v>306214</v>
      </c>
      <c r="E34" s="143">
        <v>127963</v>
      </c>
      <c r="F34" s="143">
        <f>34739+13079+425+5000+1300</f>
        <v>54543</v>
      </c>
      <c r="G34" s="143"/>
      <c r="H34" s="147">
        <f t="shared" si="1"/>
        <v>0</v>
      </c>
      <c r="I34" s="143"/>
      <c r="J34" s="143"/>
      <c r="K34" s="143"/>
      <c r="L34" s="143"/>
      <c r="M34" s="143"/>
      <c r="N34" s="159">
        <f t="shared" si="2"/>
        <v>306214</v>
      </c>
    </row>
    <row r="35" spans="1:14" s="17" customFormat="1" ht="38.25">
      <c r="A35" s="45" t="s">
        <v>371</v>
      </c>
      <c r="B35" s="27" t="s">
        <v>372</v>
      </c>
      <c r="C35" s="147">
        <f t="shared" si="0"/>
        <v>15900</v>
      </c>
      <c r="D35" s="147">
        <v>15900</v>
      </c>
      <c r="E35" s="147"/>
      <c r="F35" s="147"/>
      <c r="G35" s="147"/>
      <c r="H35" s="147">
        <f t="shared" si="1"/>
        <v>0</v>
      </c>
      <c r="I35" s="147"/>
      <c r="J35" s="147"/>
      <c r="K35" s="147"/>
      <c r="L35" s="147"/>
      <c r="M35" s="147"/>
      <c r="N35" s="146">
        <f t="shared" si="2"/>
        <v>15900</v>
      </c>
    </row>
    <row r="36" spans="1:16" ht="89.25">
      <c r="A36" s="45" t="s">
        <v>398</v>
      </c>
      <c r="B36" s="27" t="s">
        <v>399</v>
      </c>
      <c r="C36" s="143">
        <f t="shared" si="0"/>
        <v>953898</v>
      </c>
      <c r="D36" s="143">
        <v>953898</v>
      </c>
      <c r="E36" s="143"/>
      <c r="F36" s="143"/>
      <c r="G36" s="143"/>
      <c r="H36" s="143">
        <f t="shared" si="1"/>
        <v>0</v>
      </c>
      <c r="I36" s="143"/>
      <c r="J36" s="143"/>
      <c r="K36" s="143"/>
      <c r="L36" s="143"/>
      <c r="M36" s="143"/>
      <c r="N36" s="142">
        <f t="shared" si="2"/>
        <v>953898</v>
      </c>
      <c r="O36" s="144"/>
      <c r="P36" s="144"/>
    </row>
    <row r="37" spans="1:16" ht="63.75">
      <c r="A37" s="45" t="s">
        <v>309</v>
      </c>
      <c r="B37" s="27" t="s">
        <v>415</v>
      </c>
      <c r="C37" s="143">
        <f t="shared" si="0"/>
        <v>8770</v>
      </c>
      <c r="D37" s="143">
        <v>8770</v>
      </c>
      <c r="E37" s="143"/>
      <c r="F37" s="143"/>
      <c r="G37" s="143"/>
      <c r="H37" s="143">
        <f t="shared" si="1"/>
        <v>0</v>
      </c>
      <c r="I37" s="155"/>
      <c r="J37" s="143"/>
      <c r="K37" s="143"/>
      <c r="L37" s="143"/>
      <c r="M37" s="143"/>
      <c r="N37" s="142">
        <f t="shared" si="2"/>
        <v>8770</v>
      </c>
      <c r="O37" s="144"/>
      <c r="P37" s="144"/>
    </row>
    <row r="38" spans="1:16" ht="38.25">
      <c r="A38" s="45" t="s">
        <v>71</v>
      </c>
      <c r="B38" s="26" t="s">
        <v>446</v>
      </c>
      <c r="C38" s="143">
        <f t="shared" si="0"/>
        <v>72000</v>
      </c>
      <c r="D38" s="143">
        <v>16000</v>
      </c>
      <c r="E38" s="143"/>
      <c r="F38" s="143"/>
      <c r="G38" s="143">
        <v>56000</v>
      </c>
      <c r="H38" s="143"/>
      <c r="I38" s="155"/>
      <c r="J38" s="143"/>
      <c r="K38" s="143"/>
      <c r="L38" s="143"/>
      <c r="M38" s="143"/>
      <c r="N38" s="142">
        <f t="shared" si="2"/>
        <v>72000</v>
      </c>
      <c r="O38" s="144"/>
      <c r="P38" s="144"/>
    </row>
    <row r="39" spans="1:14" s="124" customFormat="1" ht="38.25">
      <c r="A39" s="140" t="s">
        <v>267</v>
      </c>
      <c r="B39" s="141" t="s">
        <v>349</v>
      </c>
      <c r="C39" s="159">
        <f t="shared" si="0"/>
        <v>18059555</v>
      </c>
      <c r="D39" s="159">
        <f>D40+D41+D71</f>
        <v>18027955</v>
      </c>
      <c r="E39" s="159">
        <f>E40+E41+E71</f>
        <v>1027478</v>
      </c>
      <c r="F39" s="159">
        <f>F40+F41+F71</f>
        <v>0</v>
      </c>
      <c r="G39" s="159">
        <f>G40+G41+G71</f>
        <v>31600</v>
      </c>
      <c r="H39" s="159">
        <f t="shared" si="1"/>
        <v>0</v>
      </c>
      <c r="I39" s="159">
        <f>I40+I41</f>
        <v>0</v>
      </c>
      <c r="J39" s="159">
        <f>J40+J41</f>
        <v>0</v>
      </c>
      <c r="K39" s="159">
        <f>K40+K41</f>
        <v>0</v>
      </c>
      <c r="L39" s="159">
        <f>L40+L41</f>
        <v>0</v>
      </c>
      <c r="M39" s="159">
        <f>M40+M41</f>
        <v>0</v>
      </c>
      <c r="N39" s="159">
        <f t="shared" si="2"/>
        <v>18059555</v>
      </c>
    </row>
    <row r="40" spans="1:14" ht="12.75">
      <c r="A40" s="60" t="s">
        <v>22</v>
      </c>
      <c r="B40" s="80" t="s">
        <v>23</v>
      </c>
      <c r="C40" s="147">
        <f t="shared" si="0"/>
        <v>1462423</v>
      </c>
      <c r="D40" s="143">
        <f>899454-8000+2000+62713+445258+2935+30963-4500</f>
        <v>1430823</v>
      </c>
      <c r="E40" s="143">
        <f>629042+46045+326915+2155+23321</f>
        <v>1027478</v>
      </c>
      <c r="F40" s="143"/>
      <c r="G40" s="143">
        <f>28000+3600</f>
        <v>31600</v>
      </c>
      <c r="H40" s="147">
        <f t="shared" si="1"/>
        <v>0</v>
      </c>
      <c r="I40" s="143"/>
      <c r="J40" s="143"/>
      <c r="K40" s="143"/>
      <c r="L40" s="143"/>
      <c r="M40" s="143"/>
      <c r="N40" s="159">
        <f t="shared" si="2"/>
        <v>1462423</v>
      </c>
    </row>
    <row r="41" spans="1:14" ht="25.5">
      <c r="A41" s="25" t="s">
        <v>47</v>
      </c>
      <c r="B41" s="26" t="s">
        <v>147</v>
      </c>
      <c r="C41" s="147">
        <f t="shared" si="0"/>
        <v>16597132</v>
      </c>
      <c r="D41" s="143">
        <f>D42+D43+D44+D45+D46+D47+D48+D49+D50+D52+D53+D54+D55+D56+D58+D59+D63+D66+D70+D64+D65+D57</f>
        <v>16597132</v>
      </c>
      <c r="E41" s="143"/>
      <c r="F41" s="143"/>
      <c r="G41" s="143"/>
      <c r="H41" s="147">
        <f t="shared" si="1"/>
        <v>0</v>
      </c>
      <c r="I41" s="143"/>
      <c r="J41" s="143"/>
      <c r="K41" s="143"/>
      <c r="L41" s="143"/>
      <c r="M41" s="143"/>
      <c r="N41" s="159">
        <f t="shared" si="2"/>
        <v>16597132</v>
      </c>
    </row>
    <row r="42" spans="1:14" ht="229.5">
      <c r="A42" s="25" t="s">
        <v>158</v>
      </c>
      <c r="B42" s="88" t="s">
        <v>431</v>
      </c>
      <c r="C42" s="147">
        <f t="shared" si="0"/>
        <v>6593388</v>
      </c>
      <c r="D42" s="143">
        <v>6593388</v>
      </c>
      <c r="E42" s="143"/>
      <c r="F42" s="143"/>
      <c r="G42" s="143"/>
      <c r="H42" s="147">
        <f t="shared" si="1"/>
        <v>0</v>
      </c>
      <c r="I42" s="143"/>
      <c r="J42" s="143"/>
      <c r="K42" s="143"/>
      <c r="L42" s="143"/>
      <c r="M42" s="143"/>
      <c r="N42" s="159">
        <f t="shared" si="2"/>
        <v>6593388</v>
      </c>
    </row>
    <row r="43" spans="1:14" ht="191.25">
      <c r="A43" s="25" t="s">
        <v>164</v>
      </c>
      <c r="B43" s="88" t="s">
        <v>430</v>
      </c>
      <c r="C43" s="147">
        <f t="shared" si="0"/>
        <v>37915</v>
      </c>
      <c r="D43" s="143">
        <v>37915</v>
      </c>
      <c r="E43" s="143"/>
      <c r="F43" s="143"/>
      <c r="G43" s="143"/>
      <c r="H43" s="147">
        <f t="shared" si="1"/>
        <v>0</v>
      </c>
      <c r="I43" s="143"/>
      <c r="J43" s="143"/>
      <c r="K43" s="143"/>
      <c r="L43" s="143"/>
      <c r="M43" s="143"/>
      <c r="N43" s="159">
        <f t="shared" si="2"/>
        <v>37915</v>
      </c>
    </row>
    <row r="44" spans="1:14" ht="216.75">
      <c r="A44" s="25" t="s">
        <v>165</v>
      </c>
      <c r="B44" s="88" t="s">
        <v>432</v>
      </c>
      <c r="C44" s="147">
        <f t="shared" si="0"/>
        <v>703181</v>
      </c>
      <c r="D44" s="143">
        <f>985062-281881</f>
        <v>703181</v>
      </c>
      <c r="E44" s="143"/>
      <c r="F44" s="143"/>
      <c r="G44" s="143"/>
      <c r="H44" s="147">
        <f t="shared" si="1"/>
        <v>0</v>
      </c>
      <c r="I44" s="143"/>
      <c r="J44" s="143"/>
      <c r="K44" s="143"/>
      <c r="L44" s="143"/>
      <c r="M44" s="143"/>
      <c r="N44" s="159">
        <f t="shared" si="2"/>
        <v>703181</v>
      </c>
    </row>
    <row r="45" spans="1:14" ht="357">
      <c r="A45" s="25" t="s">
        <v>166</v>
      </c>
      <c r="B45" s="20" t="s">
        <v>436</v>
      </c>
      <c r="C45" s="147">
        <f t="shared" si="0"/>
        <v>675226</v>
      </c>
      <c r="D45" s="143">
        <v>675226</v>
      </c>
      <c r="E45" s="143"/>
      <c r="F45" s="143"/>
      <c r="G45" s="143"/>
      <c r="H45" s="147">
        <f t="shared" si="1"/>
        <v>0</v>
      </c>
      <c r="I45" s="143"/>
      <c r="J45" s="143"/>
      <c r="K45" s="143"/>
      <c r="L45" s="143"/>
      <c r="M45" s="143"/>
      <c r="N45" s="159">
        <f t="shared" si="2"/>
        <v>675226</v>
      </c>
    </row>
    <row r="46" spans="1:14" ht="280.5">
      <c r="A46" s="25" t="s">
        <v>167</v>
      </c>
      <c r="B46" s="20" t="s">
        <v>1</v>
      </c>
      <c r="C46" s="147">
        <f t="shared" si="0"/>
        <v>208</v>
      </c>
      <c r="D46" s="143">
        <v>208</v>
      </c>
      <c r="E46" s="143"/>
      <c r="F46" s="143"/>
      <c r="G46" s="143"/>
      <c r="H46" s="147">
        <f t="shared" si="1"/>
        <v>0</v>
      </c>
      <c r="I46" s="143"/>
      <c r="J46" s="143"/>
      <c r="K46" s="143"/>
      <c r="L46" s="143"/>
      <c r="M46" s="143"/>
      <c r="N46" s="159">
        <f t="shared" si="2"/>
        <v>208</v>
      </c>
    </row>
    <row r="47" spans="1:14" ht="127.5">
      <c r="A47" s="25" t="s">
        <v>159</v>
      </c>
      <c r="B47" s="20" t="s">
        <v>11</v>
      </c>
      <c r="C47" s="147">
        <f t="shared" si="0"/>
        <v>65255</v>
      </c>
      <c r="D47" s="143">
        <f>70406-5151</f>
        <v>65255</v>
      </c>
      <c r="E47" s="143"/>
      <c r="F47" s="143"/>
      <c r="G47" s="143"/>
      <c r="H47" s="147">
        <f t="shared" si="1"/>
        <v>0</v>
      </c>
      <c r="I47" s="143"/>
      <c r="J47" s="143"/>
      <c r="K47" s="143"/>
      <c r="L47" s="143"/>
      <c r="M47" s="143"/>
      <c r="N47" s="159">
        <f t="shared" si="2"/>
        <v>65255</v>
      </c>
    </row>
    <row r="48" spans="1:14" ht="76.5">
      <c r="A48" s="25" t="s">
        <v>168</v>
      </c>
      <c r="B48" s="20" t="s">
        <v>433</v>
      </c>
      <c r="C48" s="147">
        <f t="shared" si="0"/>
        <v>325698</v>
      </c>
      <c r="D48" s="143">
        <v>325698</v>
      </c>
      <c r="E48" s="143"/>
      <c r="F48" s="143"/>
      <c r="G48" s="143"/>
      <c r="H48" s="147">
        <f t="shared" si="1"/>
        <v>0</v>
      </c>
      <c r="I48" s="143"/>
      <c r="J48" s="143"/>
      <c r="K48" s="143"/>
      <c r="L48" s="143"/>
      <c r="M48" s="143"/>
      <c r="N48" s="159">
        <f t="shared" si="2"/>
        <v>325698</v>
      </c>
    </row>
    <row r="49" spans="1:14" ht="76.5">
      <c r="A49" s="25" t="s">
        <v>169</v>
      </c>
      <c r="B49" s="20" t="s">
        <v>434</v>
      </c>
      <c r="C49" s="147">
        <f t="shared" si="0"/>
        <v>210</v>
      </c>
      <c r="D49" s="143">
        <v>210</v>
      </c>
      <c r="E49" s="143"/>
      <c r="F49" s="143"/>
      <c r="G49" s="143"/>
      <c r="H49" s="147">
        <f t="shared" si="1"/>
        <v>0</v>
      </c>
      <c r="I49" s="143"/>
      <c r="J49" s="143"/>
      <c r="K49" s="143"/>
      <c r="L49" s="143"/>
      <c r="M49" s="143"/>
      <c r="N49" s="159">
        <f t="shared" si="2"/>
        <v>210</v>
      </c>
    </row>
    <row r="50" spans="1:14" ht="63.75">
      <c r="A50" s="25" t="s">
        <v>170</v>
      </c>
      <c r="B50" s="20" t="s">
        <v>435</v>
      </c>
      <c r="C50" s="147">
        <f t="shared" si="0"/>
        <v>45036</v>
      </c>
      <c r="D50" s="143">
        <f>63603-18567</f>
        <v>45036</v>
      </c>
      <c r="E50" s="143"/>
      <c r="F50" s="143"/>
      <c r="G50" s="143"/>
      <c r="H50" s="147">
        <f t="shared" si="1"/>
        <v>0</v>
      </c>
      <c r="I50" s="143"/>
      <c r="J50" s="143"/>
      <c r="K50" s="143"/>
      <c r="L50" s="143"/>
      <c r="M50" s="143"/>
      <c r="N50" s="159">
        <f t="shared" si="2"/>
        <v>45036</v>
      </c>
    </row>
    <row r="51" spans="1:14" ht="25.5" hidden="1">
      <c r="A51" s="25" t="s">
        <v>126</v>
      </c>
      <c r="B51" s="16" t="s">
        <v>243</v>
      </c>
      <c r="C51" s="147">
        <f t="shared" si="0"/>
        <v>0</v>
      </c>
      <c r="D51" s="143"/>
      <c r="E51" s="143"/>
      <c r="F51" s="143"/>
      <c r="G51" s="143"/>
      <c r="H51" s="147">
        <f t="shared" si="1"/>
        <v>0</v>
      </c>
      <c r="I51" s="143"/>
      <c r="J51" s="143"/>
      <c r="K51" s="143"/>
      <c r="L51" s="143"/>
      <c r="M51" s="143"/>
      <c r="N51" s="159">
        <f t="shared" si="2"/>
        <v>0</v>
      </c>
    </row>
    <row r="52" spans="1:14" ht="12.75">
      <c r="A52" s="25" t="s">
        <v>127</v>
      </c>
      <c r="B52" s="16" t="s">
        <v>204</v>
      </c>
      <c r="C52" s="147">
        <f t="shared" si="0"/>
        <v>210003</v>
      </c>
      <c r="D52" s="143">
        <f>210003</f>
        <v>210003</v>
      </c>
      <c r="E52" s="143"/>
      <c r="F52" s="143"/>
      <c r="G52" s="143"/>
      <c r="H52" s="147">
        <f t="shared" si="1"/>
        <v>0</v>
      </c>
      <c r="I52" s="143"/>
      <c r="J52" s="143"/>
      <c r="K52" s="143"/>
      <c r="L52" s="143"/>
      <c r="M52" s="143"/>
      <c r="N52" s="159">
        <f t="shared" si="2"/>
        <v>210003</v>
      </c>
    </row>
    <row r="53" spans="1:14" ht="25.5">
      <c r="A53" s="25" t="s">
        <v>128</v>
      </c>
      <c r="B53" s="16" t="s">
        <v>191</v>
      </c>
      <c r="C53" s="147">
        <f t="shared" si="0"/>
        <v>1199829</v>
      </c>
      <c r="D53" s="143">
        <v>1199829</v>
      </c>
      <c r="E53" s="143"/>
      <c r="F53" s="143"/>
      <c r="G53" s="143"/>
      <c r="H53" s="147">
        <f t="shared" si="1"/>
        <v>0</v>
      </c>
      <c r="I53" s="143"/>
      <c r="J53" s="143"/>
      <c r="K53" s="143"/>
      <c r="L53" s="143"/>
      <c r="M53" s="143"/>
      <c r="N53" s="159">
        <f t="shared" si="2"/>
        <v>1199829</v>
      </c>
    </row>
    <row r="54" spans="1:14" ht="25.5">
      <c r="A54" s="25" t="s">
        <v>129</v>
      </c>
      <c r="B54" s="16" t="s">
        <v>103</v>
      </c>
      <c r="C54" s="147">
        <f t="shared" si="0"/>
        <v>2560205</v>
      </c>
      <c r="D54" s="143">
        <f>2560205</f>
        <v>2560205</v>
      </c>
      <c r="E54" s="143"/>
      <c r="F54" s="143"/>
      <c r="G54" s="143"/>
      <c r="H54" s="147">
        <f t="shared" si="1"/>
        <v>0</v>
      </c>
      <c r="I54" s="143"/>
      <c r="J54" s="143"/>
      <c r="K54" s="143"/>
      <c r="L54" s="143"/>
      <c r="M54" s="143"/>
      <c r="N54" s="159">
        <f t="shared" si="2"/>
        <v>2560205</v>
      </c>
    </row>
    <row r="55" spans="1:14" ht="25.5">
      <c r="A55" s="25" t="s">
        <v>89</v>
      </c>
      <c r="B55" s="79" t="s">
        <v>172</v>
      </c>
      <c r="C55" s="147">
        <f t="shared" si="0"/>
        <v>443490</v>
      </c>
      <c r="D55" s="143">
        <v>443490</v>
      </c>
      <c r="E55" s="143"/>
      <c r="F55" s="143"/>
      <c r="G55" s="143"/>
      <c r="H55" s="147">
        <f t="shared" si="1"/>
        <v>0</v>
      </c>
      <c r="I55" s="143"/>
      <c r="J55" s="143"/>
      <c r="K55" s="143"/>
      <c r="L55" s="143"/>
      <c r="M55" s="143"/>
      <c r="N55" s="159">
        <f t="shared" si="2"/>
        <v>443490</v>
      </c>
    </row>
    <row r="56" spans="1:14" ht="12.75">
      <c r="A56" s="25" t="s">
        <v>233</v>
      </c>
      <c r="B56" s="79" t="s">
        <v>171</v>
      </c>
      <c r="C56" s="147">
        <f t="shared" si="0"/>
        <v>1394587</v>
      </c>
      <c r="D56" s="143">
        <f>1394587</f>
        <v>1394587</v>
      </c>
      <c r="E56" s="143"/>
      <c r="F56" s="143"/>
      <c r="G56" s="143"/>
      <c r="H56" s="147">
        <f t="shared" si="1"/>
        <v>0</v>
      </c>
      <c r="I56" s="143"/>
      <c r="J56" s="143"/>
      <c r="K56" s="143"/>
      <c r="L56" s="143"/>
      <c r="M56" s="143"/>
      <c r="N56" s="159">
        <f t="shared" si="2"/>
        <v>1394587</v>
      </c>
    </row>
    <row r="57" spans="1:14" ht="12.75">
      <c r="A57" s="25" t="s">
        <v>419</v>
      </c>
      <c r="B57" s="102" t="s">
        <v>420</v>
      </c>
      <c r="C57" s="147">
        <f t="shared" si="0"/>
        <v>74332</v>
      </c>
      <c r="D57" s="143">
        <f>74332</f>
        <v>74332</v>
      </c>
      <c r="E57" s="143"/>
      <c r="F57" s="143"/>
      <c r="G57" s="143"/>
      <c r="H57" s="147"/>
      <c r="I57" s="143"/>
      <c r="J57" s="143"/>
      <c r="K57" s="143"/>
      <c r="L57" s="143"/>
      <c r="M57" s="143"/>
      <c r="N57" s="159">
        <f t="shared" si="2"/>
        <v>74332</v>
      </c>
    </row>
    <row r="58" spans="1:14" ht="25.5">
      <c r="A58" s="25" t="s">
        <v>173</v>
      </c>
      <c r="B58" s="79" t="s">
        <v>205</v>
      </c>
      <c r="C58" s="147">
        <f t="shared" si="0"/>
        <v>726081</v>
      </c>
      <c r="D58" s="143">
        <v>726081</v>
      </c>
      <c r="E58" s="143"/>
      <c r="F58" s="143"/>
      <c r="G58" s="143"/>
      <c r="H58" s="147">
        <f t="shared" si="1"/>
        <v>0</v>
      </c>
      <c r="I58" s="143"/>
      <c r="J58" s="143"/>
      <c r="K58" s="143"/>
      <c r="L58" s="143"/>
      <c r="M58" s="143"/>
      <c r="N58" s="159">
        <f t="shared" si="2"/>
        <v>726081</v>
      </c>
    </row>
    <row r="59" spans="1:14" ht="38.25">
      <c r="A59" s="24" t="s">
        <v>90</v>
      </c>
      <c r="B59" s="79" t="s">
        <v>148</v>
      </c>
      <c r="C59" s="147">
        <f t="shared" si="0"/>
        <v>351162</v>
      </c>
      <c r="D59" s="143">
        <f>D61+D62</f>
        <v>351162</v>
      </c>
      <c r="E59" s="143"/>
      <c r="F59" s="143"/>
      <c r="G59" s="143"/>
      <c r="H59" s="147">
        <f t="shared" si="1"/>
        <v>0</v>
      </c>
      <c r="I59" s="143"/>
      <c r="J59" s="143"/>
      <c r="K59" s="143"/>
      <c r="L59" s="143"/>
      <c r="M59" s="143"/>
      <c r="N59" s="159">
        <f t="shared" si="2"/>
        <v>351162</v>
      </c>
    </row>
    <row r="60" spans="1:14" ht="12.75">
      <c r="A60" s="24"/>
      <c r="B60" s="79" t="s">
        <v>145</v>
      </c>
      <c r="C60" s="147">
        <f t="shared" si="0"/>
        <v>0</v>
      </c>
      <c r="D60" s="143"/>
      <c r="E60" s="143"/>
      <c r="F60" s="143"/>
      <c r="G60" s="143"/>
      <c r="H60" s="147">
        <f t="shared" si="1"/>
        <v>0</v>
      </c>
      <c r="I60" s="143"/>
      <c r="J60" s="143"/>
      <c r="K60" s="143"/>
      <c r="L60" s="143"/>
      <c r="M60" s="143"/>
      <c r="N60" s="159">
        <f t="shared" si="2"/>
        <v>0</v>
      </c>
    </row>
    <row r="61" spans="1:14" ht="63.75">
      <c r="A61" s="24"/>
      <c r="B61" s="79" t="s">
        <v>206</v>
      </c>
      <c r="C61" s="147">
        <f t="shared" si="0"/>
        <v>349529</v>
      </c>
      <c r="D61" s="143">
        <v>349529</v>
      </c>
      <c r="E61" s="143"/>
      <c r="F61" s="143"/>
      <c r="G61" s="143"/>
      <c r="H61" s="147">
        <f t="shared" si="1"/>
        <v>0</v>
      </c>
      <c r="I61" s="143"/>
      <c r="J61" s="143"/>
      <c r="K61" s="143"/>
      <c r="L61" s="143"/>
      <c r="M61" s="143"/>
      <c r="N61" s="159">
        <f t="shared" si="2"/>
        <v>349529</v>
      </c>
    </row>
    <row r="62" spans="1:14" ht="25.5">
      <c r="A62" s="24"/>
      <c r="B62" s="79" t="s">
        <v>196</v>
      </c>
      <c r="C62" s="147">
        <f t="shared" si="0"/>
        <v>1633</v>
      </c>
      <c r="D62" s="143">
        <v>1633</v>
      </c>
      <c r="E62" s="143"/>
      <c r="F62" s="143"/>
      <c r="G62" s="143"/>
      <c r="H62" s="147">
        <f t="shared" si="1"/>
        <v>0</v>
      </c>
      <c r="I62" s="143"/>
      <c r="J62" s="143"/>
      <c r="K62" s="143"/>
      <c r="L62" s="143"/>
      <c r="M62" s="143"/>
      <c r="N62" s="159">
        <f t="shared" si="2"/>
        <v>1633</v>
      </c>
    </row>
    <row r="63" spans="1:14" ht="25.5">
      <c r="A63" s="25" t="s">
        <v>48</v>
      </c>
      <c r="B63" s="16" t="s">
        <v>197</v>
      </c>
      <c r="C63" s="147">
        <f t="shared" si="0"/>
        <v>49003</v>
      </c>
      <c r="D63" s="143">
        <f>15230+21000+15773-3000</f>
        <v>49003</v>
      </c>
      <c r="E63" s="143"/>
      <c r="F63" s="143"/>
      <c r="G63" s="143"/>
      <c r="H63" s="147">
        <f t="shared" si="1"/>
        <v>0</v>
      </c>
      <c r="I63" s="143"/>
      <c r="J63" s="143"/>
      <c r="K63" s="143"/>
      <c r="L63" s="143"/>
      <c r="M63" s="143"/>
      <c r="N63" s="159">
        <f t="shared" si="2"/>
        <v>49003</v>
      </c>
    </row>
    <row r="64" spans="1:14" ht="25.5">
      <c r="A64" s="25" t="s">
        <v>160</v>
      </c>
      <c r="B64" s="184" t="s">
        <v>417</v>
      </c>
      <c r="C64" s="147">
        <f>D64+G64</f>
        <v>22200</v>
      </c>
      <c r="D64" s="143">
        <v>22200</v>
      </c>
      <c r="E64" s="143"/>
      <c r="F64" s="143"/>
      <c r="G64" s="143"/>
      <c r="H64" s="147">
        <f>I64+L64</f>
        <v>0</v>
      </c>
      <c r="I64" s="143"/>
      <c r="J64" s="143"/>
      <c r="K64" s="143"/>
      <c r="L64" s="143"/>
      <c r="M64" s="143"/>
      <c r="N64" s="159">
        <f>C64+H64</f>
        <v>22200</v>
      </c>
    </row>
    <row r="65" spans="1:14" ht="25.5" hidden="1">
      <c r="A65" s="89" t="s">
        <v>321</v>
      </c>
      <c r="B65" s="79" t="s">
        <v>392</v>
      </c>
      <c r="C65" s="155">
        <f t="shared" si="0"/>
        <v>0</v>
      </c>
      <c r="D65" s="143"/>
      <c r="E65" s="143"/>
      <c r="F65" s="143"/>
      <c r="G65" s="143"/>
      <c r="H65" s="147"/>
      <c r="I65" s="143"/>
      <c r="J65" s="143"/>
      <c r="K65" s="143"/>
      <c r="L65" s="143"/>
      <c r="M65" s="143"/>
      <c r="N65" s="159">
        <f t="shared" si="2"/>
        <v>0</v>
      </c>
    </row>
    <row r="66" spans="1:14" ht="76.5" hidden="1">
      <c r="A66" s="45" t="s">
        <v>318</v>
      </c>
      <c r="B66" s="52" t="s">
        <v>320</v>
      </c>
      <c r="C66" s="147">
        <f t="shared" si="0"/>
        <v>0</v>
      </c>
      <c r="D66" s="143">
        <f>D68+D69</f>
        <v>0</v>
      </c>
      <c r="E66" s="143"/>
      <c r="F66" s="143"/>
      <c r="G66" s="143"/>
      <c r="H66" s="147">
        <f t="shared" si="1"/>
        <v>0</v>
      </c>
      <c r="I66" s="143"/>
      <c r="J66" s="143"/>
      <c r="K66" s="143"/>
      <c r="L66" s="143"/>
      <c r="M66" s="143"/>
      <c r="N66" s="159">
        <f t="shared" si="2"/>
        <v>0</v>
      </c>
    </row>
    <row r="67" spans="1:14" ht="12.75" hidden="1">
      <c r="A67" s="24"/>
      <c r="B67" s="79" t="s">
        <v>145</v>
      </c>
      <c r="C67" s="147"/>
      <c r="D67" s="143"/>
      <c r="E67" s="143"/>
      <c r="F67" s="143"/>
      <c r="G67" s="143"/>
      <c r="H67" s="147"/>
      <c r="I67" s="143"/>
      <c r="J67" s="143"/>
      <c r="K67" s="143"/>
      <c r="L67" s="143"/>
      <c r="M67" s="143"/>
      <c r="N67" s="159"/>
    </row>
    <row r="68" spans="1:14" ht="63.75" hidden="1">
      <c r="A68" s="24"/>
      <c r="B68" s="79" t="s">
        <v>206</v>
      </c>
      <c r="C68" s="147">
        <f>D68+G68</f>
        <v>0</v>
      </c>
      <c r="D68" s="143"/>
      <c r="E68" s="143"/>
      <c r="F68" s="143"/>
      <c r="G68" s="143"/>
      <c r="H68" s="147">
        <f>I68+L68</f>
        <v>0</v>
      </c>
      <c r="I68" s="143"/>
      <c r="J68" s="143"/>
      <c r="K68" s="143"/>
      <c r="L68" s="143"/>
      <c r="M68" s="143"/>
      <c r="N68" s="159">
        <f>C68+H68</f>
        <v>0</v>
      </c>
    </row>
    <row r="69" spans="1:14" ht="25.5" hidden="1">
      <c r="A69" s="24"/>
      <c r="B69" s="79" t="s">
        <v>196</v>
      </c>
      <c r="C69" s="147">
        <f>D69+G69</f>
        <v>0</v>
      </c>
      <c r="D69" s="143"/>
      <c r="E69" s="143"/>
      <c r="F69" s="143"/>
      <c r="G69" s="143"/>
      <c r="H69" s="147">
        <f>I69+L69</f>
        <v>0</v>
      </c>
      <c r="I69" s="143"/>
      <c r="J69" s="143"/>
      <c r="K69" s="143"/>
      <c r="L69" s="143"/>
      <c r="M69" s="143"/>
      <c r="N69" s="159">
        <f>C69+H69</f>
        <v>0</v>
      </c>
    </row>
    <row r="70" spans="1:14" ht="25.5">
      <c r="A70" s="25" t="s">
        <v>120</v>
      </c>
      <c r="B70" s="79" t="s">
        <v>208</v>
      </c>
      <c r="C70" s="147">
        <f t="shared" si="0"/>
        <v>1120123</v>
      </c>
      <c r="D70" s="143">
        <f>1120123</f>
        <v>1120123</v>
      </c>
      <c r="E70" s="143"/>
      <c r="F70" s="143"/>
      <c r="G70" s="143"/>
      <c r="H70" s="147">
        <f t="shared" si="1"/>
        <v>0</v>
      </c>
      <c r="I70" s="143"/>
      <c r="J70" s="143"/>
      <c r="K70" s="143"/>
      <c r="L70" s="143"/>
      <c r="M70" s="143"/>
      <c r="N70" s="159">
        <f t="shared" si="2"/>
        <v>1120123</v>
      </c>
    </row>
    <row r="71" spans="1:14" ht="38.25" hidden="1">
      <c r="A71" s="45" t="s">
        <v>71</v>
      </c>
      <c r="B71" s="26" t="s">
        <v>446</v>
      </c>
      <c r="C71" s="147">
        <f t="shared" si="0"/>
        <v>0</v>
      </c>
      <c r="D71" s="143"/>
      <c r="E71" s="143"/>
      <c r="F71" s="143"/>
      <c r="G71" s="143"/>
      <c r="H71" s="147"/>
      <c r="I71" s="143"/>
      <c r="J71" s="143"/>
      <c r="K71" s="143"/>
      <c r="L71" s="143"/>
      <c r="M71" s="143"/>
      <c r="N71" s="159">
        <f t="shared" si="2"/>
        <v>0</v>
      </c>
    </row>
    <row r="72" spans="1:14" s="124" customFormat="1" ht="38.25">
      <c r="A72" s="140" t="s">
        <v>376</v>
      </c>
      <c r="B72" s="141" t="s">
        <v>350</v>
      </c>
      <c r="C72" s="159">
        <f t="shared" si="0"/>
        <v>531311</v>
      </c>
      <c r="D72" s="159">
        <f>D73+D74+D75</f>
        <v>489711</v>
      </c>
      <c r="E72" s="159">
        <f>E73+E74+E75</f>
        <v>102911</v>
      </c>
      <c r="F72" s="159">
        <f>F73+F74+F75</f>
        <v>224000</v>
      </c>
      <c r="G72" s="159">
        <f>G73+G74+G75</f>
        <v>41600</v>
      </c>
      <c r="H72" s="159">
        <f t="shared" si="1"/>
        <v>0</v>
      </c>
      <c r="I72" s="159">
        <f>I73+I74</f>
        <v>0</v>
      </c>
      <c r="J72" s="159">
        <f>J73+J74</f>
        <v>0</v>
      </c>
      <c r="K72" s="159">
        <f>K73+K74</f>
        <v>0</v>
      </c>
      <c r="L72" s="159">
        <f>L73+L74</f>
        <v>0</v>
      </c>
      <c r="M72" s="159">
        <f>M73+M74</f>
        <v>0</v>
      </c>
      <c r="N72" s="159">
        <f t="shared" si="2"/>
        <v>531311</v>
      </c>
    </row>
    <row r="73" spans="1:14" ht="12.75">
      <c r="A73" s="60" t="s">
        <v>22</v>
      </c>
      <c r="B73" s="80" t="s">
        <v>23</v>
      </c>
      <c r="C73" s="147">
        <f t="shared" si="0"/>
        <v>196311</v>
      </c>
      <c r="D73" s="143">
        <f>103143+4767+33409+906+11686+800</f>
        <v>154711</v>
      </c>
      <c r="E73" s="143">
        <f>65637+3500+24529+665+8580</f>
        <v>102911</v>
      </c>
      <c r="F73" s="143"/>
      <c r="G73" s="143">
        <f>38000+3600</f>
        <v>41600</v>
      </c>
      <c r="H73" s="147">
        <f t="shared" si="1"/>
        <v>0</v>
      </c>
      <c r="I73" s="143"/>
      <c r="J73" s="143"/>
      <c r="K73" s="143"/>
      <c r="L73" s="143"/>
      <c r="M73" s="143"/>
      <c r="N73" s="159">
        <f t="shared" si="2"/>
        <v>196311</v>
      </c>
    </row>
    <row r="74" spans="1:14" ht="12.75">
      <c r="A74" s="25">
        <v>100203</v>
      </c>
      <c r="B74" s="16" t="s">
        <v>53</v>
      </c>
      <c r="C74" s="147">
        <f t="shared" si="0"/>
        <v>325000</v>
      </c>
      <c r="D74" s="143">
        <f>275000+50000</f>
        <v>325000</v>
      </c>
      <c r="E74" s="143"/>
      <c r="F74" s="143">
        <f>174000+50000</f>
        <v>224000</v>
      </c>
      <c r="G74" s="143"/>
      <c r="H74" s="147">
        <f t="shared" si="1"/>
        <v>0</v>
      </c>
      <c r="I74" s="143"/>
      <c r="J74" s="143"/>
      <c r="K74" s="143"/>
      <c r="L74" s="143"/>
      <c r="M74" s="143"/>
      <c r="N74" s="159">
        <f t="shared" si="2"/>
        <v>325000</v>
      </c>
    </row>
    <row r="75" spans="1:14" ht="38.25">
      <c r="A75" s="45" t="s">
        <v>71</v>
      </c>
      <c r="B75" s="26" t="s">
        <v>446</v>
      </c>
      <c r="C75" s="147">
        <f t="shared" si="0"/>
        <v>10000</v>
      </c>
      <c r="D75" s="143">
        <v>10000</v>
      </c>
      <c r="E75" s="143"/>
      <c r="F75" s="143"/>
      <c r="G75" s="143"/>
      <c r="H75" s="147"/>
      <c r="I75" s="143"/>
      <c r="J75" s="143"/>
      <c r="K75" s="143"/>
      <c r="L75" s="143"/>
      <c r="M75" s="143"/>
      <c r="N75" s="159">
        <f t="shared" si="2"/>
        <v>10000</v>
      </c>
    </row>
    <row r="76" spans="1:14" s="124" customFormat="1" ht="25.5">
      <c r="A76" s="140" t="s">
        <v>274</v>
      </c>
      <c r="B76" s="141" t="s">
        <v>351</v>
      </c>
      <c r="C76" s="159">
        <f t="shared" si="0"/>
        <v>306140</v>
      </c>
      <c r="D76" s="159">
        <f>D77</f>
        <v>296140</v>
      </c>
      <c r="E76" s="159">
        <f>E77</f>
        <v>208116</v>
      </c>
      <c r="F76" s="159">
        <f>F77</f>
        <v>0</v>
      </c>
      <c r="G76" s="159">
        <f>G77</f>
        <v>10000</v>
      </c>
      <c r="H76" s="179">
        <f t="shared" si="1"/>
        <v>3308326.02</v>
      </c>
      <c r="I76" s="179">
        <f>I77+I78</f>
        <v>3308326.02</v>
      </c>
      <c r="J76" s="159">
        <f>J77</f>
        <v>0</v>
      </c>
      <c r="K76" s="159">
        <f>K77</f>
        <v>0</v>
      </c>
      <c r="L76" s="159">
        <f>L77</f>
        <v>0</v>
      </c>
      <c r="M76" s="159">
        <f>M77</f>
        <v>0</v>
      </c>
      <c r="N76" s="159">
        <f t="shared" si="2"/>
        <v>3614466.02</v>
      </c>
    </row>
    <row r="77" spans="1:14" ht="12.75">
      <c r="A77" s="60" t="s">
        <v>22</v>
      </c>
      <c r="B77" s="80" t="s">
        <v>23</v>
      </c>
      <c r="C77" s="147">
        <f t="shared" si="0"/>
        <v>306140</v>
      </c>
      <c r="D77" s="143">
        <f>185960-1500+12377+83449+568+15286</f>
        <v>296140</v>
      </c>
      <c r="E77" s="143">
        <f>126707+9087+61269+417+10636</f>
        <v>208116</v>
      </c>
      <c r="F77" s="143"/>
      <c r="G77" s="143">
        <f>3600+6400</f>
        <v>10000</v>
      </c>
      <c r="H77" s="147">
        <f t="shared" si="1"/>
        <v>0</v>
      </c>
      <c r="I77" s="143"/>
      <c r="J77" s="143"/>
      <c r="K77" s="143"/>
      <c r="L77" s="143"/>
      <c r="M77" s="143"/>
      <c r="N77" s="159">
        <f t="shared" si="2"/>
        <v>306140</v>
      </c>
    </row>
    <row r="78" spans="1:14" s="17" customFormat="1" ht="76.5">
      <c r="A78" s="118" t="s">
        <v>401</v>
      </c>
      <c r="B78" s="79" t="s">
        <v>402</v>
      </c>
      <c r="C78" s="147">
        <f t="shared" si="0"/>
        <v>0</v>
      </c>
      <c r="D78" s="147"/>
      <c r="E78" s="147"/>
      <c r="F78" s="147"/>
      <c r="G78" s="147"/>
      <c r="H78" s="177">
        <f t="shared" si="1"/>
        <v>3308326.02</v>
      </c>
      <c r="I78" s="177">
        <v>3308326.02</v>
      </c>
      <c r="J78" s="147"/>
      <c r="K78" s="147"/>
      <c r="L78" s="147"/>
      <c r="M78" s="147"/>
      <c r="N78" s="180">
        <f t="shared" si="2"/>
        <v>3308326.02</v>
      </c>
    </row>
    <row r="79" spans="1:14" ht="12.75">
      <c r="A79" s="25"/>
      <c r="B79" s="16" t="s">
        <v>73</v>
      </c>
      <c r="C79" s="147">
        <f t="shared" si="0"/>
        <v>77346061</v>
      </c>
      <c r="D79" s="143">
        <f>D10+D25+D39+D72+D76</f>
        <v>76887411</v>
      </c>
      <c r="E79" s="143">
        <f>E10+E25+E39+E72+E76</f>
        <v>34090109</v>
      </c>
      <c r="F79" s="143">
        <f>F10+F25+F39+F72+F76</f>
        <v>5841524</v>
      </c>
      <c r="G79" s="143">
        <f>G10+G25+G39+G72+G76</f>
        <v>458650</v>
      </c>
      <c r="H79" s="177">
        <f t="shared" si="1"/>
        <v>5778005.02</v>
      </c>
      <c r="I79" s="186">
        <f>I10+I25+I39+I72+I76</f>
        <v>5738005.02</v>
      </c>
      <c r="J79" s="143">
        <f>J10+J25+J39+J72+J76</f>
        <v>457622</v>
      </c>
      <c r="K79" s="143">
        <f>K10+K25+K39+K72+K76</f>
        <v>92222</v>
      </c>
      <c r="L79" s="143">
        <f>L10+L25+L39+L72+L76</f>
        <v>40000</v>
      </c>
      <c r="M79" s="143">
        <f>M10+M25+M39+M72+M76</f>
        <v>0</v>
      </c>
      <c r="N79" s="179">
        <f t="shared" si="2"/>
        <v>83124066.02</v>
      </c>
    </row>
    <row r="80" ht="14.25">
      <c r="A80" s="44"/>
    </row>
    <row r="81" spans="1:10" s="32" customFormat="1" ht="15" customHeight="1">
      <c r="A81" s="32" t="s">
        <v>239</v>
      </c>
      <c r="B81" s="190"/>
      <c r="C81" s="190"/>
      <c r="D81" s="190"/>
      <c r="E81" s="190"/>
      <c r="J81" s="32" t="s">
        <v>442</v>
      </c>
    </row>
    <row r="82" ht="14.25">
      <c r="A82" s="44"/>
    </row>
    <row r="83" ht="14.25">
      <c r="A83" s="44"/>
    </row>
    <row r="84" spans="1:8" ht="14.25">
      <c r="A84" s="44"/>
      <c r="H84" s="53"/>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row r="388" ht="14.25">
      <c r="A388" s="44"/>
    </row>
    <row r="389" ht="14.25">
      <c r="A389" s="44"/>
    </row>
    <row r="390" ht="14.25">
      <c r="A390" s="44"/>
    </row>
    <row r="391" ht="14.25">
      <c r="A391" s="44"/>
    </row>
    <row r="392" ht="14.25">
      <c r="A392" s="44"/>
    </row>
    <row r="393" ht="14.25">
      <c r="A393" s="44"/>
    </row>
    <row r="394" ht="14.25">
      <c r="A394" s="44"/>
    </row>
    <row r="395" ht="14.25">
      <c r="A395" s="44"/>
    </row>
    <row r="396" ht="14.25">
      <c r="A396" s="44"/>
    </row>
    <row r="397" ht="14.25">
      <c r="A397" s="44"/>
    </row>
    <row r="398" ht="14.25">
      <c r="A398" s="44"/>
    </row>
    <row r="399" ht="14.25">
      <c r="A399" s="44"/>
    </row>
    <row r="400" ht="14.25">
      <c r="A400" s="44"/>
    </row>
    <row r="401" ht="14.25">
      <c r="A401" s="44"/>
    </row>
    <row r="402" ht="14.25">
      <c r="A402" s="44"/>
    </row>
    <row r="403" ht="14.25">
      <c r="A403" s="44"/>
    </row>
    <row r="404" ht="14.25">
      <c r="A404" s="44"/>
    </row>
    <row r="405" ht="14.25">
      <c r="A405" s="44"/>
    </row>
  </sheetData>
  <mergeCells count="7">
    <mergeCell ref="B7:B8"/>
    <mergeCell ref="A5:M5"/>
    <mergeCell ref="L6:N6"/>
    <mergeCell ref="N7:N8"/>
    <mergeCell ref="A7:A8"/>
    <mergeCell ref="C7:G7"/>
    <mergeCell ref="H7:M7"/>
  </mergeCells>
  <printOptions/>
  <pageMargins left="0.9055118110236221" right="0.35433070866141736" top="0.5511811023622047" bottom="0.35433070866141736" header="0.35433070866141736" footer="0.3937007874015748"/>
  <pageSetup fitToHeight="5" fitToWidth="1" horizontalDpi="600" verticalDpi="600" orientation="landscape" paperSize="9" scale="7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2006-12-15T11:54:47Z</cp:lastPrinted>
  <dcterms:created xsi:type="dcterms:W3CDTF">2002-01-02T08:54:19Z</dcterms:created>
  <dcterms:modified xsi:type="dcterms:W3CDTF">2006-12-28T11:30:13Z</dcterms:modified>
  <cp:category/>
  <cp:version/>
  <cp:contentType/>
  <cp:contentStatus/>
</cp:coreProperties>
</file>