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1"/>
  </bookViews>
  <sheets>
    <sheet name="Зміни до фінупр." sheetId="1" r:id="rId1"/>
    <sheet name="рішення №10" sheetId="2" r:id="rId2"/>
    <sheet name="додаток 2" sheetId="3" r:id="rId3"/>
  </sheets>
  <definedNames>
    <definedName name="_xlnm.Print_Titles" localSheetId="2">'додаток 2'!$10:$10</definedName>
    <definedName name="_xlnm.Print_Titles" localSheetId="1">'рішення №10'!$10:$10</definedName>
    <definedName name="_xlnm.Print_Area" localSheetId="0">'Зміни до фінупр.'!$A$1:$I$122</definedName>
    <definedName name="_xlnm.Print_Area" localSheetId="1">'рішення №10'!$A$1:$G$130</definedName>
  </definedNames>
  <calcPr fullCalcOnLoad="1"/>
</workbook>
</file>

<file path=xl/sharedStrings.xml><?xml version="1.0" encoding="utf-8"?>
<sst xmlns="http://schemas.openxmlformats.org/spreadsheetml/2006/main" count="666" uniqueCount="193">
  <si>
    <t>Додаток 3</t>
  </si>
  <si>
    <t>до Програми соціально-економічного і культурного розвитку м. Запоріжжя на 2007 рік</t>
  </si>
  <si>
    <t xml:space="preserve">Перелік об'єктів, видатки на які у 2007 році </t>
  </si>
  <si>
    <t xml:space="preserve">планується проводити за рахунок коштів бюджету розвитку </t>
  </si>
  <si>
    <t>грн.</t>
  </si>
  <si>
    <t>КВК</t>
  </si>
  <si>
    <t>Назва головного розпорядника коштів</t>
  </si>
  <si>
    <t>Назва об'єктів відповідно до проектно-кошторисної документації, тощо</t>
  </si>
  <si>
    <t>Загальний обсяг фінансування будівництва (інших капітальних видатків)</t>
  </si>
  <si>
    <t>Відсоток завершеності будівництва об'єктів на майбутні роки</t>
  </si>
  <si>
    <t>Всього видатків на завершення будівництва, освоєння об'єктів на майбутні роки</t>
  </si>
  <si>
    <t>КТКВ</t>
  </si>
  <si>
    <t>Погашення основної суми боргу за запозичення у формі V випуску облігацій внутрішньої місцевої позики</t>
  </si>
  <si>
    <t>230</t>
  </si>
  <si>
    <t>Головне економічне управління міської ради</t>
  </si>
  <si>
    <t>150101</t>
  </si>
  <si>
    <t>Капітальні вкладення</t>
  </si>
  <si>
    <t xml:space="preserve">Будівництво автотранспортної магістралі через річку Дніпро у м.Запоріжжя </t>
  </si>
  <si>
    <t>в тому числі за рахунок</t>
  </si>
  <si>
    <t>субвенції з державного бюджету</t>
  </si>
  <si>
    <t>коштів бюджету міста</t>
  </si>
  <si>
    <t xml:space="preserve">Реконструкція стадіону по вул. Валерія Лобановського </t>
  </si>
  <si>
    <t>Будівництво мостового переходу через залізницю в районі вул. Анголенко та автодороги по вул. Залізничній (проектні роботи, відселення, компенсаційні виплати)</t>
  </si>
  <si>
    <t>Реконструкція будівлі по площі Пушкіна,2 (проектні та будівельні роботи)</t>
  </si>
  <si>
    <t>Реконструкція та розширення центральних очисних споруд каналізації Правобережної частини м.Запоріжжя. 1 етап. Реконструкція споруд по обробці осаду центральних очисних споруд № 2 (ЦОС-2) м.Запоріжжя</t>
  </si>
  <si>
    <t>Головний каналізаційний колектор Лівобережної частини м.Запоріжжя (проектні роботи)</t>
  </si>
  <si>
    <t>Реконструкція зливової каналізації на ділянці Набережної магістралі біля залізничного переїзду (проектні роботи)</t>
  </si>
  <si>
    <t>Реконструкція водогону Д-800мм в балці "Панська" у районі кладовища „Бугайова”, м. Запоріжжя</t>
  </si>
  <si>
    <t>Будівництво мережі  електрозабезпечення селища Мостозагін-7</t>
  </si>
  <si>
    <t>Реконструкція фасаду будівлі Ленінської районної адміністрації за адресою вул.Бородінська, 1-А</t>
  </si>
  <si>
    <t>Будівництво 2-х житлових будинків у сел. Павло-Кічкас, м. Запоріжжя (проектні роботи)</t>
  </si>
  <si>
    <t>Реконструкція центральної районної лікарні №1 м.Запоріжжя (Жовтневий район)</t>
  </si>
  <si>
    <t xml:space="preserve">Капітальні вкладення </t>
  </si>
  <si>
    <t>Реконструкція 3,4,5 поверхів будівлі по вул. Сорок років Радянської України, 41а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</si>
  <si>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</si>
  <si>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</si>
  <si>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 xml:space="preserve">Котельня по вул. Хакаська, 4, м.Запоріжжя - реконструкція вузла гарячого водопостачання із заміною баків-акумуляторів  </t>
  </si>
  <si>
    <t>Магістральна теплова мережа по вул. Артема, м.Запоріжжя - реконструкція</t>
  </si>
  <si>
    <t xml:space="preserve">Магістральна теплова мережа по вул. Героїв Сталінграда, м.Запоріжжя - реконструкція </t>
  </si>
  <si>
    <t xml:space="preserve">Магістральна мережа теплопостачання по вул. Новокузнецькій житлового масиву Південний, м.Запоріжжя - реконструкція (другий пусковий комплекс) - співфінансування за рахунок коштів бюджету міста </t>
  </si>
  <si>
    <r>
      <t>Магістральна мережа теплопостачання по вул. Новокузнецькій житлового масиву Південний, м.Запоріжжя - реконструкція (другий пусковий комплекс) -</t>
    </r>
    <r>
      <rPr>
        <b/>
        <sz val="11"/>
        <rFont val="Times New Roman"/>
        <family val="1"/>
      </rPr>
      <t xml:space="preserve"> субвенція з державного бюджету</t>
    </r>
  </si>
  <si>
    <t xml:space="preserve">Теплова мережа від теплофікаційної камери №6 до №8 по Південному шосе, м.Запоріжжя - реконструкція з улаштуванням дренажної каналізації з теплофікаційної камери №7 - співфінансування за рахунок коштів бюджету міста </t>
  </si>
  <si>
    <r>
      <t xml:space="preserve">Теплова мережа від теплофікаційної камери №6 до №8 по Південному шосе, м.Запоріжжя - реконструкція з улаштуванням дренажної каналізації з теплофікаційної камери №7 - </t>
    </r>
    <r>
      <rPr>
        <b/>
        <sz val="11"/>
        <rFont val="Times New Roman"/>
        <family val="1"/>
      </rPr>
      <t>субвенція з державного бюджету</t>
    </r>
  </si>
  <si>
    <t>Теплова мережа від теплофікаційної камери №6 до теплофікаційної камери №8 по вул. Південне шосе, м.Запоріжжя - реконструкція з улаштуванням дренажної каналізації з теплофікаційної камери №7 - співфінансування за рахунок коштів бюджету міста</t>
  </si>
  <si>
    <r>
      <t xml:space="preserve">Теплова мережа від теплофікаційної камери №6 до теплофікаційної камери №8 по вул. Південне шосе, м.Запоріжжя - реконструкція з улаштуванням дренажної каналізації з теплофікаційної камери №7 - </t>
    </r>
    <r>
      <rPr>
        <b/>
        <sz val="11"/>
        <rFont val="Times New Roman"/>
        <family val="1"/>
      </rPr>
      <t>субвенція з державного бюджету</t>
    </r>
  </si>
  <si>
    <t>Теплова мережа для підключення житлового масиву Північний до магістральних мереж котельні по вул. Карпенко-Карого, 23, м.Запоріжжя - будівництво - співфінансування за рахунок коштів бюджету міста</t>
  </si>
  <si>
    <r>
      <t xml:space="preserve">Теплова мережа для підключення житлового масиву Північний до магістральних мереж котельні по вул. Карпенко-Карого, 23, м.Запоріжжя - будівництво - </t>
    </r>
    <r>
      <rPr>
        <b/>
        <sz val="11"/>
        <rFont val="Times New Roman"/>
        <family val="1"/>
      </rPr>
      <t>субвенція з державного бюджету</t>
    </r>
  </si>
  <si>
    <t>150122</t>
  </si>
  <si>
    <t>Інвестиційні проекти</t>
  </si>
  <si>
    <t>Системи теплопостачання Орджонікідзевського, Жовтневого  районів, м. Запоріжжя - реконструкція теплових мереж по вул. Гагаріна, Яценка, Героїв Сталінграду (перший пусковий комплекс) - співфінансування за рахунок коштів бюджету міста</t>
  </si>
  <si>
    <r>
      <t xml:space="preserve">Системи теплопостачання Орджонікідзевського, Жовтневого  районів, м. Запоріжжя - реконструкція теплових мереж по вул. Гагаріна, Яценка, Героїв Сталінграду (перший пусковий комплекс) - </t>
    </r>
    <r>
      <rPr>
        <b/>
        <sz val="11"/>
        <rFont val="Times New Roman"/>
        <family val="1"/>
      </rPr>
      <t>субвенція з державного бюджету</t>
    </r>
  </si>
  <si>
    <t>Системи теплопостачання Орджонікідзевського, Жовтневого  районів м. Запоріжжя - реконструкція теплових мереж по вул. Гагаріна, Яценка, Героїв Сталінграда (другий пусковий комплекс)</t>
  </si>
  <si>
    <t>Котельні м.Запоріжжя - реконструкція систем електроживлення тягодуттєвих пристроїв котлоагрегатів</t>
  </si>
  <si>
    <t>Котельні м.Запоріжжя - реконструкція фільтрів хімводоочищення із заміною обмінного матеріалу на високоефективний катіоніт - співфінансування за рахунок коштів бюджету міста</t>
  </si>
  <si>
    <r>
      <t xml:space="preserve">Котельні м.Запоріжжя - реконструкція фільтрів хімводоочищення із заміною обмінного матеріалу на високоефективний катіоніт - </t>
    </r>
    <r>
      <rPr>
        <b/>
        <sz val="11"/>
        <rFont val="Times New Roman"/>
        <family val="1"/>
      </rPr>
      <t>субвенція з державного бюджету</t>
    </r>
  </si>
  <si>
    <t>Два 44-квартирних житлових будинків у с-щі Павло-Кічкас, м.Запоріжжя - будівництво</t>
  </si>
  <si>
    <r>
      <t xml:space="preserve">Два 44-квартирних житлових будинків у с-щі Павло-Кічкас, м.Запоріжжя - будівництво - </t>
    </r>
    <r>
      <rPr>
        <b/>
        <sz val="11"/>
        <rFont val="Times New Roman"/>
        <family val="1"/>
      </rPr>
      <t>субвенція з державного бюджету</t>
    </r>
  </si>
  <si>
    <t>Газифікація м.Запоріжжя Всього</t>
  </si>
  <si>
    <t>в тому числі</t>
  </si>
  <si>
    <t>Газифікація сел. Грабарі</t>
  </si>
  <si>
    <t xml:space="preserve">Газифікація сел. Скворцово </t>
  </si>
  <si>
    <t>Газифікація с/з "Дніпровський"</t>
  </si>
  <si>
    <t>Газифікація сел. Креміно</t>
  </si>
  <si>
    <t>Газифікація сел. Кринички (проектні та будівельні роботи)</t>
  </si>
  <si>
    <t>083</t>
  </si>
  <si>
    <t>Управління комунального господарства міської ради</t>
  </si>
  <si>
    <t xml:space="preserve">Реконструкція мереж зовнішнього освітлення згідно з Програмою "Світло - 2007-2009" </t>
  </si>
  <si>
    <t xml:space="preserve">Реконструкція пр. Леніна від вул. Кірова до залізничної станції „Запоріжжя-1” (проектні роботи та будівництво) </t>
  </si>
  <si>
    <t>Реконструкція території в районі пам'ятника Т.Г.Шевченко в Шевченківському районі (проектні та будівельні роботи)</t>
  </si>
  <si>
    <t>Реконструкція вул. Червоної (проектні та будівельні роботи)</t>
  </si>
  <si>
    <t>Реконструкція парку ім. Академіка В.Я.Клімова в Шевченківському районі (проектні та будівельні роботи)</t>
  </si>
  <si>
    <t>Будівництво 1 черги та введення в експлуатацію Кушугумського кладовища (проектні та будівельні роботи)</t>
  </si>
  <si>
    <t>Реконструкція автодорожнього переїзду по спорудах греблі ДніпроГЕС у м.Запоріжжя. Ліквідація аварійного стану</t>
  </si>
  <si>
    <t>Реконструкція вул. 8 Березня від вул. Іванова до трамвайного переїзду через залізницю (проектні та будівельні роботи)</t>
  </si>
  <si>
    <t>Реконструкція трамвайного переїзду через залізницю по вул. Жовтневій (проектні роботи)</t>
  </si>
  <si>
    <t>Будівництво крематорію в м.Запоріжжя (проектні роботи)</t>
  </si>
  <si>
    <t>006</t>
  </si>
  <si>
    <t>Виконавчий комітет міської ради</t>
  </si>
  <si>
    <t xml:space="preserve">Придбання квартир для працівників Запорізького учбово-виробничого підприємства сліпих та Запорізького виробничого підприємства "НЕОН" УТОГ </t>
  </si>
  <si>
    <t>150107</t>
  </si>
  <si>
    <t>Житлове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</si>
  <si>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r>
      <t xml:space="preserve">Житлове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  - </t>
    </r>
    <r>
      <rPr>
        <b/>
        <sz val="11"/>
        <rFont val="Times New Roman"/>
        <family val="1"/>
      </rPr>
      <t>за рахунок коштів субвенції з державного бюджету</t>
    </r>
  </si>
  <si>
    <t>080</t>
  </si>
  <si>
    <t>Управління житлового господарства міської ради</t>
  </si>
  <si>
    <t>Установка індивідуальних газових котлів в житлових будинках №92, 94 по вул. Українській в м.Запоріжжя</t>
  </si>
  <si>
    <t>Житловий будинок по вул. Радгоспній,32, м.Запоріжжя - реконструкція - співфінансування за рахунок коштів бюджету міста</t>
  </si>
  <si>
    <r>
      <t>Житловий будинок по вул. Радгоспній,32, м.Запоріжжя - реконструкція -</t>
    </r>
    <r>
      <rPr>
        <b/>
        <sz val="11"/>
        <rFont val="Times New Roman"/>
        <family val="1"/>
      </rPr>
      <t xml:space="preserve"> субвенція з державного бюджету</t>
    </r>
  </si>
  <si>
    <t>Житловий будинок по вул. Дослідна станція, 80, м.Запоріжжя - реконструкція  з улаштуванням водовідведення - співфінансування за рахунок коштів бюджету міста</t>
  </si>
  <si>
    <r>
      <t xml:space="preserve">Житловий будинок по вул. Дослідна станція, 80, м.Запоріжжя - реконструкція  з улаштуванням водовідведення - </t>
    </r>
    <r>
      <rPr>
        <b/>
        <sz val="11"/>
        <rFont val="Times New Roman"/>
        <family val="1"/>
      </rPr>
      <t>субвенція з державного бюджету</t>
    </r>
  </si>
  <si>
    <t>Житловий будинок по вул. Лікарняній, 13, м.Запоріжжя - реконструкція - співфінансування за рахунок коштів бюджету міста</t>
  </si>
  <si>
    <r>
      <t xml:space="preserve">Житловий будинок по вул. Лікарняній, 13, м.Запоріжжя - реконструкція - </t>
    </r>
    <r>
      <rPr>
        <b/>
        <sz val="11"/>
        <rFont val="Times New Roman"/>
        <family val="1"/>
      </rPr>
      <t>субвенція з державного бюджету</t>
    </r>
  </si>
  <si>
    <t>Житловий будинок по вул. Лікарняній, 11, м.Запоріжжя - реконструкція - співфінансування за рахунок коштів бюджету міста</t>
  </si>
  <si>
    <r>
      <t>Житловий будинок по вул. Лікарняній, 11, м.Запоріжжя - реконструкція -</t>
    </r>
    <r>
      <rPr>
        <b/>
        <sz val="11"/>
        <rFont val="Times New Roman"/>
        <family val="1"/>
      </rPr>
      <t xml:space="preserve"> субвенція з державного бюджету</t>
    </r>
  </si>
  <si>
    <t>Житловий будинок по вул. Жовтневій, 13, м.Запоріжжя - реконструкція - співфінансування за рахунок коштів бюджету міста</t>
  </si>
  <si>
    <r>
      <t xml:space="preserve">Житловий будинок по вул. Жовтневій, 13, м.Запоріжжя - реконструкція - </t>
    </r>
    <r>
      <rPr>
        <b/>
        <sz val="11"/>
        <rFont val="Times New Roman"/>
        <family val="1"/>
      </rPr>
      <t>субвенція з державного бюджету</t>
    </r>
  </si>
  <si>
    <t>Житловий будинок по вул. 8 Березня, 54, м.Запоріжжя - реконструкція - співфінансування за рахунок коштів бюджету міста</t>
  </si>
  <si>
    <r>
      <t xml:space="preserve">Житловий будинок по вул. 8 Березня, 54, м.Запоріжжя - реконструкція - </t>
    </r>
    <r>
      <rPr>
        <b/>
        <sz val="11"/>
        <rFont val="Times New Roman"/>
        <family val="1"/>
      </rPr>
      <t>субвенція з державного бюджету</t>
    </r>
  </si>
  <si>
    <t>Житловий будинок по вул. 8 Березня, 58, м.Запоріжжя - реконструкція - співфінансування за рахунок коштів бюджету міста</t>
  </si>
  <si>
    <r>
      <t xml:space="preserve">Житловий будинок по вул. 8 Березня, 58, м.Запоріжжя - реконструкція - </t>
    </r>
    <r>
      <rPr>
        <b/>
        <sz val="11"/>
        <rFont val="Times New Roman"/>
        <family val="1"/>
      </rPr>
      <t>субвенція з державного бюджету</t>
    </r>
  </si>
  <si>
    <t>Житловий будинок по вул. Авраменко, 14, м.Запоріжжя - реконструкція - співфінансування за рахунок коштів бюджету міста</t>
  </si>
  <si>
    <r>
      <t xml:space="preserve">Житловий будинок по вул. Авраменко, 14, м.Запоріжжя - реконструкція - </t>
    </r>
    <r>
      <rPr>
        <b/>
        <sz val="11"/>
        <rFont val="Times New Roman"/>
        <family val="1"/>
      </rPr>
      <t>субвенція з державного бюджету</t>
    </r>
  </si>
  <si>
    <t>Житловий будинок по вул. Гудименко, 16а, м.Запоріжжя - реконструкція - співфінансування за рахунок коштів бюджету міста</t>
  </si>
  <si>
    <r>
      <t xml:space="preserve">Житловий будинок по вул. Гудименко, 16а, м.Запоріжжя - реконструкція </t>
    </r>
    <r>
      <rPr>
        <b/>
        <sz val="11"/>
        <rFont val="Times New Roman"/>
        <family val="1"/>
      </rPr>
      <t>- субвенція з державного бюджету</t>
    </r>
  </si>
  <si>
    <t>Житловий будинок по бул. Будівельників, 21, м.Запоріжжя - реконструкція - співфінансування за рахунок коштів бюджету міста</t>
  </si>
  <si>
    <r>
      <t>Житловий будинок по бул. Будівельників, 21, м.Запоріжжя - реконструкція</t>
    </r>
    <r>
      <rPr>
        <b/>
        <sz val="11"/>
        <rFont val="Times New Roman"/>
        <family val="1"/>
      </rPr>
      <t xml:space="preserve"> - субвенція з державного бюджету</t>
    </r>
  </si>
  <si>
    <t>Житловий будинок по вул. Республіканська, 90, м.Запоріжжя - реконструкція - співфінансування за рахунок коштів бюджету міста</t>
  </si>
  <si>
    <r>
      <t>Житловий будинок по вул. Республіканська, 90, м.Запоріжжя - реконструкція</t>
    </r>
    <r>
      <rPr>
        <b/>
        <sz val="11"/>
        <rFont val="Times New Roman"/>
        <family val="1"/>
      </rPr>
      <t xml:space="preserve"> - субвенція з державного бюджету</t>
    </r>
  </si>
  <si>
    <t>Житловий будинок по вул. Ніжинській, 74, м.Запоріжжя - реконструкція - співфінансування за рахунок коштів бюджету міста</t>
  </si>
  <si>
    <r>
      <t xml:space="preserve">Житловий будинок по вул. Ніжинській, 74, м.Запоріжжя - реконструкція </t>
    </r>
    <r>
      <rPr>
        <b/>
        <sz val="11"/>
        <rFont val="Times New Roman"/>
        <family val="1"/>
      </rPr>
      <t>- субвенція з державного бюджету</t>
    </r>
  </si>
  <si>
    <t>160</t>
  </si>
  <si>
    <t>Управління транспорту та зв'язку міської ради</t>
  </si>
  <si>
    <t>180409</t>
  </si>
  <si>
    <t>Внески органів місцевого самоврядування у статутні фонди суб'єктів підприємницької діяльності</t>
  </si>
  <si>
    <t>Придбання вагонів для комунального електротранспорту (тролейбусів і трамваїв) - за рахунок коштів бюджету міста</t>
  </si>
  <si>
    <r>
      <t>Придбання вагонів для комунального електротранспорту (тролейбусів і трамваїв) -</t>
    </r>
    <r>
      <rPr>
        <b/>
        <sz val="11"/>
        <rFont val="Times New Roman"/>
        <family val="1"/>
      </rPr>
      <t xml:space="preserve"> субвенція з державного бюджету</t>
    </r>
  </si>
  <si>
    <t xml:space="preserve"> - придбання автобусів</t>
  </si>
  <si>
    <t>020</t>
  </si>
  <si>
    <t>Управління освіти і науки міської ради</t>
  </si>
  <si>
    <t>Реконструкція будівлі під дитячо-юнацьку спортивну школу по вул.Фундаментальна,9</t>
  </si>
  <si>
    <t>Реконструкція будівлі Міського Палацу дитячої та юнацької творчості по пл. Леніна,1</t>
  </si>
  <si>
    <t>Реконструкція Запорізької гімназії № 46 Запорізької міської ради Запорізької області (проектні та будівельні роботи)</t>
  </si>
  <si>
    <t>Реконструкція внутрішньої опалювальної системи в навчальному комплексі "Запорізька Січ", о. Хортиця з підключенням до існуючої теплової мережі</t>
  </si>
  <si>
    <t>Реконструкція малого спортивного залу загальноосвітньої школи №32 по вул. 14 Жовтня, 13 м.Запоріжжя</t>
  </si>
  <si>
    <t>Реконструкція навчально-виховного комплексу №110 Запорізької міської ради Запорізької області</t>
  </si>
  <si>
    <t>030</t>
  </si>
  <si>
    <t>Управління охорони здоров’я міської ради</t>
  </si>
  <si>
    <t>Реконструкція комунальної установи "Запорізька міська багатопрофільна дитяча лікарня № 5"</t>
  </si>
  <si>
    <t>Реконструкція комунальної установи "Запорізька міська багатопрофільна клінічна лікарня № 9" (проектні роботи)</t>
  </si>
  <si>
    <t xml:space="preserve">Міська багатопрофільна клінічна лікарня №9, м.Запоріжжя  - реконструкція терапевтичного корпусу та аптеки із заміною обладнання </t>
  </si>
  <si>
    <t xml:space="preserve">Реконструкція комунальної установи "Міська клінічна лікарня екстреної  та швидкої медичної  допомоги, м.Запоріжжя" </t>
  </si>
  <si>
    <t>110</t>
  </si>
  <si>
    <t>Управління культури міської ради</t>
  </si>
  <si>
    <t>Реконструкція будівлі комунального підприємства Палац культури "Орбіта"</t>
  </si>
  <si>
    <t>Всього</t>
  </si>
  <si>
    <t>Пропонуємі зміни по видаткам на поточний рік</t>
  </si>
  <si>
    <t>Пропонуємі видатки на поточний рік зі змінами</t>
  </si>
  <si>
    <t>Заступник начальника головного економічного управління міської ради</t>
  </si>
  <si>
    <t>Розроблення проектно-кошторисної документації та будівництво тротуару по вул. Новокузнецькій, 36а</t>
  </si>
  <si>
    <t xml:space="preserve">Пропонуємі видатки на поточний рік </t>
  </si>
  <si>
    <t>Реконструкція, переобладнання та перепланування гуртожитків, які є об"єктами комунальної власності міста Запоріжжя</t>
  </si>
  <si>
    <t>Реконструкція, переобладнання та перепланування гуртожитків, які є об"єктами комунальної власноті міста Запоріжжя</t>
  </si>
  <si>
    <r>
      <t>Магістральна мережа теплопостачання по вул. Новокузнецькій житлового масиву Південний, м.Запоріжжя - реконструкція (другий пусковий комплекс) -</t>
    </r>
    <r>
      <rPr>
        <b/>
        <sz val="14"/>
        <rFont val="Times New Roman"/>
        <family val="1"/>
      </rPr>
      <t xml:space="preserve"> субвенція з державного бюджету</t>
    </r>
  </si>
  <si>
    <r>
      <t xml:space="preserve">Теплова мережа від теплофікаційної камери №6 до №8 по Південному шосе, м.Запоріжжя - реконструкція з улаштуванням дренажної каналізації з теплофікаційної камери №7 -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</si>
  <si>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Теплова мережа від теплофікаційної камери №6 до теплофікаційної камери №8 по вул. Південне шосе, м.Запоріжжя - реконструкція з улаштуванням дренажної каналізації з теплофікаційної камери №7 -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</si>
  <si>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Теплова мережа для підключення житлового масиву Північний до магістральних мереж котельні по вул. Карпенко-Карого, 23, м.Запоріжжя - будівництво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</si>
  <si>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Системи теплопостачання Орджонікідзевського, Жовтневого  районів, м. Запоріжжя - реконструкція теплових мереж по вул. Гагаріна, Яценка, Героїв Сталінграду (перший пусковий комплекс)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</si>
  <si>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Котельні м.Запоріжжя - реконструкція фільтрів хімводоочищення із заміною обмінного матеріалу на високоефективний катіоніт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</si>
  <si>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Два 44-квартирних житлових будинків у с-щі Павло-Кічкас, м.Запоріжжя - будівництво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</si>
  <si>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Житлове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  - </t>
    </r>
    <r>
      <rPr>
        <b/>
        <sz val="14"/>
        <rFont val="Times New Roman"/>
        <family val="1"/>
      </rPr>
      <t>за рахунок коштів субвенції з державного бюджету</t>
    </r>
  </si>
  <si>
    <r>
      <t>Житловий будинок по вул. Радгоспній,32, м.Запоріжжя - реконструкція -</t>
    </r>
    <r>
      <rPr>
        <b/>
        <sz val="14"/>
        <rFont val="Times New Roman"/>
        <family val="1"/>
      </rPr>
      <t xml:space="preserve"> субвенція з державного бюджету</t>
    </r>
  </si>
  <si>
    <r>
      <t xml:space="preserve">Житловий будинок по вул. Дослідна станція, 80, м.Запоріжжя - реконструкція  з улаштуванням водовідведення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</si>
  <si>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Житловий будинок по вул. Лікарняній, 13, м.Запоріжжя - реконструкція - </t>
    </r>
    <r>
      <rPr>
        <b/>
        <sz val="14"/>
        <rFont val="Times New Roman"/>
        <family val="1"/>
      </rPr>
      <t>субвенція з державного бюджету</t>
    </r>
  </si>
  <si>
    <r>
      <t>Житловий будинок по вул. Лікарняній, 11, м.Запоріжжя - реконструкція -</t>
    </r>
    <r>
      <rPr>
        <b/>
        <sz val="14"/>
        <rFont val="Times New Roman"/>
        <family val="1"/>
      </rPr>
      <t xml:space="preserve"> субвенція з державного бюджету</t>
    </r>
  </si>
  <si>
    <r>
      <t xml:space="preserve">Житловий будинок по вул. Жовтневій, 13, м.Запоріжжя - реконструкція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</si>
  <si>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Житловий будинок по вул. 8 Березня, 54, м.Запоріжжя - реконструкція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</si>
  <si>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Житловий будинок по вул. 8 Березня, 58, м.Запоріжжя - реконструкція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</si>
  <si>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Житловий будинок по вул. Авраменко, 14, м.Запоріжжя - реконструкція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</si>
  <si>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Житловий будинок по вул. Гудименко, 16а, м.Запоріжжя - реконструкція </t>
    </r>
    <r>
      <rPr>
        <b/>
        <sz val="14"/>
        <rFont val="Times New Roman"/>
        <family val="1"/>
      </rPr>
      <t>- субвенція з державного бюджету</t>
    </r>
  </si>
  <si>
    <r>
      <t>Житловий будинок по бул. Будівельників, 21, м.Запоріжжя - реконструкція</t>
    </r>
    <r>
      <rPr>
        <b/>
        <sz val="14"/>
        <rFont val="Times New Roman"/>
        <family val="1"/>
      </rPr>
      <t xml:space="preserve"> - субвенція з державного бюджету</t>
    </r>
  </si>
  <si>
    <r>
      <t>Житловий будинок по вул. Республіканська, 90, м.Запоріжжя - реконструкція</t>
    </r>
    <r>
      <rPr>
        <b/>
        <sz val="14"/>
        <rFont val="Times New Roman"/>
        <family val="1"/>
      </rPr>
      <t xml:space="preserve"> - субвенція з державного бюджету</t>
    </r>
  </si>
  <si>
    <r>
      <t xml:space="preserve">Житловий будинок по вул. Ніжинській, 74, м.Запоріжжя - реконструкція </t>
    </r>
    <r>
      <rPr>
        <b/>
        <sz val="14"/>
        <rFont val="Times New Roman"/>
        <family val="1"/>
      </rPr>
      <t>- субвенція з державного бюджету</t>
    </r>
  </si>
  <si>
    <r>
      <t>Придбання вагонів для комунального електротранспорту (тролейбусів і трамваїв) -</t>
    </r>
    <r>
      <rPr>
        <b/>
        <sz val="14"/>
        <rFont val="Times New Roman"/>
        <family val="1"/>
      </rPr>
      <t xml:space="preserve"> субвенція з державного бюджету</t>
    </r>
  </si>
  <si>
    <t>Додаток 2</t>
  </si>
  <si>
    <t>до Програми соціально-економічного</t>
  </si>
  <si>
    <t>і культурного розвитку м.Запоріжжя</t>
  </si>
  <si>
    <t>на 2007 рік</t>
  </si>
  <si>
    <t>ПЛАН</t>
  </si>
  <si>
    <t>будівництва, реконструкції та ліквідації аварійного стану об"єктів бюджету розвитку у 2007 році</t>
  </si>
  <si>
    <t>тис. грн.</t>
  </si>
  <si>
    <t>Відсоток заверше-ності будівництва об'єктів на майбутні роки</t>
  </si>
  <si>
    <t>Потреба коштів на 2007 рік</t>
  </si>
  <si>
    <t>1</t>
  </si>
  <si>
    <t>2</t>
  </si>
  <si>
    <t>3</t>
  </si>
  <si>
    <t>4</t>
  </si>
  <si>
    <t>5</t>
  </si>
  <si>
    <t>6</t>
  </si>
  <si>
    <t>7</t>
  </si>
  <si>
    <t>читати:</t>
  </si>
  <si>
    <t xml:space="preserve"> - субвенція з державного бюджету</t>
  </si>
  <si>
    <t>Разом видатків на поточний рік (рішення МР від 27.06.2007 № 53)</t>
  </si>
  <si>
    <t>І.П. Качинська</t>
  </si>
  <si>
    <t>замість</t>
  </si>
  <si>
    <t>Всього змін:</t>
  </si>
  <si>
    <t>Перелік об'єктів на 2007 рік - всього зі змінами:</t>
  </si>
  <si>
    <t>Розширення та реконструкція центральних каналізаційних очисних споруд Лівого берега, (ЦОС-1) м. Запоріжжя  - співфінансування за рахунок коштів бюджету міста</t>
  </si>
  <si>
    <r>
      <t xml:space="preserve">Розширення та реконструкція центральних каналізаційних очисних споруд Лівого берега (ЦОС-1) м.Запоріжжя  - </t>
    </r>
    <r>
      <rPr>
        <b/>
        <sz val="11"/>
        <rFont val="Times New Roman"/>
        <family val="1"/>
      </rPr>
      <t>субвенція з державного бюджету</t>
    </r>
  </si>
  <si>
    <t>Міський голова</t>
  </si>
  <si>
    <t>Є.Г.Карташов</t>
  </si>
  <si>
    <t xml:space="preserve">  в тому числі:                                                                                                                        Перший пусковий комплекс (перша та друга технологічні лінії очищення стічних вод)</t>
  </si>
  <si>
    <t xml:space="preserve">Розширення та реконструкція центральних каналізаційних очисних споруд Лівого берега (ЦОС-1) м. Запоріжжя </t>
  </si>
  <si>
    <t>Другий пусковий комплекс (станція зневоднення осаду та хлораторна)</t>
  </si>
  <si>
    <t>співфінансування за рахунок коштів бюджету міста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</si>
</sst>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0.000"/>
    <numFmt numFmtId="166" formatCode="[$-422]d\ mmmm\ yyyy&quot; р.&quot;"/>
  </numFmts>
  <fonts count="1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i/>
      <u val="single"/>
      <sz val="14"/>
      <name val="Times New Roman"/>
      <family val="1"/>
    </font>
    <font>
      <i/>
      <u val="single"/>
      <sz val="14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65" fontId="5" fillId="0" borderId="11" xfId="0" applyNumberFormat="1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horizontal="right" wrapText="1"/>
    </xf>
    <xf numFmtId="2" fontId="5" fillId="0" borderId="11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165" fontId="4" fillId="0" borderId="11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165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wrapText="1"/>
    </xf>
    <xf numFmtId="1" fontId="4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11" xfId="0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2" borderId="11" xfId="0" applyFont="1" applyFill="1" applyBorder="1" applyAlignment="1">
      <alignment wrapText="1"/>
    </xf>
    <xf numFmtId="1" fontId="5" fillId="2" borderId="11" xfId="0" applyNumberFormat="1" applyFont="1" applyFill="1" applyBorder="1" applyAlignment="1">
      <alignment horizontal="right" wrapText="1"/>
    </xf>
    <xf numFmtId="164" fontId="5" fillId="2" borderId="1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" fontId="4" fillId="2" borderId="11" xfId="0" applyNumberFormat="1" applyFont="1" applyFill="1" applyBorder="1" applyAlignment="1">
      <alignment horizontal="right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 horizontal="right" wrapText="1"/>
    </xf>
    <xf numFmtId="1" fontId="6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" fontId="6" fillId="0" borderId="17" xfId="0" applyNumberFormat="1" applyFont="1" applyFill="1" applyBorder="1" applyAlignment="1">
      <alignment horizontal="right" wrapText="1"/>
    </xf>
    <xf numFmtId="2" fontId="6" fillId="0" borderId="11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right" wrapText="1"/>
    </xf>
    <xf numFmtId="1" fontId="6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right" wrapText="1"/>
    </xf>
    <xf numFmtId="1" fontId="2" fillId="0" borderId="18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165" fontId="2" fillId="0" borderId="11" xfId="0" applyNumberFormat="1" applyFont="1" applyFill="1" applyBorder="1" applyAlignment="1">
      <alignment horizontal="left" vertical="top" wrapText="1"/>
    </xf>
    <xf numFmtId="165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6" fillId="0" borderId="6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right" wrapText="1"/>
    </xf>
    <xf numFmtId="165" fontId="2" fillId="0" borderId="20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right" wrapText="1"/>
    </xf>
    <xf numFmtId="165" fontId="2" fillId="0" borderId="17" xfId="0" applyNumberFormat="1" applyFont="1" applyFill="1" applyBorder="1" applyAlignment="1">
      <alignment horizontal="right" wrapText="1"/>
    </xf>
    <xf numFmtId="164" fontId="2" fillId="0" borderId="17" xfId="0" applyNumberFormat="1" applyFont="1" applyFill="1" applyBorder="1" applyAlignment="1">
      <alignment horizontal="right" wrapText="1"/>
    </xf>
    <xf numFmtId="0" fontId="15" fillId="0" borderId="11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165" fontId="6" fillId="0" borderId="11" xfId="0" applyNumberFormat="1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right" wrapText="1"/>
    </xf>
    <xf numFmtId="165" fontId="6" fillId="0" borderId="17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165" fontId="6" fillId="0" borderId="4" xfId="0" applyNumberFormat="1" applyFont="1" applyFill="1" applyBorder="1" applyAlignment="1">
      <alignment horizontal="right" wrapText="1"/>
    </xf>
    <xf numFmtId="165" fontId="14" fillId="0" borderId="0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8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7" xfId="0" applyNumberFormat="1" applyFont="1" applyFill="1" applyBorder="1" applyAlignment="1">
      <alignment horizontal="right" wrapText="1"/>
    </xf>
    <xf numFmtId="165" fontId="4" fillId="0" borderId="22" xfId="0" applyNumberFormat="1" applyFont="1" applyFill="1" applyBorder="1" applyAlignment="1">
      <alignment horizontal="left" vertical="top" wrapText="1"/>
    </xf>
    <xf numFmtId="1" fontId="4" fillId="0" borderId="17" xfId="0" applyNumberFormat="1" applyFont="1" applyFill="1" applyBorder="1" applyAlignment="1">
      <alignment horizontal="right" wrapText="1"/>
    </xf>
    <xf numFmtId="165" fontId="5" fillId="0" borderId="22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left" vertical="top" wrapText="1"/>
    </xf>
    <xf numFmtId="164" fontId="4" fillId="2" borderId="11" xfId="0" applyNumberFormat="1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5" fillId="2" borderId="0" xfId="0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1" fontId="4" fillId="2" borderId="17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1" fontId="5" fillId="0" borderId="4" xfId="0" applyNumberFormat="1" applyFont="1" applyFill="1" applyBorder="1" applyAlignment="1">
      <alignment horizontal="right" wrapText="1"/>
    </xf>
    <xf numFmtId="1" fontId="5" fillId="0" borderId="18" xfId="0" applyNumberFormat="1" applyFont="1" applyFill="1" applyBorder="1" applyAlignment="1">
      <alignment horizontal="right" wrapText="1"/>
    </xf>
    <xf numFmtId="1" fontId="4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wrapText="1"/>
    </xf>
    <xf numFmtId="1" fontId="2" fillId="0" borderId="8" xfId="0" applyNumberFormat="1" applyFont="1" applyFill="1" applyBorder="1" applyAlignment="1">
      <alignment/>
    </xf>
    <xf numFmtId="164" fontId="6" fillId="0" borderId="8" xfId="0" applyNumberFormat="1" applyFont="1" applyFill="1" applyBorder="1" applyAlignment="1">
      <alignment horizontal="right" wrapText="1"/>
    </xf>
    <xf numFmtId="0" fontId="2" fillId="0" borderId="21" xfId="0" applyFont="1" applyFill="1" applyBorder="1" applyAlignment="1">
      <alignment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65" fontId="6" fillId="0" borderId="22" xfId="0" applyNumberFormat="1" applyFont="1" applyFill="1" applyBorder="1" applyAlignment="1">
      <alignment horizontal="left" vertical="top" wrapText="1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165" fontId="2" fillId="0" borderId="22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wrapText="1"/>
    </xf>
    <xf numFmtId="165" fontId="6" fillId="0" borderId="18" xfId="0" applyNumberFormat="1" applyFont="1" applyFill="1" applyBorder="1" applyAlignment="1">
      <alignment horizontal="right" wrapText="1"/>
    </xf>
    <xf numFmtId="0" fontId="4" fillId="2" borderId="11" xfId="0" applyFont="1" applyFill="1" applyBorder="1" applyAlignment="1">
      <alignment vertical="top" wrapText="1"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7" fillId="0" borderId="0" xfId="0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1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" fontId="6" fillId="0" borderId="25" xfId="0" applyNumberFormat="1" applyFont="1" applyFill="1" applyBorder="1" applyAlignment="1">
      <alignment/>
    </xf>
    <xf numFmtId="0" fontId="6" fillId="0" borderId="8" xfId="0" applyFont="1" applyFill="1" applyBorder="1" applyAlignment="1">
      <alignment vertical="top" wrapText="1"/>
    </xf>
    <xf numFmtId="1" fontId="6" fillId="0" borderId="8" xfId="0" applyNumberFormat="1" applyFont="1" applyFill="1" applyBorder="1" applyAlignment="1">
      <alignment horizontal="right" wrapText="1"/>
    </xf>
    <xf numFmtId="1" fontId="6" fillId="0" borderId="21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5" fontId="6" fillId="0" borderId="11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view="pageBreakPreview" zoomScale="60" zoomScaleNormal="75" workbookViewId="0" topLeftCell="A13">
      <selection activeCell="F22" sqref="F22"/>
    </sheetView>
  </sheetViews>
  <sheetFormatPr defaultColWidth="9.00390625" defaultRowHeight="12.75"/>
  <cols>
    <col min="1" max="1" width="9.75390625" style="1" customWidth="1"/>
    <col min="2" max="2" width="34.00390625" style="1" customWidth="1"/>
    <col min="3" max="3" width="84.375" style="1" customWidth="1"/>
    <col min="4" max="4" width="15.375" style="1" customWidth="1"/>
    <col min="5" max="5" width="12.375" style="1" customWidth="1"/>
    <col min="6" max="6" width="14.75390625" style="1" customWidth="1"/>
    <col min="7" max="7" width="15.625" style="1" customWidth="1"/>
    <col min="8" max="8" width="11.375" style="3" customWidth="1"/>
    <col min="9" max="9" width="14.375" style="1" customWidth="1"/>
    <col min="10" max="10" width="11.875" style="62" customWidth="1"/>
    <col min="11" max="11" width="9.875" style="1" bestFit="1" customWidth="1"/>
    <col min="12" max="16384" width="9.125" style="1" customWidth="1"/>
  </cols>
  <sheetData>
    <row r="1" ht="12.75">
      <c r="H1" s="1"/>
    </row>
    <row r="2" spans="1:8" ht="18.75">
      <c r="A2" s="240" t="s">
        <v>2</v>
      </c>
      <c r="B2" s="240"/>
      <c r="C2" s="240"/>
      <c r="D2" s="240"/>
      <c r="E2" s="240"/>
      <c r="F2" s="240"/>
      <c r="H2" s="1"/>
    </row>
    <row r="3" spans="1:8" ht="18.75">
      <c r="A3" s="240" t="s">
        <v>3</v>
      </c>
      <c r="B3" s="240"/>
      <c r="C3" s="240"/>
      <c r="D3" s="240"/>
      <c r="E3" s="240"/>
      <c r="F3" s="240"/>
      <c r="H3" s="1"/>
    </row>
    <row r="4" spans="1:7" ht="13.5" thickBot="1">
      <c r="A4" s="2"/>
      <c r="B4" s="2"/>
      <c r="C4" s="2"/>
      <c r="D4" s="2"/>
      <c r="E4" s="2"/>
      <c r="F4" s="2"/>
      <c r="G4" s="1" t="s">
        <v>4</v>
      </c>
    </row>
    <row r="5" spans="1:6" ht="13.5" hidden="1" thickBot="1">
      <c r="A5" s="2"/>
      <c r="B5" s="2"/>
      <c r="C5" s="2"/>
      <c r="D5" s="2"/>
      <c r="E5" s="2"/>
      <c r="F5" s="2"/>
    </row>
    <row r="6" spans="1:6" ht="13.5" hidden="1" thickBot="1">
      <c r="A6" s="2"/>
      <c r="B6" s="2"/>
      <c r="C6" s="2"/>
      <c r="D6" s="2"/>
      <c r="E6" s="2"/>
      <c r="F6" s="2"/>
    </row>
    <row r="7" spans="1:10" s="6" customFormat="1" ht="77.25" customHeight="1">
      <c r="A7" s="4" t="s">
        <v>5</v>
      </c>
      <c r="B7" s="5" t="s">
        <v>6</v>
      </c>
      <c r="C7" s="241" t="s">
        <v>7</v>
      </c>
      <c r="D7" s="241" t="s">
        <v>8</v>
      </c>
      <c r="E7" s="241" t="s">
        <v>9</v>
      </c>
      <c r="F7" s="241" t="s">
        <v>10</v>
      </c>
      <c r="G7" s="243" t="s">
        <v>180</v>
      </c>
      <c r="H7" s="245" t="s">
        <v>134</v>
      </c>
      <c r="I7" s="247" t="s">
        <v>135</v>
      </c>
      <c r="J7" s="62"/>
    </row>
    <row r="8" spans="1:10" s="6" customFormat="1" ht="20.25" customHeight="1" thickBot="1">
      <c r="A8" s="7" t="s">
        <v>11</v>
      </c>
      <c r="B8" s="8" t="s">
        <v>11</v>
      </c>
      <c r="C8" s="242"/>
      <c r="D8" s="242"/>
      <c r="E8" s="242"/>
      <c r="F8" s="242"/>
      <c r="G8" s="244"/>
      <c r="H8" s="246"/>
      <c r="I8" s="248"/>
      <c r="J8" s="62"/>
    </row>
    <row r="9" spans="1:10" s="6" customFormat="1" ht="20.25" customHeight="1" thickBot="1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60">
        <v>7</v>
      </c>
      <c r="H9" s="161"/>
      <c r="J9" s="62"/>
    </row>
    <row r="10" spans="1:10" s="13" customFormat="1" ht="29.25">
      <c r="A10" s="11"/>
      <c r="B10" s="12"/>
      <c r="C10" s="162" t="s">
        <v>12</v>
      </c>
      <c r="D10" s="163">
        <v>75000000</v>
      </c>
      <c r="E10" s="164">
        <f>100-(F10/D10)*100</f>
        <v>33.33333333333334</v>
      </c>
      <c r="F10" s="163">
        <v>50000000</v>
      </c>
      <c r="G10" s="165">
        <v>25000000</v>
      </c>
      <c r="H10" s="166">
        <f>SUM(I10-G10)</f>
        <v>0</v>
      </c>
      <c r="I10" s="165">
        <v>25000000</v>
      </c>
      <c r="J10" s="63"/>
    </row>
    <row r="11" spans="1:10" s="13" customFormat="1" ht="28.5">
      <c r="A11" s="14" t="s">
        <v>13</v>
      </c>
      <c r="B11" s="15" t="s">
        <v>14</v>
      </c>
      <c r="C11" s="16"/>
      <c r="D11" s="17">
        <f>SUM(D12:D49)</f>
        <v>2348306320</v>
      </c>
      <c r="E11" s="18"/>
      <c r="F11" s="17">
        <f>SUM(F12:F49)</f>
        <v>1587842754</v>
      </c>
      <c r="G11" s="167">
        <f>SUM(G12:G49)-G12</f>
        <v>304514424</v>
      </c>
      <c r="H11" s="166">
        <f aca="true" t="shared" si="0" ref="H11:H73">SUM(I11-G11)</f>
        <v>0</v>
      </c>
      <c r="I11" s="167">
        <f>SUM(I12:I49)-I12</f>
        <v>304514424</v>
      </c>
      <c r="J11" s="63"/>
    </row>
    <row r="12" spans="1:10" s="13" customFormat="1" ht="19.5" customHeight="1">
      <c r="A12" s="19" t="s">
        <v>15</v>
      </c>
      <c r="B12" s="20" t="s">
        <v>16</v>
      </c>
      <c r="C12" s="168" t="s">
        <v>17</v>
      </c>
      <c r="D12" s="21">
        <v>1903612550</v>
      </c>
      <c r="E12" s="22">
        <f>100-(F12/D12)*100</f>
        <v>26.723956983788526</v>
      </c>
      <c r="F12" s="21">
        <f>D12-G12-253880884-3839715</f>
        <v>1394891951</v>
      </c>
      <c r="G12" s="169">
        <f>SUM(G14:G15)</f>
        <v>251000000</v>
      </c>
      <c r="H12" s="166">
        <f t="shared" si="0"/>
        <v>0</v>
      </c>
      <c r="I12" s="169">
        <f>SUM(I14:I15)</f>
        <v>251000000</v>
      </c>
      <c r="J12" s="63"/>
    </row>
    <row r="13" spans="1:10" s="13" customFormat="1" ht="19.5" customHeight="1">
      <c r="A13" s="23"/>
      <c r="B13" s="24"/>
      <c r="C13" s="168" t="s">
        <v>18</v>
      </c>
      <c r="D13" s="21"/>
      <c r="E13" s="25"/>
      <c r="F13" s="21"/>
      <c r="G13" s="169"/>
      <c r="H13" s="166">
        <f t="shared" si="0"/>
        <v>0</v>
      </c>
      <c r="I13" s="169"/>
      <c r="J13" s="63"/>
    </row>
    <row r="14" spans="1:10" s="13" customFormat="1" ht="20.25" customHeight="1">
      <c r="A14" s="23"/>
      <c r="B14" s="24"/>
      <c r="C14" s="170" t="s">
        <v>19</v>
      </c>
      <c r="D14" s="21"/>
      <c r="E14" s="22"/>
      <c r="F14" s="21"/>
      <c r="G14" s="169">
        <v>250000000</v>
      </c>
      <c r="H14" s="166">
        <f t="shared" si="0"/>
        <v>0</v>
      </c>
      <c r="I14" s="169">
        <v>250000000</v>
      </c>
      <c r="J14" s="63"/>
    </row>
    <row r="15" spans="1:10" s="13" customFormat="1" ht="20.25" customHeight="1">
      <c r="A15" s="26"/>
      <c r="B15" s="27"/>
      <c r="C15" s="168" t="s">
        <v>20</v>
      </c>
      <c r="D15" s="21"/>
      <c r="E15" s="22"/>
      <c r="F15" s="21"/>
      <c r="G15" s="169">
        <v>1000000</v>
      </c>
      <c r="H15" s="166">
        <f t="shared" si="0"/>
        <v>0</v>
      </c>
      <c r="I15" s="169">
        <v>1000000</v>
      </c>
      <c r="J15" s="63"/>
    </row>
    <row r="16" spans="1:10" s="6" customFormat="1" ht="20.25" customHeight="1">
      <c r="A16" s="171" t="s">
        <v>15</v>
      </c>
      <c r="B16" s="174" t="s">
        <v>16</v>
      </c>
      <c r="C16" s="28" t="s">
        <v>21</v>
      </c>
      <c r="D16" s="21">
        <v>111871779</v>
      </c>
      <c r="E16" s="22"/>
      <c r="F16" s="21"/>
      <c r="G16" s="175">
        <v>13829991</v>
      </c>
      <c r="H16" s="166">
        <f t="shared" si="0"/>
        <v>0</v>
      </c>
      <c r="I16" s="175">
        <v>13829991</v>
      </c>
      <c r="J16" s="62"/>
    </row>
    <row r="17" spans="1:10" s="6" customFormat="1" ht="30">
      <c r="A17" s="29" t="s">
        <v>15</v>
      </c>
      <c r="B17" s="30" t="s">
        <v>16</v>
      </c>
      <c r="C17" s="28" t="s">
        <v>22</v>
      </c>
      <c r="D17" s="21">
        <v>37000000</v>
      </c>
      <c r="E17" s="22">
        <f>100-(F17/D17)*100</f>
        <v>1.6375000000000028</v>
      </c>
      <c r="F17" s="21">
        <f>D17-G17-205875-200000</f>
        <v>36394125</v>
      </c>
      <c r="G17" s="175">
        <f>3000000-2800000</f>
        <v>200000</v>
      </c>
      <c r="H17" s="166">
        <f t="shared" si="0"/>
        <v>0</v>
      </c>
      <c r="I17" s="175">
        <f>3000000-2800000</f>
        <v>200000</v>
      </c>
      <c r="J17" s="62"/>
    </row>
    <row r="18" spans="1:10" s="6" customFormat="1" ht="21" customHeight="1">
      <c r="A18" s="29" t="s">
        <v>15</v>
      </c>
      <c r="B18" s="30" t="s">
        <v>16</v>
      </c>
      <c r="C18" s="28" t="s">
        <v>23</v>
      </c>
      <c r="D18" s="21">
        <f>4357551+7947</f>
        <v>4365498</v>
      </c>
      <c r="E18" s="22">
        <f>100-(F18/D18)*100</f>
        <v>37.741398575832584</v>
      </c>
      <c r="F18" s="21">
        <f>D18-G18-647600</f>
        <v>2717898</v>
      </c>
      <c r="G18" s="175">
        <v>1000000</v>
      </c>
      <c r="H18" s="166">
        <f t="shared" si="0"/>
        <v>0</v>
      </c>
      <c r="I18" s="175">
        <v>1000000</v>
      </c>
      <c r="J18" s="62"/>
    </row>
    <row r="19" spans="1:10" s="6" customFormat="1" ht="45">
      <c r="A19" s="29" t="s">
        <v>15</v>
      </c>
      <c r="B19" s="30" t="s">
        <v>16</v>
      </c>
      <c r="C19" s="28" t="s">
        <v>24</v>
      </c>
      <c r="D19" s="21">
        <f>5670396+4212991</f>
        <v>9883387</v>
      </c>
      <c r="E19" s="22">
        <f>100-(F19/D19)*100</f>
        <v>26.728883529502596</v>
      </c>
      <c r="F19" s="21">
        <f>D19-G19-1550000</f>
        <v>7241668</v>
      </c>
      <c r="G19" s="175">
        <f>1071719+20000</f>
        <v>1091719</v>
      </c>
      <c r="H19" s="166">
        <f t="shared" si="0"/>
        <v>0</v>
      </c>
      <c r="I19" s="175">
        <f>1071719+20000</f>
        <v>1091719</v>
      </c>
      <c r="J19" s="62"/>
    </row>
    <row r="20" spans="1:10" s="6" customFormat="1" ht="32.25" customHeight="1">
      <c r="A20" s="29" t="s">
        <v>15</v>
      </c>
      <c r="B20" s="30" t="s">
        <v>16</v>
      </c>
      <c r="C20" s="31" t="s">
        <v>25</v>
      </c>
      <c r="D20" s="32">
        <f>400000+2098000</f>
        <v>2498000</v>
      </c>
      <c r="E20" s="22">
        <f>100-(F20/D20)*100</f>
        <v>13.210568454763816</v>
      </c>
      <c r="F20" s="21">
        <v>2168000</v>
      </c>
      <c r="G20" s="175">
        <v>300000</v>
      </c>
      <c r="H20" s="193"/>
      <c r="I20" s="175">
        <v>300000</v>
      </c>
      <c r="J20" s="177"/>
    </row>
    <row r="21" spans="1:10" s="6" customFormat="1" ht="30">
      <c r="A21" s="29" t="s">
        <v>15</v>
      </c>
      <c r="B21" s="30" t="s">
        <v>16</v>
      </c>
      <c r="C21" s="59" t="s">
        <v>26</v>
      </c>
      <c r="D21" s="68">
        <v>200000</v>
      </c>
      <c r="E21" s="61">
        <f>100-(F21/D21)*100</f>
        <v>100</v>
      </c>
      <c r="F21" s="60"/>
      <c r="G21" s="176">
        <v>200000</v>
      </c>
      <c r="H21" s="178">
        <v>-62400</v>
      </c>
      <c r="I21" s="176">
        <v>137600</v>
      </c>
      <c r="J21" s="62"/>
    </row>
    <row r="22" spans="1:10" s="6" customFormat="1" ht="30">
      <c r="A22" s="29" t="s">
        <v>15</v>
      </c>
      <c r="B22" s="30" t="s">
        <v>16</v>
      </c>
      <c r="C22" s="31" t="s">
        <v>27</v>
      </c>
      <c r="D22" s="32">
        <v>2263099</v>
      </c>
      <c r="E22" s="22"/>
      <c r="F22" s="21"/>
      <c r="G22" s="175">
        <v>1588109</v>
      </c>
      <c r="H22" s="166">
        <f t="shared" si="0"/>
        <v>0</v>
      </c>
      <c r="I22" s="175">
        <v>1588109</v>
      </c>
      <c r="J22" s="62"/>
    </row>
    <row r="23" spans="1:10" s="6" customFormat="1" ht="20.25" customHeight="1">
      <c r="A23" s="29" t="s">
        <v>15</v>
      </c>
      <c r="B23" s="30" t="s">
        <v>16</v>
      </c>
      <c r="C23" s="31" t="s">
        <v>28</v>
      </c>
      <c r="D23" s="32">
        <v>340000</v>
      </c>
      <c r="E23" s="22"/>
      <c r="F23" s="21"/>
      <c r="G23" s="175">
        <v>340000</v>
      </c>
      <c r="H23" s="166">
        <f t="shared" si="0"/>
        <v>0</v>
      </c>
      <c r="I23" s="175">
        <v>340000</v>
      </c>
      <c r="J23" s="62"/>
    </row>
    <row r="24" spans="1:10" s="6" customFormat="1" ht="30">
      <c r="A24" s="29" t="s">
        <v>15</v>
      </c>
      <c r="B24" s="30" t="s">
        <v>16</v>
      </c>
      <c r="C24" s="31" t="s">
        <v>29</v>
      </c>
      <c r="D24" s="32">
        <f>985000+805947</f>
        <v>1790947</v>
      </c>
      <c r="E24" s="22">
        <f>100-(F24/D24)*100</f>
        <v>54.998835811445005</v>
      </c>
      <c r="F24" s="21">
        <f>D24-G24</f>
        <v>805947</v>
      </c>
      <c r="G24" s="175">
        <v>985000</v>
      </c>
      <c r="H24" s="166">
        <f t="shared" si="0"/>
        <v>0</v>
      </c>
      <c r="I24" s="175">
        <v>985000</v>
      </c>
      <c r="J24" s="62"/>
    </row>
    <row r="25" spans="1:10" s="6" customFormat="1" ht="31.5" customHeight="1">
      <c r="A25" s="29" t="s">
        <v>15</v>
      </c>
      <c r="B25" s="30" t="s">
        <v>16</v>
      </c>
      <c r="C25" s="31" t="s">
        <v>30</v>
      </c>
      <c r="D25" s="32">
        <f>300000+200000</f>
        <v>500000</v>
      </c>
      <c r="E25" s="22">
        <f>100-(F25/D25)*100</f>
        <v>60</v>
      </c>
      <c r="F25" s="21">
        <f>D25-G25</f>
        <v>200000</v>
      </c>
      <c r="G25" s="175">
        <v>300000</v>
      </c>
      <c r="H25" s="166">
        <f t="shared" si="0"/>
        <v>0</v>
      </c>
      <c r="I25" s="175">
        <v>300000</v>
      </c>
      <c r="J25" s="62"/>
    </row>
    <row r="26" spans="1:10" s="6" customFormat="1" ht="20.25" customHeight="1">
      <c r="A26" s="29" t="s">
        <v>15</v>
      </c>
      <c r="B26" s="30" t="s">
        <v>16</v>
      </c>
      <c r="C26" s="31" t="s">
        <v>31</v>
      </c>
      <c r="D26" s="32">
        <v>1455500</v>
      </c>
      <c r="E26" s="22">
        <f>100-(F26/D26)*100</f>
        <v>89.79711439367915</v>
      </c>
      <c r="F26" s="21">
        <f>D26-G26-415999-329998-480000</f>
        <v>148503</v>
      </c>
      <c r="G26" s="175">
        <v>81000</v>
      </c>
      <c r="H26" s="166">
        <f t="shared" si="0"/>
        <v>0</v>
      </c>
      <c r="I26" s="175">
        <v>81000</v>
      </c>
      <c r="J26" s="62"/>
    </row>
    <row r="27" spans="1:10" s="6" customFormat="1" ht="19.5" customHeight="1">
      <c r="A27" s="29" t="s">
        <v>15</v>
      </c>
      <c r="B27" s="30" t="s">
        <v>32</v>
      </c>
      <c r="C27" s="31" t="s">
        <v>33</v>
      </c>
      <c r="D27" s="32">
        <v>1000000</v>
      </c>
      <c r="E27" s="22"/>
      <c r="F27" s="21"/>
      <c r="G27" s="175">
        <v>1000000</v>
      </c>
      <c r="H27" s="166">
        <f t="shared" si="0"/>
        <v>0</v>
      </c>
      <c r="I27" s="175">
        <v>1000000</v>
      </c>
      <c r="J27" s="62"/>
    </row>
    <row r="28" spans="1:10" s="6" customFormat="1" ht="75">
      <c r="A28" s="29" t="s">
        <v>34</v>
      </c>
      <c r="B28" s="30" t="s">
        <v>35</v>
      </c>
      <c r="C28" s="33" t="s">
        <v>36</v>
      </c>
      <c r="D28" s="21">
        <f>3247132+748678</f>
        <v>3995810</v>
      </c>
      <c r="E28" s="22">
        <f>100-(F28/D28)*100</f>
        <v>61.256766462869855</v>
      </c>
      <c r="F28" s="21">
        <f>D28-750000-1500000-G28</f>
        <v>1548106</v>
      </c>
      <c r="G28" s="179">
        <f>349162+1-151459</f>
        <v>197704</v>
      </c>
      <c r="H28" s="166">
        <f t="shared" si="0"/>
        <v>0</v>
      </c>
      <c r="I28" s="179">
        <f>349162+1-151459</f>
        <v>197704</v>
      </c>
      <c r="J28" s="62"/>
    </row>
    <row r="29" spans="1:10" s="6" customFormat="1" ht="75">
      <c r="A29" s="29" t="s">
        <v>34</v>
      </c>
      <c r="B29" s="30" t="s">
        <v>35</v>
      </c>
      <c r="C29" s="33" t="s">
        <v>37</v>
      </c>
      <c r="D29" s="21">
        <f>3244600+1528540</f>
        <v>4773140</v>
      </c>
      <c r="E29" s="22">
        <f>100-(F29/D29)*100</f>
        <v>63.977800776847104</v>
      </c>
      <c r="F29" s="21">
        <f>D29-1125400-1500000-G29</f>
        <v>1719390</v>
      </c>
      <c r="G29" s="179">
        <f>429548+2-1200</f>
        <v>428350</v>
      </c>
      <c r="H29" s="166">
        <f t="shared" si="0"/>
        <v>0</v>
      </c>
      <c r="I29" s="179">
        <f>429548+2-1200</f>
        <v>428350</v>
      </c>
      <c r="J29" s="62"/>
    </row>
    <row r="30" spans="1:10" s="6" customFormat="1" ht="75">
      <c r="A30" s="29" t="s">
        <v>34</v>
      </c>
      <c r="B30" s="30" t="s">
        <v>35</v>
      </c>
      <c r="C30" s="34" t="s">
        <v>38</v>
      </c>
      <c r="D30" s="21">
        <f>4108300+1060244</f>
        <v>5168544</v>
      </c>
      <c r="E30" s="22">
        <f>100-(F30/D30)*100</f>
        <v>36.80241476129448</v>
      </c>
      <c r="F30" s="21">
        <f>D30-60000-570620-1000000-G30</f>
        <v>3266395</v>
      </c>
      <c r="G30" s="179">
        <f>707585-436056</f>
        <v>271529</v>
      </c>
      <c r="H30" s="166">
        <f t="shared" si="0"/>
        <v>0</v>
      </c>
      <c r="I30" s="179">
        <f>707585-436056</f>
        <v>271529</v>
      </c>
      <c r="J30" s="62"/>
    </row>
    <row r="31" spans="1:10" s="6" customFormat="1" ht="75">
      <c r="A31" s="29" t="s">
        <v>34</v>
      </c>
      <c r="B31" s="30" t="s">
        <v>35</v>
      </c>
      <c r="C31" s="67" t="s">
        <v>39</v>
      </c>
      <c r="D31" s="66">
        <v>9895800</v>
      </c>
      <c r="E31" s="61">
        <f>100-(F31/D31)*100</f>
        <v>36.587188504213906</v>
      </c>
      <c r="F31" s="60">
        <f>D31-314600-629200-G31-G32-H31</f>
        <v>6275205</v>
      </c>
      <c r="G31" s="180">
        <v>543495</v>
      </c>
      <c r="H31" s="178">
        <v>62400</v>
      </c>
      <c r="I31" s="180">
        <v>605895</v>
      </c>
      <c r="J31" s="62"/>
    </row>
    <row r="32" spans="1:10" s="6" customFormat="1" ht="75">
      <c r="A32" s="29" t="s">
        <v>34</v>
      </c>
      <c r="B32" s="30" t="s">
        <v>35</v>
      </c>
      <c r="C32" s="34" t="s">
        <v>40</v>
      </c>
      <c r="D32" s="21"/>
      <c r="E32" s="22"/>
      <c r="F32" s="21"/>
      <c r="G32" s="179">
        <v>2070900</v>
      </c>
      <c r="H32" s="166">
        <f t="shared" si="0"/>
        <v>0</v>
      </c>
      <c r="I32" s="179">
        <v>2070900</v>
      </c>
      <c r="J32" s="62"/>
    </row>
    <row r="33" spans="1:10" s="6" customFormat="1" ht="75">
      <c r="A33" s="29" t="s">
        <v>34</v>
      </c>
      <c r="B33" s="30" t="s">
        <v>35</v>
      </c>
      <c r="C33" s="34" t="s">
        <v>41</v>
      </c>
      <c r="D33" s="21">
        <f>669470+1875000+4467806</f>
        <v>7012276</v>
      </c>
      <c r="E33" s="22">
        <f>100-(F33/D33)*100</f>
        <v>36.286207217171714</v>
      </c>
      <c r="F33" s="21">
        <f>D33-273170-446300-G33-G34-G36-G35</f>
        <v>4467787</v>
      </c>
      <c r="G33" s="179">
        <v>167059</v>
      </c>
      <c r="H33" s="166">
        <f t="shared" si="0"/>
        <v>0</v>
      </c>
      <c r="I33" s="179">
        <v>167059</v>
      </c>
      <c r="J33" s="62"/>
    </row>
    <row r="34" spans="1:10" s="6" customFormat="1" ht="75">
      <c r="A34" s="29" t="s">
        <v>34</v>
      </c>
      <c r="B34" s="30" t="s">
        <v>35</v>
      </c>
      <c r="C34" s="34" t="s">
        <v>42</v>
      </c>
      <c r="D34" s="21"/>
      <c r="E34" s="22"/>
      <c r="F34" s="21"/>
      <c r="G34" s="179">
        <v>668200</v>
      </c>
      <c r="H34" s="166">
        <f t="shared" si="0"/>
        <v>0</v>
      </c>
      <c r="I34" s="179">
        <v>668200</v>
      </c>
      <c r="J34" s="62"/>
    </row>
    <row r="35" spans="1:10" s="6" customFormat="1" ht="75">
      <c r="A35" s="29" t="s">
        <v>34</v>
      </c>
      <c r="B35" s="30" t="s">
        <v>35</v>
      </c>
      <c r="C35" s="34" t="s">
        <v>43</v>
      </c>
      <c r="D35" s="21"/>
      <c r="E35" s="22"/>
      <c r="F35" s="21"/>
      <c r="G35" s="179">
        <v>198000</v>
      </c>
      <c r="H35" s="166">
        <f t="shared" si="0"/>
        <v>0</v>
      </c>
      <c r="I35" s="179">
        <v>198000</v>
      </c>
      <c r="J35" s="62"/>
    </row>
    <row r="36" spans="1:10" s="6" customFormat="1" ht="75">
      <c r="A36" s="29" t="s">
        <v>34</v>
      </c>
      <c r="B36" s="30" t="s">
        <v>35</v>
      </c>
      <c r="C36" s="34" t="s">
        <v>44</v>
      </c>
      <c r="D36" s="21"/>
      <c r="E36" s="22"/>
      <c r="F36" s="21"/>
      <c r="G36" s="179">
        <v>791760</v>
      </c>
      <c r="H36" s="166">
        <f t="shared" si="0"/>
        <v>0</v>
      </c>
      <c r="I36" s="179">
        <v>791760</v>
      </c>
      <c r="J36" s="62"/>
    </row>
    <row r="37" spans="1:10" s="6" customFormat="1" ht="75">
      <c r="A37" s="29" t="s">
        <v>34</v>
      </c>
      <c r="B37" s="30" t="s">
        <v>35</v>
      </c>
      <c r="C37" s="34" t="s">
        <v>45</v>
      </c>
      <c r="D37" s="21">
        <f>3526100+1476700</f>
        <v>5002800</v>
      </c>
      <c r="E37" s="22">
        <f>100-(F37/D37)*100</f>
        <v>100</v>
      </c>
      <c r="F37" s="21"/>
      <c r="G37" s="179">
        <v>295410</v>
      </c>
      <c r="H37" s="166">
        <f t="shared" si="0"/>
        <v>0</v>
      </c>
      <c r="I37" s="179">
        <v>295410</v>
      </c>
      <c r="J37" s="62"/>
    </row>
    <row r="38" spans="1:10" s="6" customFormat="1" ht="75">
      <c r="A38" s="29" t="s">
        <v>34</v>
      </c>
      <c r="B38" s="30" t="s">
        <v>35</v>
      </c>
      <c r="C38" s="34" t="s">
        <v>46</v>
      </c>
      <c r="D38" s="21"/>
      <c r="E38" s="22"/>
      <c r="F38" s="21"/>
      <c r="G38" s="179">
        <v>1181600</v>
      </c>
      <c r="H38" s="166">
        <f t="shared" si="0"/>
        <v>0</v>
      </c>
      <c r="I38" s="179">
        <v>1181600</v>
      </c>
      <c r="J38" s="62"/>
    </row>
    <row r="39" spans="1:10" s="6" customFormat="1" ht="45">
      <c r="A39" s="29" t="s">
        <v>47</v>
      </c>
      <c r="B39" s="30" t="s">
        <v>48</v>
      </c>
      <c r="C39" s="35" t="s">
        <v>49</v>
      </c>
      <c r="D39" s="21">
        <f>2513430+1605361</f>
        <v>4118791</v>
      </c>
      <c r="E39" s="22">
        <f>100-(F39/D39)*100</f>
        <v>61.02348965995119</v>
      </c>
      <c r="F39" s="21">
        <v>1605361</v>
      </c>
      <c r="G39" s="179">
        <v>508150</v>
      </c>
      <c r="H39" s="166">
        <f t="shared" si="0"/>
        <v>0</v>
      </c>
      <c r="I39" s="179">
        <v>508150</v>
      </c>
      <c r="J39" s="62"/>
    </row>
    <row r="40" spans="1:10" s="6" customFormat="1" ht="45">
      <c r="A40" s="29" t="s">
        <v>47</v>
      </c>
      <c r="B40" s="30" t="s">
        <v>48</v>
      </c>
      <c r="C40" s="35" t="s">
        <v>50</v>
      </c>
      <c r="D40" s="21"/>
      <c r="E40" s="22"/>
      <c r="F40" s="21"/>
      <c r="G40" s="179">
        <v>2002950</v>
      </c>
      <c r="H40" s="166">
        <f t="shared" si="0"/>
        <v>0</v>
      </c>
      <c r="I40" s="179">
        <v>2002950</v>
      </c>
      <c r="J40" s="62"/>
    </row>
    <row r="41" spans="1:10" s="6" customFormat="1" ht="45">
      <c r="A41" s="29" t="s">
        <v>47</v>
      </c>
      <c r="B41" s="30" t="s">
        <v>48</v>
      </c>
      <c r="C41" s="35" t="s">
        <v>51</v>
      </c>
      <c r="D41" s="21">
        <f>7466640+1434640</f>
        <v>8901280</v>
      </c>
      <c r="E41" s="22">
        <f>100-(F41/D41)*100</f>
        <v>0.44190273758381693</v>
      </c>
      <c r="F41" s="21">
        <f>D41-G41-27356</f>
        <v>8861945</v>
      </c>
      <c r="G41" s="179">
        <f>1487860+4-1475885</f>
        <v>11979</v>
      </c>
      <c r="H41" s="166">
        <f t="shared" si="0"/>
        <v>0</v>
      </c>
      <c r="I41" s="179">
        <f>1487860+4-1475885</f>
        <v>11979</v>
      </c>
      <c r="J41" s="62"/>
    </row>
    <row r="42" spans="1:10" s="6" customFormat="1" ht="30">
      <c r="A42" s="29" t="s">
        <v>15</v>
      </c>
      <c r="B42" s="30" t="s">
        <v>16</v>
      </c>
      <c r="C42" s="35" t="s">
        <v>52</v>
      </c>
      <c r="D42" s="21">
        <v>2098092</v>
      </c>
      <c r="E42" s="22">
        <f>100-(F42/D42)*100</f>
        <v>19.999980935059085</v>
      </c>
      <c r="F42" s="21">
        <f>D42-G42</f>
        <v>1678474</v>
      </c>
      <c r="G42" s="179">
        <v>419618</v>
      </c>
      <c r="H42" s="166">
        <f t="shared" si="0"/>
        <v>0</v>
      </c>
      <c r="I42" s="179">
        <v>419618</v>
      </c>
      <c r="J42" s="62"/>
    </row>
    <row r="43" spans="1:10" s="6" customFormat="1" ht="45">
      <c r="A43" s="29" t="s">
        <v>47</v>
      </c>
      <c r="B43" s="30" t="s">
        <v>48</v>
      </c>
      <c r="C43" s="35" t="s">
        <v>53</v>
      </c>
      <c r="D43" s="17">
        <v>1363406</v>
      </c>
      <c r="E43" s="39">
        <f>100-(F43/D43)*100</f>
        <v>48.98174131549956</v>
      </c>
      <c r="F43" s="17">
        <f>SUM(D43-G43-G44)</f>
        <v>695586</v>
      </c>
      <c r="G43" s="179">
        <f>133564+138756</f>
        <v>272320</v>
      </c>
      <c r="H43" s="166">
        <f t="shared" si="0"/>
        <v>0</v>
      </c>
      <c r="I43" s="181">
        <f>133564+138756</f>
        <v>272320</v>
      </c>
      <c r="J43" s="177"/>
    </row>
    <row r="44" spans="1:10" s="6" customFormat="1" ht="30">
      <c r="A44" s="29" t="s">
        <v>47</v>
      </c>
      <c r="B44" s="30" t="s">
        <v>48</v>
      </c>
      <c r="C44" s="35" t="s">
        <v>54</v>
      </c>
      <c r="D44" s="21"/>
      <c r="E44" s="22"/>
      <c r="F44" s="21"/>
      <c r="G44" s="179">
        <v>395500</v>
      </c>
      <c r="H44" s="166">
        <f t="shared" si="0"/>
        <v>0</v>
      </c>
      <c r="I44" s="179">
        <v>395500</v>
      </c>
      <c r="J44" s="62"/>
    </row>
    <row r="45" spans="1:10" s="223" customFormat="1" ht="30">
      <c r="A45" s="216" t="s">
        <v>47</v>
      </c>
      <c r="B45" s="217" t="s">
        <v>48</v>
      </c>
      <c r="C45" s="221" t="s">
        <v>185</v>
      </c>
      <c r="D45" s="66">
        <v>189900006</v>
      </c>
      <c r="E45" s="173">
        <f>100-(F45/D45)*100</f>
        <v>45.20334401674532</v>
      </c>
      <c r="F45" s="66">
        <v>104058853</v>
      </c>
      <c r="G45" s="180">
        <v>6250000</v>
      </c>
      <c r="H45" s="178">
        <f t="shared" si="0"/>
        <v>0</v>
      </c>
      <c r="I45" s="180">
        <v>6250000</v>
      </c>
      <c r="J45" s="222"/>
    </row>
    <row r="46" spans="1:10" s="223" customFormat="1" ht="30">
      <c r="A46" s="216" t="s">
        <v>47</v>
      </c>
      <c r="B46" s="217" t="s">
        <v>48</v>
      </c>
      <c r="C46" s="221" t="s">
        <v>186</v>
      </c>
      <c r="D46" s="66"/>
      <c r="E46" s="173"/>
      <c r="F46" s="66"/>
      <c r="G46" s="180">
        <f>5605400+489640</f>
        <v>6095040</v>
      </c>
      <c r="H46" s="178">
        <f t="shared" si="0"/>
        <v>0</v>
      </c>
      <c r="I46" s="180">
        <f>5605400+489640</f>
        <v>6095040</v>
      </c>
      <c r="J46" s="222"/>
    </row>
    <row r="47" spans="1:10" s="6" customFormat="1" ht="20.25" customHeight="1">
      <c r="A47" s="29" t="s">
        <v>47</v>
      </c>
      <c r="B47" s="30" t="s">
        <v>48</v>
      </c>
      <c r="C47" s="172" t="s">
        <v>55</v>
      </c>
      <c r="D47" s="60">
        <v>24383920</v>
      </c>
      <c r="E47" s="173"/>
      <c r="F47" s="60">
        <v>7518229</v>
      </c>
      <c r="G47" s="176">
        <f>1407724+1</f>
        <v>1407725</v>
      </c>
      <c r="H47" s="178">
        <f t="shared" si="0"/>
        <v>0</v>
      </c>
      <c r="I47" s="176">
        <f>1407724+1</f>
        <v>1407725</v>
      </c>
      <c r="J47" s="62"/>
    </row>
    <row r="48" spans="1:10" s="6" customFormat="1" ht="29.25">
      <c r="A48" s="29" t="s">
        <v>47</v>
      </c>
      <c r="B48" s="30" t="s">
        <v>48</v>
      </c>
      <c r="C48" s="28" t="s">
        <v>56</v>
      </c>
      <c r="D48" s="21"/>
      <c r="E48" s="22"/>
      <c r="F48" s="21"/>
      <c r="G48" s="175">
        <v>5630900</v>
      </c>
      <c r="H48" s="166">
        <f t="shared" si="0"/>
        <v>0</v>
      </c>
      <c r="I48" s="175">
        <v>5630900</v>
      </c>
      <c r="J48" s="62"/>
    </row>
    <row r="49" spans="1:10" s="6" customFormat="1" ht="21" customHeight="1">
      <c r="A49" s="29"/>
      <c r="B49" s="30"/>
      <c r="C49" s="31" t="s">
        <v>57</v>
      </c>
      <c r="D49" s="21">
        <f>SUM(D51:D55)</f>
        <v>4911695</v>
      </c>
      <c r="E49" s="21"/>
      <c r="F49" s="21">
        <f>SUM(F51:F55)</f>
        <v>1579331</v>
      </c>
      <c r="G49" s="169">
        <f>SUM(G51:G55)</f>
        <v>2790416</v>
      </c>
      <c r="H49" s="166">
        <f t="shared" si="0"/>
        <v>0</v>
      </c>
      <c r="I49" s="169">
        <f>SUM(I51:I55)</f>
        <v>2790416</v>
      </c>
      <c r="J49" s="62"/>
    </row>
    <row r="50" spans="1:10" s="6" customFormat="1" ht="20.25" customHeight="1">
      <c r="A50" s="29"/>
      <c r="B50" s="30"/>
      <c r="C50" s="31" t="s">
        <v>58</v>
      </c>
      <c r="D50" s="21"/>
      <c r="E50" s="22"/>
      <c r="F50" s="21"/>
      <c r="G50" s="175"/>
      <c r="H50" s="166">
        <f t="shared" si="0"/>
        <v>0</v>
      </c>
      <c r="I50" s="175"/>
      <c r="J50" s="62"/>
    </row>
    <row r="51" spans="1:10" s="6" customFormat="1" ht="20.25" customHeight="1">
      <c r="A51" s="29" t="s">
        <v>15</v>
      </c>
      <c r="B51" s="30" t="s">
        <v>16</v>
      </c>
      <c r="C51" s="28" t="s">
        <v>59</v>
      </c>
      <c r="D51" s="21">
        <v>349583</v>
      </c>
      <c r="E51" s="22"/>
      <c r="F51" s="21"/>
      <c r="G51" s="175">
        <v>307675</v>
      </c>
      <c r="H51" s="166">
        <f t="shared" si="0"/>
        <v>0</v>
      </c>
      <c r="I51" s="175">
        <v>307675</v>
      </c>
      <c r="J51" s="62"/>
    </row>
    <row r="52" spans="1:10" s="6" customFormat="1" ht="20.25" customHeight="1">
      <c r="A52" s="29" t="s">
        <v>15</v>
      </c>
      <c r="B52" s="30" t="s">
        <v>16</v>
      </c>
      <c r="C52" s="28" t="s">
        <v>60</v>
      </c>
      <c r="D52" s="21">
        <v>1890377</v>
      </c>
      <c r="E52" s="22"/>
      <c r="F52" s="21"/>
      <c r="G52" s="175">
        <v>1390337</v>
      </c>
      <c r="H52" s="166">
        <f t="shared" si="0"/>
        <v>0</v>
      </c>
      <c r="I52" s="175">
        <v>1390337</v>
      </c>
      <c r="J52" s="62"/>
    </row>
    <row r="53" spans="1:10" s="6" customFormat="1" ht="20.25" customHeight="1">
      <c r="A53" s="29" t="s">
        <v>15</v>
      </c>
      <c r="B53" s="30" t="s">
        <v>16</v>
      </c>
      <c r="C53" s="28" t="s">
        <v>61</v>
      </c>
      <c r="D53" s="21">
        <v>339312</v>
      </c>
      <c r="E53" s="22"/>
      <c r="F53" s="21"/>
      <c r="G53" s="175">
        <v>339312</v>
      </c>
      <c r="H53" s="166">
        <f t="shared" si="0"/>
        <v>0</v>
      </c>
      <c r="I53" s="175">
        <v>339312</v>
      </c>
      <c r="J53" s="62"/>
    </row>
    <row r="54" spans="1:10" s="6" customFormat="1" ht="20.25" customHeight="1">
      <c r="A54" s="29" t="s">
        <v>15</v>
      </c>
      <c r="B54" s="30" t="s">
        <v>16</v>
      </c>
      <c r="C54" s="28" t="s">
        <v>62</v>
      </c>
      <c r="D54" s="21">
        <f>600000+47423</f>
        <v>647423</v>
      </c>
      <c r="E54" s="22">
        <f>100-(F54/D54)*100</f>
        <v>87.74665095308632</v>
      </c>
      <c r="F54" s="21">
        <f>D54-G54</f>
        <v>79331</v>
      </c>
      <c r="G54" s="175">
        <v>568092</v>
      </c>
      <c r="H54" s="166">
        <f t="shared" si="0"/>
        <v>0</v>
      </c>
      <c r="I54" s="175">
        <v>568092</v>
      </c>
      <c r="J54" s="62"/>
    </row>
    <row r="55" spans="1:10" s="6" customFormat="1" ht="20.25" customHeight="1">
      <c r="A55" s="29" t="s">
        <v>15</v>
      </c>
      <c r="B55" s="30" t="s">
        <v>16</v>
      </c>
      <c r="C55" s="28" t="s">
        <v>63</v>
      </c>
      <c r="D55" s="21">
        <v>1685000</v>
      </c>
      <c r="E55" s="22">
        <f>100-(F55/D55)*100</f>
        <v>10.979228486646889</v>
      </c>
      <c r="F55" s="21">
        <f>D55-G55</f>
        <v>1500000</v>
      </c>
      <c r="G55" s="175">
        <v>185000</v>
      </c>
      <c r="H55" s="166">
        <f t="shared" si="0"/>
        <v>0</v>
      </c>
      <c r="I55" s="175">
        <v>185000</v>
      </c>
      <c r="J55" s="62"/>
    </row>
    <row r="56" spans="1:10" s="13" customFormat="1" ht="28.5">
      <c r="A56" s="36" t="s">
        <v>64</v>
      </c>
      <c r="B56" s="37" t="s">
        <v>65</v>
      </c>
      <c r="C56" s="38"/>
      <c r="D56" s="17">
        <f>SUM(D57:D67)</f>
        <v>64390619</v>
      </c>
      <c r="E56" s="39"/>
      <c r="F56" s="17">
        <f>SUM(F57:F67)</f>
        <v>40364442</v>
      </c>
      <c r="G56" s="167">
        <f>SUM(G57:G67)</f>
        <v>14519000</v>
      </c>
      <c r="H56" s="166">
        <f t="shared" si="0"/>
        <v>0</v>
      </c>
      <c r="I56" s="167">
        <f>SUM(I57:I67)</f>
        <v>14519000</v>
      </c>
      <c r="J56" s="63"/>
    </row>
    <row r="57" spans="1:10" s="6" customFormat="1" ht="29.25" customHeight="1">
      <c r="A57" s="29" t="s">
        <v>15</v>
      </c>
      <c r="B57" s="30" t="s">
        <v>16</v>
      </c>
      <c r="C57" s="28" t="s">
        <v>66</v>
      </c>
      <c r="D57" s="40">
        <v>6489730</v>
      </c>
      <c r="E57" s="22">
        <f>100-(F57/D57)*100</f>
        <v>30.81792308770936</v>
      </c>
      <c r="F57" s="40">
        <f>D57-G57</f>
        <v>4489730</v>
      </c>
      <c r="G57" s="175">
        <v>2000000</v>
      </c>
      <c r="H57" s="166">
        <f t="shared" si="0"/>
        <v>0</v>
      </c>
      <c r="I57" s="175">
        <v>2000000</v>
      </c>
      <c r="J57" s="62"/>
    </row>
    <row r="58" spans="1:10" s="6" customFormat="1" ht="30">
      <c r="A58" s="29" t="s">
        <v>15</v>
      </c>
      <c r="B58" s="30" t="s">
        <v>16</v>
      </c>
      <c r="C58" s="31" t="s">
        <v>67</v>
      </c>
      <c r="D58" s="40">
        <v>28122370</v>
      </c>
      <c r="E58" s="39">
        <f>100-(F58/D58)*100</f>
        <v>9.723035434069033</v>
      </c>
      <c r="F58" s="42">
        <f>28122370-2734348</f>
        <v>25388022</v>
      </c>
      <c r="G58" s="194">
        <v>2734348</v>
      </c>
      <c r="H58" s="71"/>
      <c r="I58" s="194">
        <f>5500000-2765652</f>
        <v>2734348</v>
      </c>
      <c r="J58" s="177"/>
    </row>
    <row r="59" spans="1:10" s="6" customFormat="1" ht="30">
      <c r="A59" s="29" t="s">
        <v>15</v>
      </c>
      <c r="B59" s="30" t="s">
        <v>16</v>
      </c>
      <c r="C59" s="31" t="s">
        <v>68</v>
      </c>
      <c r="D59" s="40">
        <v>1000000</v>
      </c>
      <c r="E59" s="22"/>
      <c r="F59" s="40"/>
      <c r="G59" s="175">
        <v>1000000</v>
      </c>
      <c r="H59" s="166">
        <f t="shared" si="0"/>
        <v>0</v>
      </c>
      <c r="I59" s="175">
        <v>1000000</v>
      </c>
      <c r="J59" s="62"/>
    </row>
    <row r="60" spans="1:10" s="6" customFormat="1" ht="20.25" customHeight="1">
      <c r="A60" s="29" t="s">
        <v>15</v>
      </c>
      <c r="B60" s="30" t="s">
        <v>32</v>
      </c>
      <c r="C60" s="31" t="s">
        <v>69</v>
      </c>
      <c r="D60" s="40">
        <v>3288517</v>
      </c>
      <c r="E60" s="22">
        <f>100-(F60/D60)*100</f>
        <v>100</v>
      </c>
      <c r="F60" s="40">
        <v>0</v>
      </c>
      <c r="G60" s="194">
        <v>3288517</v>
      </c>
      <c r="H60" s="71"/>
      <c r="I60" s="194">
        <f>2709000+579517</f>
        <v>3288517</v>
      </c>
      <c r="J60" s="249"/>
    </row>
    <row r="61" spans="1:10" s="6" customFormat="1" ht="30">
      <c r="A61" s="29" t="s">
        <v>15</v>
      </c>
      <c r="B61" s="30" t="s">
        <v>32</v>
      </c>
      <c r="C61" s="31" t="s">
        <v>70</v>
      </c>
      <c r="D61" s="40">
        <v>3661135</v>
      </c>
      <c r="E61" s="22">
        <f>100-(F61/D61)*100</f>
        <v>100</v>
      </c>
      <c r="F61" s="40">
        <v>0</v>
      </c>
      <c r="G61" s="194">
        <v>3661135</v>
      </c>
      <c r="H61" s="71"/>
      <c r="I61" s="194">
        <f>1500000+2161135</f>
        <v>3661135</v>
      </c>
      <c r="J61" s="250"/>
    </row>
    <row r="62" spans="1:10" s="6" customFormat="1" ht="30">
      <c r="A62" s="29" t="s">
        <v>15</v>
      </c>
      <c r="B62" s="30" t="s">
        <v>16</v>
      </c>
      <c r="C62" s="31" t="s">
        <v>137</v>
      </c>
      <c r="D62" s="42">
        <v>25000</v>
      </c>
      <c r="E62" s="22"/>
      <c r="F62" s="40"/>
      <c r="G62" s="194">
        <v>25000</v>
      </c>
      <c r="H62" s="71"/>
      <c r="I62" s="194">
        <v>25000</v>
      </c>
      <c r="J62" s="72"/>
    </row>
    <row r="63" spans="1:10" s="6" customFormat="1" ht="30">
      <c r="A63" s="29" t="s">
        <v>15</v>
      </c>
      <c r="B63" s="30" t="s">
        <v>32</v>
      </c>
      <c r="C63" s="31" t="s">
        <v>71</v>
      </c>
      <c r="D63" s="40">
        <v>4022000</v>
      </c>
      <c r="E63" s="22">
        <f>100-(F63/D63)*100</f>
        <v>12.431626056688216</v>
      </c>
      <c r="F63" s="40">
        <f>D63-G63</f>
        <v>3522000</v>
      </c>
      <c r="G63" s="175">
        <v>500000</v>
      </c>
      <c r="H63" s="166">
        <f t="shared" si="0"/>
        <v>0</v>
      </c>
      <c r="I63" s="175">
        <v>500000</v>
      </c>
      <c r="J63" s="62"/>
    </row>
    <row r="64" spans="1:10" s="6" customFormat="1" ht="30">
      <c r="A64" s="29" t="s">
        <v>15</v>
      </c>
      <c r="B64" s="30" t="s">
        <v>16</v>
      </c>
      <c r="C64" s="31" t="s">
        <v>72</v>
      </c>
      <c r="D64" s="32">
        <f>11119030+5462837</f>
        <v>16581867</v>
      </c>
      <c r="E64" s="22">
        <f>100-(F64/D64)*100</f>
        <v>60.3501222148266</v>
      </c>
      <c r="F64" s="21">
        <f>D64-533571-8973579-G64-27</f>
        <v>6574690</v>
      </c>
      <c r="G64" s="175">
        <v>500000</v>
      </c>
      <c r="H64" s="166">
        <f t="shared" si="0"/>
        <v>0</v>
      </c>
      <c r="I64" s="175">
        <v>500000</v>
      </c>
      <c r="J64" s="62"/>
    </row>
    <row r="65" spans="1:10" s="6" customFormat="1" ht="30">
      <c r="A65" s="29" t="s">
        <v>15</v>
      </c>
      <c r="B65" s="30" t="s">
        <v>16</v>
      </c>
      <c r="C65" s="31" t="s">
        <v>73</v>
      </c>
      <c r="D65" s="32">
        <v>600000</v>
      </c>
      <c r="E65" s="22">
        <f>100-(F65/D65)*100</f>
        <v>100</v>
      </c>
      <c r="F65" s="21"/>
      <c r="G65" s="194">
        <v>600000</v>
      </c>
      <c r="H65" s="73"/>
      <c r="I65" s="175">
        <v>600000</v>
      </c>
      <c r="J65" s="62"/>
    </row>
    <row r="66" spans="1:10" s="6" customFormat="1" ht="30.75" customHeight="1">
      <c r="A66" s="29" t="s">
        <v>15</v>
      </c>
      <c r="B66" s="30" t="s">
        <v>16</v>
      </c>
      <c r="C66" s="31" t="s">
        <v>74</v>
      </c>
      <c r="D66" s="32">
        <v>450000</v>
      </c>
      <c r="E66" s="22">
        <f>100-(F66/D66)*100</f>
        <v>13.333333333333329</v>
      </c>
      <c r="F66" s="21">
        <f>D66-G66</f>
        <v>390000</v>
      </c>
      <c r="G66" s="175">
        <v>60000</v>
      </c>
      <c r="H66" s="166">
        <f t="shared" si="0"/>
        <v>0</v>
      </c>
      <c r="I66" s="175">
        <v>60000</v>
      </c>
      <c r="J66" s="62"/>
    </row>
    <row r="67" spans="1:10" s="6" customFormat="1" ht="20.25" customHeight="1">
      <c r="A67" s="29" t="s">
        <v>15</v>
      </c>
      <c r="B67" s="30" t="s">
        <v>16</v>
      </c>
      <c r="C67" s="31" t="s">
        <v>75</v>
      </c>
      <c r="D67" s="32">
        <v>150000</v>
      </c>
      <c r="E67" s="22"/>
      <c r="F67" s="21"/>
      <c r="G67" s="175">
        <v>150000</v>
      </c>
      <c r="H67" s="166">
        <f t="shared" si="0"/>
        <v>0</v>
      </c>
      <c r="I67" s="175">
        <v>150000</v>
      </c>
      <c r="J67" s="62"/>
    </row>
    <row r="68" spans="1:10" s="13" customFormat="1" ht="28.5">
      <c r="A68" s="36" t="s">
        <v>76</v>
      </c>
      <c r="B68" s="41" t="s">
        <v>77</v>
      </c>
      <c r="C68" s="37"/>
      <c r="D68" s="42">
        <f>SUM(D69:D70)</f>
        <v>824500</v>
      </c>
      <c r="E68" s="42">
        <f>SUM(E69:E70)</f>
        <v>0</v>
      </c>
      <c r="F68" s="42">
        <f>SUM(F69:F70)</f>
        <v>0</v>
      </c>
      <c r="G68" s="182">
        <f>SUM(G69:G70)</f>
        <v>824500</v>
      </c>
      <c r="H68" s="166">
        <f t="shared" si="0"/>
        <v>0</v>
      </c>
      <c r="I68" s="182">
        <f>SUM(I69:I70)</f>
        <v>824500</v>
      </c>
      <c r="J68" s="63"/>
    </row>
    <row r="69" spans="1:10" s="6" customFormat="1" ht="30">
      <c r="A69" s="29" t="s">
        <v>15</v>
      </c>
      <c r="B69" s="30" t="s">
        <v>16</v>
      </c>
      <c r="C69" s="30" t="s">
        <v>78</v>
      </c>
      <c r="D69" s="21">
        <v>573500</v>
      </c>
      <c r="E69" s="22"/>
      <c r="F69" s="21"/>
      <c r="G69" s="169">
        <v>573500</v>
      </c>
      <c r="H69" s="166">
        <f t="shared" si="0"/>
        <v>0</v>
      </c>
      <c r="I69" s="169">
        <v>573500</v>
      </c>
      <c r="J69" s="62"/>
    </row>
    <row r="70" spans="1:10" s="13" customFormat="1" ht="210">
      <c r="A70" s="29" t="s">
        <v>79</v>
      </c>
      <c r="B70" s="30" t="s">
        <v>80</v>
      </c>
      <c r="C70" s="30" t="s">
        <v>81</v>
      </c>
      <c r="D70" s="21">
        <v>251000</v>
      </c>
      <c r="E70" s="22"/>
      <c r="F70" s="21"/>
      <c r="G70" s="169">
        <v>251000</v>
      </c>
      <c r="H70" s="166">
        <f t="shared" si="0"/>
        <v>0</v>
      </c>
      <c r="I70" s="169">
        <v>251000</v>
      </c>
      <c r="J70" s="63"/>
    </row>
    <row r="71" spans="1:10" s="13" customFormat="1" ht="28.5">
      <c r="A71" s="36" t="s">
        <v>82</v>
      </c>
      <c r="B71" s="41" t="s">
        <v>83</v>
      </c>
      <c r="C71" s="38"/>
      <c r="D71" s="167">
        <f>SUM(D72:D97)</f>
        <v>7998710</v>
      </c>
      <c r="E71" s="39"/>
      <c r="F71" s="17"/>
      <c r="G71" s="167">
        <f>SUM(G72:G97)</f>
        <v>7211240</v>
      </c>
      <c r="H71" s="166">
        <f t="shared" si="0"/>
        <v>0</v>
      </c>
      <c r="I71" s="167">
        <f>SUM(I72:I97)</f>
        <v>7211240</v>
      </c>
      <c r="J71" s="63"/>
    </row>
    <row r="72" spans="1:10" s="6" customFormat="1" ht="30">
      <c r="A72" s="29" t="s">
        <v>15</v>
      </c>
      <c r="B72" s="30" t="s">
        <v>16</v>
      </c>
      <c r="C72" s="31" t="s">
        <v>84</v>
      </c>
      <c r="D72" s="32">
        <v>120000</v>
      </c>
      <c r="E72" s="22"/>
      <c r="F72" s="21"/>
      <c r="G72" s="175">
        <v>120000</v>
      </c>
      <c r="H72" s="166">
        <f t="shared" si="0"/>
        <v>0</v>
      </c>
      <c r="I72" s="175">
        <v>120000</v>
      </c>
      <c r="J72" s="62"/>
    </row>
    <row r="73" spans="1:10" s="6" customFormat="1" ht="30">
      <c r="A73" s="29" t="s">
        <v>47</v>
      </c>
      <c r="B73" s="30" t="s">
        <v>48</v>
      </c>
      <c r="C73" s="31" t="s">
        <v>85</v>
      </c>
      <c r="D73" s="21">
        <v>511700</v>
      </c>
      <c r="E73" s="22">
        <f>100-(F73/D73)*100</f>
        <v>100</v>
      </c>
      <c r="F73" s="21"/>
      <c r="G73" s="175">
        <f>40340+10</f>
        <v>40350</v>
      </c>
      <c r="H73" s="166">
        <f t="shared" si="0"/>
        <v>0</v>
      </c>
      <c r="I73" s="175">
        <f>40340+10</f>
        <v>40350</v>
      </c>
      <c r="J73" s="62"/>
    </row>
    <row r="74" spans="1:10" s="6" customFormat="1" ht="30">
      <c r="A74" s="29" t="s">
        <v>47</v>
      </c>
      <c r="B74" s="30" t="s">
        <v>48</v>
      </c>
      <c r="C74" s="31" t="s">
        <v>86</v>
      </c>
      <c r="D74" s="21"/>
      <c r="E74" s="22"/>
      <c r="F74" s="21"/>
      <c r="G74" s="175">
        <v>161400</v>
      </c>
      <c r="H74" s="166">
        <f aca="true" t="shared" si="1" ref="H74:H116">SUM(I74-G74)</f>
        <v>0</v>
      </c>
      <c r="I74" s="175">
        <v>161400</v>
      </c>
      <c r="J74" s="62"/>
    </row>
    <row r="75" spans="1:10" s="6" customFormat="1" ht="30">
      <c r="A75" s="29" t="s">
        <v>47</v>
      </c>
      <c r="B75" s="30" t="s">
        <v>48</v>
      </c>
      <c r="C75" s="31" t="s">
        <v>87</v>
      </c>
      <c r="D75" s="21">
        <v>530600</v>
      </c>
      <c r="E75" s="22">
        <f>100-(F75/D75)*100</f>
        <v>100</v>
      </c>
      <c r="F75" s="21"/>
      <c r="G75" s="175">
        <f>56120+5</f>
        <v>56125</v>
      </c>
      <c r="H75" s="166">
        <f t="shared" si="1"/>
        <v>0</v>
      </c>
      <c r="I75" s="175">
        <f>56120+5</f>
        <v>56125</v>
      </c>
      <c r="J75" s="62"/>
    </row>
    <row r="76" spans="1:10" s="6" customFormat="1" ht="30">
      <c r="A76" s="29" t="s">
        <v>47</v>
      </c>
      <c r="B76" s="30" t="s">
        <v>48</v>
      </c>
      <c r="C76" s="31" t="s">
        <v>88</v>
      </c>
      <c r="D76" s="21"/>
      <c r="E76" s="22"/>
      <c r="F76" s="21"/>
      <c r="G76" s="175">
        <v>224500</v>
      </c>
      <c r="H76" s="166">
        <f t="shared" si="1"/>
        <v>0</v>
      </c>
      <c r="I76" s="175">
        <v>224500</v>
      </c>
      <c r="J76" s="62"/>
    </row>
    <row r="77" spans="1:10" s="6" customFormat="1" ht="30">
      <c r="A77" s="29" t="s">
        <v>47</v>
      </c>
      <c r="B77" s="30" t="s">
        <v>48</v>
      </c>
      <c r="C77" s="31" t="s">
        <v>89</v>
      </c>
      <c r="D77" s="21">
        <v>600600</v>
      </c>
      <c r="E77" s="22">
        <f>100-(F77/D77)*100</f>
        <v>100</v>
      </c>
      <c r="F77" s="21"/>
      <c r="G77" s="175">
        <f>112360+40</f>
        <v>112400</v>
      </c>
      <c r="H77" s="166">
        <f t="shared" si="1"/>
        <v>0</v>
      </c>
      <c r="I77" s="175">
        <f>112360+40</f>
        <v>112400</v>
      </c>
      <c r="J77" s="62"/>
    </row>
    <row r="78" spans="1:10" s="6" customFormat="1" ht="30">
      <c r="A78" s="29" t="s">
        <v>47</v>
      </c>
      <c r="B78" s="30" t="s">
        <v>48</v>
      </c>
      <c r="C78" s="31" t="s">
        <v>90</v>
      </c>
      <c r="D78" s="21"/>
      <c r="E78" s="22"/>
      <c r="F78" s="21"/>
      <c r="G78" s="175">
        <v>449400</v>
      </c>
      <c r="H78" s="166">
        <f t="shared" si="1"/>
        <v>0</v>
      </c>
      <c r="I78" s="175">
        <v>449400</v>
      </c>
      <c r="J78" s="62"/>
    </row>
    <row r="79" spans="1:10" s="6" customFormat="1" ht="30">
      <c r="A79" s="29" t="s">
        <v>47</v>
      </c>
      <c r="B79" s="30" t="s">
        <v>48</v>
      </c>
      <c r="C79" s="31" t="s">
        <v>91</v>
      </c>
      <c r="D79" s="21">
        <v>606300</v>
      </c>
      <c r="E79" s="22">
        <f>100-(F79/D79)*100</f>
        <v>100</v>
      </c>
      <c r="F79" s="21"/>
      <c r="G79" s="175">
        <f>113240+10</f>
        <v>113250</v>
      </c>
      <c r="H79" s="166">
        <f t="shared" si="1"/>
        <v>0</v>
      </c>
      <c r="I79" s="175">
        <f>113240+10</f>
        <v>113250</v>
      </c>
      <c r="J79" s="62"/>
    </row>
    <row r="80" spans="1:10" s="6" customFormat="1" ht="30">
      <c r="A80" s="29" t="s">
        <v>47</v>
      </c>
      <c r="B80" s="30" t="s">
        <v>48</v>
      </c>
      <c r="C80" s="31" t="s">
        <v>92</v>
      </c>
      <c r="D80" s="21"/>
      <c r="E80" s="22"/>
      <c r="F80" s="21"/>
      <c r="G80" s="175">
        <v>453000</v>
      </c>
      <c r="H80" s="166">
        <f t="shared" si="1"/>
        <v>0</v>
      </c>
      <c r="I80" s="175">
        <v>453000</v>
      </c>
      <c r="J80" s="62"/>
    </row>
    <row r="81" spans="1:10" s="6" customFormat="1" ht="30">
      <c r="A81" s="29" t="s">
        <v>47</v>
      </c>
      <c r="B81" s="30" t="s">
        <v>48</v>
      </c>
      <c r="C81" s="31" t="s">
        <v>93</v>
      </c>
      <c r="D81" s="21">
        <v>637240</v>
      </c>
      <c r="E81" s="22">
        <f>100-(F81/D81)*100</f>
        <v>100</v>
      </c>
      <c r="F81" s="21"/>
      <c r="G81" s="175">
        <f>97720+5</f>
        <v>97725</v>
      </c>
      <c r="H81" s="166">
        <f t="shared" si="1"/>
        <v>0</v>
      </c>
      <c r="I81" s="175">
        <f>97720+5</f>
        <v>97725</v>
      </c>
      <c r="J81" s="62"/>
    </row>
    <row r="82" spans="1:10" s="6" customFormat="1" ht="32.25" customHeight="1">
      <c r="A82" s="29" t="s">
        <v>47</v>
      </c>
      <c r="B82" s="30" t="s">
        <v>48</v>
      </c>
      <c r="C82" s="31" t="s">
        <v>94</v>
      </c>
      <c r="D82" s="21"/>
      <c r="E82" s="22"/>
      <c r="F82" s="21"/>
      <c r="G82" s="175">
        <v>390900</v>
      </c>
      <c r="H82" s="166">
        <f t="shared" si="1"/>
        <v>0</v>
      </c>
      <c r="I82" s="175">
        <v>390900</v>
      </c>
      <c r="J82" s="62"/>
    </row>
    <row r="83" spans="1:10" s="6" customFormat="1" ht="32.25" customHeight="1">
      <c r="A83" s="29" t="s">
        <v>47</v>
      </c>
      <c r="B83" s="30" t="s">
        <v>48</v>
      </c>
      <c r="C83" s="31" t="s">
        <v>95</v>
      </c>
      <c r="D83" s="21">
        <v>620000</v>
      </c>
      <c r="E83" s="22">
        <f>100-(F83/D83)*100</f>
        <v>100</v>
      </c>
      <c r="F83" s="21"/>
      <c r="G83" s="175">
        <v>124000</v>
      </c>
      <c r="H83" s="166">
        <f t="shared" si="1"/>
        <v>0</v>
      </c>
      <c r="I83" s="175">
        <v>124000</v>
      </c>
      <c r="J83" s="62"/>
    </row>
    <row r="84" spans="1:10" s="6" customFormat="1" ht="32.25" customHeight="1">
      <c r="A84" s="29" t="s">
        <v>47</v>
      </c>
      <c r="B84" s="30" t="s">
        <v>48</v>
      </c>
      <c r="C84" s="31" t="s">
        <v>96</v>
      </c>
      <c r="D84" s="21"/>
      <c r="E84" s="22"/>
      <c r="F84" s="21"/>
      <c r="G84" s="175">
        <v>496000</v>
      </c>
      <c r="H84" s="166">
        <f t="shared" si="1"/>
        <v>0</v>
      </c>
      <c r="I84" s="175">
        <v>496000</v>
      </c>
      <c r="J84" s="62"/>
    </row>
    <row r="85" spans="1:10" s="6" customFormat="1" ht="32.25" customHeight="1">
      <c r="A85" s="29" t="s">
        <v>47</v>
      </c>
      <c r="B85" s="30" t="s">
        <v>48</v>
      </c>
      <c r="C85" s="31" t="s">
        <v>97</v>
      </c>
      <c r="D85" s="21">
        <v>580000</v>
      </c>
      <c r="E85" s="22">
        <f>100-(F85/D85)*100</f>
        <v>100</v>
      </c>
      <c r="F85" s="21"/>
      <c r="G85" s="175">
        <v>116000</v>
      </c>
      <c r="H85" s="166">
        <f t="shared" si="1"/>
        <v>0</v>
      </c>
      <c r="I85" s="175">
        <v>116000</v>
      </c>
      <c r="J85" s="62"/>
    </row>
    <row r="86" spans="1:10" s="6" customFormat="1" ht="32.25" customHeight="1">
      <c r="A86" s="29" t="s">
        <v>47</v>
      </c>
      <c r="B86" s="30" t="s">
        <v>48</v>
      </c>
      <c r="C86" s="31" t="s">
        <v>98</v>
      </c>
      <c r="D86" s="21"/>
      <c r="E86" s="22"/>
      <c r="F86" s="21"/>
      <c r="G86" s="175">
        <v>464000</v>
      </c>
      <c r="H86" s="166">
        <f t="shared" si="1"/>
        <v>0</v>
      </c>
      <c r="I86" s="175">
        <v>464000</v>
      </c>
      <c r="J86" s="62"/>
    </row>
    <row r="87" spans="1:10" s="6" customFormat="1" ht="32.25" customHeight="1">
      <c r="A87" s="29" t="s">
        <v>47</v>
      </c>
      <c r="B87" s="30" t="s">
        <v>48</v>
      </c>
      <c r="C87" s="31" t="s">
        <v>99</v>
      </c>
      <c r="D87" s="21">
        <v>855000</v>
      </c>
      <c r="E87" s="22">
        <f>100-(F87/D87)*100</f>
        <v>100</v>
      </c>
      <c r="F87" s="21"/>
      <c r="G87" s="175">
        <v>171000</v>
      </c>
      <c r="H87" s="166">
        <f t="shared" si="1"/>
        <v>0</v>
      </c>
      <c r="I87" s="175">
        <v>171000</v>
      </c>
      <c r="J87" s="62"/>
    </row>
    <row r="88" spans="1:10" s="6" customFormat="1" ht="32.25" customHeight="1">
      <c r="A88" s="29" t="s">
        <v>47</v>
      </c>
      <c r="B88" s="30" t="s">
        <v>48</v>
      </c>
      <c r="C88" s="31" t="s">
        <v>100</v>
      </c>
      <c r="D88" s="21"/>
      <c r="E88" s="22"/>
      <c r="F88" s="21"/>
      <c r="G88" s="175">
        <v>684000</v>
      </c>
      <c r="H88" s="166">
        <f t="shared" si="1"/>
        <v>0</v>
      </c>
      <c r="I88" s="175">
        <v>684000</v>
      </c>
      <c r="J88" s="62"/>
    </row>
    <row r="89" spans="1:10" s="6" customFormat="1" ht="32.25" customHeight="1">
      <c r="A89" s="29" t="s">
        <v>47</v>
      </c>
      <c r="B89" s="30" t="s">
        <v>48</v>
      </c>
      <c r="C89" s="31" t="s">
        <v>101</v>
      </c>
      <c r="D89" s="21">
        <v>584900</v>
      </c>
      <c r="E89" s="22">
        <f>100-(F89/D89)*100</f>
        <v>100</v>
      </c>
      <c r="F89" s="21"/>
      <c r="G89" s="175">
        <v>116980</v>
      </c>
      <c r="H89" s="166">
        <f t="shared" si="1"/>
        <v>0</v>
      </c>
      <c r="I89" s="175">
        <v>116980</v>
      </c>
      <c r="J89" s="62"/>
    </row>
    <row r="90" spans="1:10" s="6" customFormat="1" ht="32.25" customHeight="1">
      <c r="A90" s="29" t="s">
        <v>47</v>
      </c>
      <c r="B90" s="30" t="s">
        <v>48</v>
      </c>
      <c r="C90" s="31" t="s">
        <v>102</v>
      </c>
      <c r="D90" s="21"/>
      <c r="E90" s="22"/>
      <c r="F90" s="21"/>
      <c r="G90" s="175">
        <v>467900</v>
      </c>
      <c r="H90" s="166">
        <f t="shared" si="1"/>
        <v>0</v>
      </c>
      <c r="I90" s="175">
        <v>467900</v>
      </c>
      <c r="J90" s="62"/>
    </row>
    <row r="91" spans="1:10" s="6" customFormat="1" ht="32.25" customHeight="1">
      <c r="A91" s="29" t="s">
        <v>47</v>
      </c>
      <c r="B91" s="30" t="s">
        <v>48</v>
      </c>
      <c r="C91" s="31" t="s">
        <v>103</v>
      </c>
      <c r="D91" s="21">
        <v>854900</v>
      </c>
      <c r="E91" s="22">
        <f>100-(F91/D91)*100</f>
        <v>100</v>
      </c>
      <c r="F91" s="21"/>
      <c r="G91" s="175">
        <v>170980</v>
      </c>
      <c r="H91" s="166">
        <f t="shared" si="1"/>
        <v>0</v>
      </c>
      <c r="I91" s="175">
        <v>170980</v>
      </c>
      <c r="J91" s="62"/>
    </row>
    <row r="92" spans="1:10" s="6" customFormat="1" ht="32.25" customHeight="1">
      <c r="A92" s="29" t="s">
        <v>47</v>
      </c>
      <c r="B92" s="30" t="s">
        <v>48</v>
      </c>
      <c r="C92" s="31" t="s">
        <v>104</v>
      </c>
      <c r="D92" s="21"/>
      <c r="E92" s="22"/>
      <c r="F92" s="21"/>
      <c r="G92" s="175">
        <v>683900</v>
      </c>
      <c r="H92" s="166">
        <f t="shared" si="1"/>
        <v>0</v>
      </c>
      <c r="I92" s="175">
        <v>683900</v>
      </c>
      <c r="J92" s="62"/>
    </row>
    <row r="93" spans="1:10" s="6" customFormat="1" ht="32.25" customHeight="1">
      <c r="A93" s="29" t="s">
        <v>47</v>
      </c>
      <c r="B93" s="30" t="s">
        <v>48</v>
      </c>
      <c r="C93" s="31" t="s">
        <v>105</v>
      </c>
      <c r="D93" s="21">
        <v>873400</v>
      </c>
      <c r="E93" s="22">
        <f>100-(F93/D93)*100</f>
        <v>100</v>
      </c>
      <c r="F93" s="21"/>
      <c r="G93" s="175">
        <v>174680</v>
      </c>
      <c r="H93" s="166">
        <f t="shared" si="1"/>
        <v>0</v>
      </c>
      <c r="I93" s="175">
        <v>174680</v>
      </c>
      <c r="J93" s="62"/>
    </row>
    <row r="94" spans="1:10" s="6" customFormat="1" ht="32.25" customHeight="1">
      <c r="A94" s="29" t="s">
        <v>47</v>
      </c>
      <c r="B94" s="30" t="s">
        <v>48</v>
      </c>
      <c r="C94" s="31" t="s">
        <v>106</v>
      </c>
      <c r="D94" s="21"/>
      <c r="E94" s="22"/>
      <c r="F94" s="21"/>
      <c r="G94" s="175">
        <v>698700</v>
      </c>
      <c r="H94" s="166">
        <f t="shared" si="1"/>
        <v>0</v>
      </c>
      <c r="I94" s="175">
        <v>698700</v>
      </c>
      <c r="J94" s="62"/>
    </row>
    <row r="95" spans="1:10" s="6" customFormat="1" ht="32.25" customHeight="1">
      <c r="A95" s="29" t="s">
        <v>47</v>
      </c>
      <c r="B95" s="30" t="s">
        <v>48</v>
      </c>
      <c r="C95" s="31" t="s">
        <v>107</v>
      </c>
      <c r="D95" s="21">
        <v>223900</v>
      </c>
      <c r="E95" s="22">
        <f>100-(F95/D95)*100</f>
        <v>100</v>
      </c>
      <c r="F95" s="21"/>
      <c r="G95" s="175">
        <v>44780</v>
      </c>
      <c r="H95" s="166">
        <f t="shared" si="1"/>
        <v>0</v>
      </c>
      <c r="I95" s="175">
        <v>44780</v>
      </c>
      <c r="J95" s="62"/>
    </row>
    <row r="96" spans="1:10" s="6" customFormat="1" ht="32.25" customHeight="1">
      <c r="A96" s="29" t="s">
        <v>47</v>
      </c>
      <c r="B96" s="30" t="s">
        <v>48</v>
      </c>
      <c r="C96" s="31" t="s">
        <v>108</v>
      </c>
      <c r="D96" s="21"/>
      <c r="E96" s="22"/>
      <c r="F96" s="21"/>
      <c r="G96" s="175">
        <v>179100</v>
      </c>
      <c r="H96" s="166">
        <f t="shared" si="1"/>
        <v>0</v>
      </c>
      <c r="I96" s="175">
        <v>179100</v>
      </c>
      <c r="J96" s="62"/>
    </row>
    <row r="97" spans="1:10" s="6" customFormat="1" ht="35.25" customHeight="1">
      <c r="A97" s="29" t="s">
        <v>15</v>
      </c>
      <c r="B97" s="30" t="s">
        <v>16</v>
      </c>
      <c r="C97" s="34" t="s">
        <v>140</v>
      </c>
      <c r="D97" s="17">
        <v>400170</v>
      </c>
      <c r="E97" s="22"/>
      <c r="F97" s="21"/>
      <c r="G97" s="175">
        <v>400170</v>
      </c>
      <c r="H97" s="195"/>
      <c r="I97" s="196">
        <v>400170</v>
      </c>
      <c r="J97" s="62"/>
    </row>
    <row r="98" spans="1:10" s="13" customFormat="1" ht="28.5">
      <c r="A98" s="36" t="s">
        <v>109</v>
      </c>
      <c r="B98" s="41" t="s">
        <v>110</v>
      </c>
      <c r="C98" s="16"/>
      <c r="D98" s="42">
        <f>SUM(D99:D100)</f>
        <v>13400000</v>
      </c>
      <c r="E98" s="42"/>
      <c r="F98" s="42">
        <f>SUM(F99:F100)</f>
        <v>0</v>
      </c>
      <c r="G98" s="182">
        <f>SUM(G99:G100)</f>
        <v>13400000</v>
      </c>
      <c r="H98" s="166">
        <f t="shared" si="1"/>
        <v>0</v>
      </c>
      <c r="I98" s="182">
        <f>SUM(I99:I100)</f>
        <v>13400000</v>
      </c>
      <c r="J98" s="63"/>
    </row>
    <row r="99" spans="1:10" s="6" customFormat="1" ht="60">
      <c r="A99" s="29" t="s">
        <v>111</v>
      </c>
      <c r="B99" s="30" t="s">
        <v>112</v>
      </c>
      <c r="C99" s="43" t="s">
        <v>113</v>
      </c>
      <c r="D99" s="40">
        <v>6700000</v>
      </c>
      <c r="E99" s="22"/>
      <c r="F99" s="21"/>
      <c r="G99" s="175">
        <v>6700000</v>
      </c>
      <c r="H99" s="166">
        <f t="shared" si="1"/>
        <v>0</v>
      </c>
      <c r="I99" s="175">
        <v>6700000</v>
      </c>
      <c r="J99" s="62"/>
    </row>
    <row r="100" spans="1:10" s="6" customFormat="1" ht="60">
      <c r="A100" s="29" t="s">
        <v>111</v>
      </c>
      <c r="B100" s="30" t="s">
        <v>112</v>
      </c>
      <c r="C100" s="43" t="s">
        <v>114</v>
      </c>
      <c r="D100" s="32">
        <v>6700000</v>
      </c>
      <c r="E100" s="22"/>
      <c r="F100" s="21"/>
      <c r="G100" s="175">
        <v>6700000</v>
      </c>
      <c r="H100" s="166">
        <f t="shared" si="1"/>
        <v>0</v>
      </c>
      <c r="I100" s="175">
        <v>6700000</v>
      </c>
      <c r="J100" s="62"/>
    </row>
    <row r="101" spans="1:10" s="6" customFormat="1" ht="15" hidden="1">
      <c r="A101" s="29"/>
      <c r="B101" s="30"/>
      <c r="C101" s="28" t="s">
        <v>115</v>
      </c>
      <c r="D101" s="40">
        <f>3500000-3500000</f>
        <v>0</v>
      </c>
      <c r="E101" s="22"/>
      <c r="F101" s="21"/>
      <c r="G101" s="175">
        <f>3500000-3500000</f>
        <v>0</v>
      </c>
      <c r="H101" s="166">
        <f t="shared" si="1"/>
        <v>0</v>
      </c>
      <c r="I101" s="175">
        <f>3500000-3500000</f>
        <v>0</v>
      </c>
      <c r="J101" s="62"/>
    </row>
    <row r="102" spans="1:10" s="13" customFormat="1" ht="28.5">
      <c r="A102" s="36" t="s">
        <v>116</v>
      </c>
      <c r="B102" s="41" t="s">
        <v>117</v>
      </c>
      <c r="C102" s="37"/>
      <c r="D102" s="17">
        <f>SUM(D103:D108)</f>
        <v>21677897</v>
      </c>
      <c r="E102" s="17"/>
      <c r="F102" s="17">
        <f>SUM(F103:F108)</f>
        <v>16471802</v>
      </c>
      <c r="G102" s="167">
        <f>SUM(G103:G108)</f>
        <v>4580845</v>
      </c>
      <c r="H102" s="166">
        <f t="shared" si="1"/>
        <v>0</v>
      </c>
      <c r="I102" s="167">
        <f>SUM(I103:I108)</f>
        <v>4580845</v>
      </c>
      <c r="J102" s="63"/>
    </row>
    <row r="103" spans="1:10" s="6" customFormat="1" ht="21" customHeight="1">
      <c r="A103" s="29" t="s">
        <v>15</v>
      </c>
      <c r="B103" s="30" t="s">
        <v>16</v>
      </c>
      <c r="C103" s="35" t="s">
        <v>118</v>
      </c>
      <c r="D103" s="21">
        <v>684145</v>
      </c>
      <c r="E103" s="22">
        <f aca="true" t="shared" si="2" ref="E103:E108">100-(F103/D103)*100</f>
        <v>49.697067142199394</v>
      </c>
      <c r="F103" s="21">
        <f>D103-G103-40000</f>
        <v>344145</v>
      </c>
      <c r="G103" s="175">
        <f>500000-200000</f>
        <v>300000</v>
      </c>
      <c r="H103" s="166">
        <f t="shared" si="1"/>
        <v>0</v>
      </c>
      <c r="I103" s="175">
        <f>500000-200000</f>
        <v>300000</v>
      </c>
      <c r="J103" s="62"/>
    </row>
    <row r="104" spans="1:10" s="6" customFormat="1" ht="21.75" customHeight="1">
      <c r="A104" s="29" t="s">
        <v>15</v>
      </c>
      <c r="B104" s="30" t="s">
        <v>16</v>
      </c>
      <c r="C104" s="35" t="s">
        <v>119</v>
      </c>
      <c r="D104" s="21">
        <f>700000+13429905</f>
        <v>14129905</v>
      </c>
      <c r="E104" s="22">
        <f t="shared" si="2"/>
        <v>1.627753335921227</v>
      </c>
      <c r="F104" s="21">
        <f>D104-G104</f>
        <v>13899905</v>
      </c>
      <c r="G104" s="175">
        <f>700000-200000-270000</f>
        <v>230000</v>
      </c>
      <c r="H104" s="166">
        <f t="shared" si="1"/>
        <v>0</v>
      </c>
      <c r="I104" s="175">
        <f>700000-200000-270000</f>
        <v>230000</v>
      </c>
      <c r="J104" s="62"/>
    </row>
    <row r="105" spans="1:10" s="6" customFormat="1" ht="30">
      <c r="A105" s="29" t="s">
        <v>15</v>
      </c>
      <c r="B105" s="30" t="s">
        <v>16</v>
      </c>
      <c r="C105" s="35" t="s">
        <v>120</v>
      </c>
      <c r="D105" s="21">
        <v>4312001</v>
      </c>
      <c r="E105" s="22">
        <f t="shared" si="2"/>
        <v>71.10608276760604</v>
      </c>
      <c r="F105" s="21">
        <f>D105-585250-G105</f>
        <v>1245906</v>
      </c>
      <c r="G105" s="169">
        <f>1980845+500000</f>
        <v>2480845</v>
      </c>
      <c r="H105" s="166">
        <f t="shared" si="1"/>
        <v>0</v>
      </c>
      <c r="I105" s="169">
        <f>1980845+500000</f>
        <v>2480845</v>
      </c>
      <c r="J105" s="62"/>
    </row>
    <row r="106" spans="1:10" s="6" customFormat="1" ht="30">
      <c r="A106" s="29" t="s">
        <v>15</v>
      </c>
      <c r="B106" s="30" t="s">
        <v>16</v>
      </c>
      <c r="C106" s="35" t="s">
        <v>121</v>
      </c>
      <c r="D106" s="21">
        <f>700000+1158645</f>
        <v>1858645</v>
      </c>
      <c r="E106" s="22">
        <f t="shared" si="2"/>
        <v>52.18855671739359</v>
      </c>
      <c r="F106" s="21">
        <f>D106-G106</f>
        <v>888645</v>
      </c>
      <c r="G106" s="175">
        <f>700000+270000</f>
        <v>970000</v>
      </c>
      <c r="H106" s="166">
        <f t="shared" si="1"/>
        <v>0</v>
      </c>
      <c r="I106" s="175">
        <f>700000+270000</f>
        <v>970000</v>
      </c>
      <c r="J106" s="62"/>
    </row>
    <row r="107" spans="1:10" s="6" customFormat="1" ht="30">
      <c r="A107" s="29" t="s">
        <v>15</v>
      </c>
      <c r="B107" s="30" t="s">
        <v>16</v>
      </c>
      <c r="C107" s="35" t="s">
        <v>122</v>
      </c>
      <c r="D107" s="21">
        <f>208000+963</f>
        <v>208963</v>
      </c>
      <c r="E107" s="22">
        <f t="shared" si="2"/>
        <v>95.71072390806027</v>
      </c>
      <c r="F107" s="21">
        <f>D107-G107</f>
        <v>8963</v>
      </c>
      <c r="G107" s="175">
        <v>200000</v>
      </c>
      <c r="H107" s="166">
        <f t="shared" si="1"/>
        <v>0</v>
      </c>
      <c r="I107" s="175">
        <v>200000</v>
      </c>
      <c r="J107" s="62"/>
    </row>
    <row r="108" spans="1:10" s="6" customFormat="1" ht="30">
      <c r="A108" s="29" t="s">
        <v>15</v>
      </c>
      <c r="B108" s="30" t="s">
        <v>16</v>
      </c>
      <c r="C108" s="35" t="s">
        <v>123</v>
      </c>
      <c r="D108" s="21">
        <f>400000+84238</f>
        <v>484238</v>
      </c>
      <c r="E108" s="22">
        <f t="shared" si="2"/>
        <v>82.60400877254574</v>
      </c>
      <c r="F108" s="21">
        <f>D108-G108</f>
        <v>84238</v>
      </c>
      <c r="G108" s="175">
        <v>400000</v>
      </c>
      <c r="H108" s="166">
        <f t="shared" si="1"/>
        <v>0</v>
      </c>
      <c r="I108" s="175">
        <v>400000</v>
      </c>
      <c r="J108" s="62"/>
    </row>
    <row r="109" spans="1:10" s="45" customFormat="1" ht="28.5">
      <c r="A109" s="44" t="s">
        <v>124</v>
      </c>
      <c r="B109" s="37" t="s">
        <v>125</v>
      </c>
      <c r="C109" s="37"/>
      <c r="D109" s="17">
        <f>SUM(D110:D113)</f>
        <v>15031000</v>
      </c>
      <c r="E109" s="17"/>
      <c r="F109" s="17">
        <f>SUM(F110:F113)</f>
        <v>10069000</v>
      </c>
      <c r="G109" s="167">
        <f>SUM(G110:G113)</f>
        <v>3113600</v>
      </c>
      <c r="H109" s="166">
        <f t="shared" si="1"/>
        <v>0</v>
      </c>
      <c r="I109" s="167">
        <f>SUM(I110:I113)</f>
        <v>3113600</v>
      </c>
      <c r="J109" s="64"/>
    </row>
    <row r="110" spans="1:10" s="46" customFormat="1" ht="30">
      <c r="A110" s="29" t="s">
        <v>15</v>
      </c>
      <c r="B110" s="30" t="s">
        <v>16</v>
      </c>
      <c r="C110" s="35" t="s">
        <v>126</v>
      </c>
      <c r="D110" s="21">
        <v>4201000</v>
      </c>
      <c r="E110" s="22">
        <f>100-(F110/D110)*100</f>
        <v>39.0859319209712</v>
      </c>
      <c r="F110" s="21">
        <v>2559000</v>
      </c>
      <c r="G110" s="169">
        <v>1000000</v>
      </c>
      <c r="H110" s="166">
        <f t="shared" si="1"/>
        <v>0</v>
      </c>
      <c r="I110" s="169">
        <v>1000000</v>
      </c>
      <c r="J110" s="65"/>
    </row>
    <row r="111" spans="1:10" s="46" customFormat="1" ht="30">
      <c r="A111" s="29" t="s">
        <v>15</v>
      </c>
      <c r="B111" s="30" t="s">
        <v>16</v>
      </c>
      <c r="C111" s="35" t="s">
        <v>127</v>
      </c>
      <c r="D111" s="21">
        <v>120000</v>
      </c>
      <c r="E111" s="22"/>
      <c r="F111" s="21"/>
      <c r="G111" s="175">
        <v>120000</v>
      </c>
      <c r="H111" s="166">
        <f t="shared" si="1"/>
        <v>0</v>
      </c>
      <c r="I111" s="175">
        <v>120000</v>
      </c>
      <c r="J111" s="65"/>
    </row>
    <row r="112" spans="1:10" s="46" customFormat="1" ht="30">
      <c r="A112" s="29" t="s">
        <v>47</v>
      </c>
      <c r="B112" s="30" t="s">
        <v>48</v>
      </c>
      <c r="C112" s="35" t="s">
        <v>128</v>
      </c>
      <c r="D112" s="21">
        <v>2200000</v>
      </c>
      <c r="E112" s="22"/>
      <c r="F112" s="21"/>
      <c r="G112" s="169">
        <v>993600</v>
      </c>
      <c r="H112" s="166">
        <f t="shared" si="1"/>
        <v>0</v>
      </c>
      <c r="I112" s="169">
        <v>993600</v>
      </c>
      <c r="J112" s="65"/>
    </row>
    <row r="113" spans="1:10" s="46" customFormat="1" ht="30">
      <c r="A113" s="29" t="s">
        <v>47</v>
      </c>
      <c r="B113" s="30" t="s">
        <v>48</v>
      </c>
      <c r="C113" s="35" t="s">
        <v>129</v>
      </c>
      <c r="D113" s="21">
        <v>8510000</v>
      </c>
      <c r="E113" s="22">
        <f>100-(F113/D113)*100</f>
        <v>11.750881316098699</v>
      </c>
      <c r="F113" s="21">
        <f>D113-G113</f>
        <v>7510000</v>
      </c>
      <c r="G113" s="169">
        <v>1000000</v>
      </c>
      <c r="H113" s="166">
        <f t="shared" si="1"/>
        <v>0</v>
      </c>
      <c r="I113" s="169">
        <v>1000000</v>
      </c>
      <c r="J113" s="65"/>
    </row>
    <row r="114" spans="1:10" s="45" customFormat="1" ht="27.75" customHeight="1">
      <c r="A114" s="36" t="s">
        <v>130</v>
      </c>
      <c r="B114" s="41" t="s">
        <v>131</v>
      </c>
      <c r="C114" s="47"/>
      <c r="D114" s="17">
        <f>D115</f>
        <v>15046576</v>
      </c>
      <c r="E114" s="39"/>
      <c r="F114" s="17">
        <f>F115</f>
        <v>13127200</v>
      </c>
      <c r="G114" s="167">
        <f>G115</f>
        <v>1000000</v>
      </c>
      <c r="H114" s="166">
        <f t="shared" si="1"/>
        <v>0</v>
      </c>
      <c r="I114" s="167">
        <f>I115</f>
        <v>1000000</v>
      </c>
      <c r="J114" s="64"/>
    </row>
    <row r="115" spans="1:10" s="46" customFormat="1" ht="24" customHeight="1">
      <c r="A115" s="29" t="s">
        <v>15</v>
      </c>
      <c r="B115" s="30" t="s">
        <v>16</v>
      </c>
      <c r="C115" s="35" t="s">
        <v>132</v>
      </c>
      <c r="D115" s="21">
        <v>15046576</v>
      </c>
      <c r="E115" s="22">
        <f>100-(F115/D115)*100</f>
        <v>12.756231052167621</v>
      </c>
      <c r="F115" s="21">
        <f>D115-G115-169876-749500</f>
        <v>13127200</v>
      </c>
      <c r="G115" s="175">
        <v>1000000</v>
      </c>
      <c r="H115" s="166">
        <f t="shared" si="1"/>
        <v>0</v>
      </c>
      <c r="I115" s="175">
        <v>1000000</v>
      </c>
      <c r="J115" s="65"/>
    </row>
    <row r="116" spans="1:10" s="13" customFormat="1" ht="23.25" customHeight="1" thickBot="1">
      <c r="A116" s="48"/>
      <c r="B116" s="49"/>
      <c r="C116" s="49" t="s">
        <v>133</v>
      </c>
      <c r="D116" s="183">
        <f>D10+D11+D56+D71+D98+D102+D109+D114+D68</f>
        <v>2561675622</v>
      </c>
      <c r="E116" s="183"/>
      <c r="F116" s="183">
        <f>F10+F11+F56+F71+F98+F102+F109+F114+F68</f>
        <v>1717875198</v>
      </c>
      <c r="G116" s="184">
        <f>G10+G11+G56+G71+G98+G102+G109+G114+G68</f>
        <v>374163609</v>
      </c>
      <c r="H116" s="166">
        <f t="shared" si="1"/>
        <v>0</v>
      </c>
      <c r="I116" s="184">
        <f>I10+I11+I56+I71+I98+I102+I109+I114+I68</f>
        <v>374163609</v>
      </c>
      <c r="J116" s="63"/>
    </row>
    <row r="117" spans="1:7" ht="18" customHeight="1">
      <c r="A117" s="50"/>
      <c r="B117" s="51"/>
      <c r="C117" s="3"/>
      <c r="D117" s="52"/>
      <c r="E117" s="53"/>
      <c r="F117" s="52"/>
      <c r="G117" s="185"/>
    </row>
    <row r="118" spans="1:6" ht="12.75">
      <c r="A118" s="186"/>
      <c r="B118" s="187"/>
      <c r="D118" s="188"/>
      <c r="E118" s="189"/>
      <c r="F118" s="190"/>
    </row>
    <row r="120" spans="2:10" s="54" customFormat="1" ht="56.25" customHeight="1">
      <c r="B120" s="55" t="s">
        <v>136</v>
      </c>
      <c r="F120" s="54" t="s">
        <v>181</v>
      </c>
      <c r="H120" s="56"/>
      <c r="J120" s="62"/>
    </row>
    <row r="121" spans="7:10" s="57" customFormat="1" ht="19.5">
      <c r="G121" s="191"/>
      <c r="H121" s="58"/>
      <c r="J121" s="62"/>
    </row>
    <row r="122" spans="8:10" s="57" customFormat="1" ht="19.5">
      <c r="H122" s="58"/>
      <c r="J122" s="62"/>
    </row>
    <row r="123" spans="8:10" s="57" customFormat="1" ht="19.5">
      <c r="H123" s="58"/>
      <c r="J123" s="62"/>
    </row>
    <row r="124" spans="7:10" s="57" customFormat="1" ht="19.5">
      <c r="G124" s="192"/>
      <c r="H124" s="58"/>
      <c r="J124" s="62"/>
    </row>
    <row r="125" spans="8:10" s="57" customFormat="1" ht="19.5">
      <c r="H125" s="58"/>
      <c r="J125" s="62"/>
    </row>
    <row r="126" spans="8:10" s="57" customFormat="1" ht="19.5">
      <c r="H126" s="58"/>
      <c r="J126" s="62"/>
    </row>
    <row r="127" spans="8:10" s="57" customFormat="1" ht="19.5">
      <c r="H127" s="58"/>
      <c r="J127" s="62"/>
    </row>
    <row r="128" spans="8:10" s="57" customFormat="1" ht="19.5">
      <c r="H128" s="58"/>
      <c r="J128" s="62"/>
    </row>
  </sheetData>
  <mergeCells count="10">
    <mergeCell ref="G7:G8"/>
    <mergeCell ref="H7:H8"/>
    <mergeCell ref="I7:I8"/>
    <mergeCell ref="J60:J61"/>
    <mergeCell ref="A2:F2"/>
    <mergeCell ref="A3:F3"/>
    <mergeCell ref="C7:C8"/>
    <mergeCell ref="D7:D8"/>
    <mergeCell ref="E7:E8"/>
    <mergeCell ref="F7:F8"/>
  </mergeCells>
  <printOptions/>
  <pageMargins left="0.3" right="0.19" top="0.23" bottom="0.41" header="0.22" footer="0.3"/>
  <pageSetup horizontalDpi="600" verticalDpi="600" orientation="landscape" paperSize="9" scale="68" r:id="rId1"/>
  <rowBreaks count="1" manualBreakCount="1">
    <brk id="8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tabSelected="1" view="pageBreakPreview" zoomScale="75" zoomScaleNormal="75" zoomScaleSheetLayoutView="75" workbookViewId="0" topLeftCell="A35">
      <selection activeCell="C62" sqref="C62"/>
    </sheetView>
  </sheetViews>
  <sheetFormatPr defaultColWidth="9.00390625" defaultRowHeight="12.75"/>
  <cols>
    <col min="1" max="1" width="9.75390625" style="54" customWidth="1"/>
    <col min="2" max="2" width="34.00390625" style="54" customWidth="1"/>
    <col min="3" max="3" width="84.375" style="54" customWidth="1"/>
    <col min="4" max="4" width="17.125" style="54" customWidth="1"/>
    <col min="5" max="5" width="12.375" style="54" customWidth="1"/>
    <col min="6" max="6" width="17.25390625" style="54" customWidth="1"/>
    <col min="7" max="7" width="15.625" style="54" customWidth="1"/>
    <col min="8" max="8" width="9.875" style="54" bestFit="1" customWidth="1"/>
    <col min="9" max="16384" width="9.125" style="54" customWidth="1"/>
  </cols>
  <sheetData>
    <row r="1" spans="5:7" ht="20.25">
      <c r="E1" s="228" t="s">
        <v>0</v>
      </c>
      <c r="F1" s="228"/>
      <c r="G1" s="228"/>
    </row>
    <row r="2" spans="3:7" ht="58.5" customHeight="1">
      <c r="C2" s="76"/>
      <c r="E2" s="259" t="s">
        <v>1</v>
      </c>
      <c r="F2" s="260"/>
      <c r="G2" s="260"/>
    </row>
    <row r="3" spans="1:6" ht="18.75">
      <c r="A3" s="240" t="s">
        <v>2</v>
      </c>
      <c r="B3" s="240"/>
      <c r="C3" s="240"/>
      <c r="D3" s="240"/>
      <c r="E3" s="240"/>
      <c r="F3" s="240"/>
    </row>
    <row r="4" spans="1:6" ht="18.75">
      <c r="A4" s="240" t="s">
        <v>3</v>
      </c>
      <c r="B4" s="240"/>
      <c r="C4" s="240"/>
      <c r="D4" s="240"/>
      <c r="E4" s="240"/>
      <c r="F4" s="240"/>
    </row>
    <row r="5" spans="1:7" ht="19.5" thickBot="1">
      <c r="A5" s="74"/>
      <c r="B5" s="74"/>
      <c r="C5" s="74"/>
      <c r="D5" s="74"/>
      <c r="E5" s="74"/>
      <c r="F5" s="74"/>
      <c r="G5" s="54" t="s">
        <v>4</v>
      </c>
    </row>
    <row r="6" spans="1:6" ht="19.5" hidden="1" thickBot="1">
      <c r="A6" s="74"/>
      <c r="B6" s="74"/>
      <c r="C6" s="74"/>
      <c r="D6" s="74"/>
      <c r="E6" s="74"/>
      <c r="F6" s="74"/>
    </row>
    <row r="7" spans="1:6" ht="19.5" hidden="1" thickBot="1">
      <c r="A7" s="74"/>
      <c r="B7" s="74"/>
      <c r="C7" s="74"/>
      <c r="D7" s="74"/>
      <c r="E7" s="74"/>
      <c r="F7" s="74"/>
    </row>
    <row r="8" spans="1:7" ht="77.25" customHeight="1">
      <c r="A8" s="77" t="s">
        <v>5</v>
      </c>
      <c r="B8" s="110" t="s">
        <v>6</v>
      </c>
      <c r="C8" s="261" t="s">
        <v>7</v>
      </c>
      <c r="D8" s="261" t="s">
        <v>8</v>
      </c>
      <c r="E8" s="261" t="s">
        <v>9</v>
      </c>
      <c r="F8" s="261" t="s">
        <v>10</v>
      </c>
      <c r="G8" s="257" t="s">
        <v>138</v>
      </c>
    </row>
    <row r="9" spans="1:7" ht="20.25" customHeight="1" thickBot="1">
      <c r="A9" s="78" t="s">
        <v>11</v>
      </c>
      <c r="B9" s="111" t="s">
        <v>11</v>
      </c>
      <c r="C9" s="262"/>
      <c r="D9" s="262"/>
      <c r="E9" s="262"/>
      <c r="F9" s="262"/>
      <c r="G9" s="258"/>
    </row>
    <row r="10" spans="1:7" ht="20.25" customHeight="1" thickBot="1">
      <c r="A10" s="75">
        <v>1</v>
      </c>
      <c r="B10" s="197">
        <v>2</v>
      </c>
      <c r="C10" s="197">
        <v>3</v>
      </c>
      <c r="D10" s="197">
        <v>4</v>
      </c>
      <c r="E10" s="197">
        <v>5</v>
      </c>
      <c r="F10" s="197">
        <v>6</v>
      </c>
      <c r="G10" s="198">
        <v>7</v>
      </c>
    </row>
    <row r="11" spans="1:7" s="79" customFormat="1" ht="37.5">
      <c r="A11" s="199"/>
      <c r="B11" s="200"/>
      <c r="C11" s="201" t="s">
        <v>12</v>
      </c>
      <c r="D11" s="202">
        <v>75000000</v>
      </c>
      <c r="E11" s="203">
        <f>100-(F11/D11)*100</f>
        <v>33.33333333333334</v>
      </c>
      <c r="F11" s="202">
        <v>50000000</v>
      </c>
      <c r="G11" s="204">
        <v>25000000</v>
      </c>
    </row>
    <row r="12" spans="1:7" s="79" customFormat="1" ht="37.5">
      <c r="A12" s="205" t="s">
        <v>13</v>
      </c>
      <c r="B12" s="206" t="s">
        <v>14</v>
      </c>
      <c r="C12" s="115"/>
      <c r="D12" s="80">
        <f>SUM(D13+D14+D15+D16+D17+D18+D19+D20+D21+D22+D23+D24+D25+D26+D27+D28+D29+D30+D31+D32+D33+D34+D35+D36+D37+D38+D39+D40+D41+D42+D43+D44+D45+D46+D51+D52+D53+D54+D55+D56)</f>
        <v>2348306320</v>
      </c>
      <c r="E12" s="81"/>
      <c r="F12" s="80">
        <f>SUM(F13+F14+F15+F16+F17+F18+F19+F20+F21+F22+F23+F24+F25+F26+F27+F28+F29+F30+F31+F32+F33+F34+F35+F36+F37+F38+F39+F40+F41+F42+F43+F44+F45+F46+F51+F52+F53+F54+F55+F56)</f>
        <v>1573943958</v>
      </c>
      <c r="G12" s="82">
        <f>SUM(G13+G15+G16+G17+G18+G19+G20+G21+G22+G23+G24+G25+G26+G27+G28+G29+G30+G31+G32+G33+G34+G35+G36+G37+G38+G39+G40+G41+G42+G43+G44+G45+G46+G51+G52+G53+G54+G55+G49)-G13</f>
        <v>304514424</v>
      </c>
    </row>
    <row r="13" spans="1:7" s="79" customFormat="1" ht="40.5" customHeight="1">
      <c r="A13" s="207" t="s">
        <v>15</v>
      </c>
      <c r="B13" s="208" t="s">
        <v>16</v>
      </c>
      <c r="C13" s="209" t="s">
        <v>17</v>
      </c>
      <c r="D13" s="83">
        <v>1903612550</v>
      </c>
      <c r="E13" s="84">
        <f>100-(F13/D13)*100</f>
        <v>26.723956983788526</v>
      </c>
      <c r="F13" s="83">
        <f>D13-G13-253880884-3839715</f>
        <v>1394891951</v>
      </c>
      <c r="G13" s="85">
        <f>SUM(G15:G16)</f>
        <v>251000000</v>
      </c>
    </row>
    <row r="14" spans="1:7" s="79" customFormat="1" ht="19.5" customHeight="1">
      <c r="A14" s="210"/>
      <c r="B14" s="211"/>
      <c r="C14" s="209" t="s">
        <v>18</v>
      </c>
      <c r="D14" s="83"/>
      <c r="E14" s="86"/>
      <c r="F14" s="83"/>
      <c r="G14" s="85"/>
    </row>
    <row r="15" spans="1:7" s="79" customFormat="1" ht="20.25" customHeight="1">
      <c r="A15" s="210"/>
      <c r="B15" s="211"/>
      <c r="C15" s="212" t="s">
        <v>19</v>
      </c>
      <c r="D15" s="83"/>
      <c r="E15" s="84"/>
      <c r="F15" s="83"/>
      <c r="G15" s="85">
        <v>250000000</v>
      </c>
    </row>
    <row r="16" spans="1:7" s="79" customFormat="1" ht="20.25" customHeight="1">
      <c r="A16" s="213"/>
      <c r="B16" s="214"/>
      <c r="C16" s="209" t="s">
        <v>20</v>
      </c>
      <c r="D16" s="83"/>
      <c r="E16" s="84"/>
      <c r="F16" s="83"/>
      <c r="G16" s="85">
        <v>1000000</v>
      </c>
    </row>
    <row r="17" spans="1:7" ht="24.75" customHeight="1">
      <c r="A17" s="213" t="s">
        <v>15</v>
      </c>
      <c r="B17" s="215" t="s">
        <v>16</v>
      </c>
      <c r="C17" s="116" t="s">
        <v>21</v>
      </c>
      <c r="D17" s="83">
        <v>111871779</v>
      </c>
      <c r="E17" s="84">
        <v>100</v>
      </c>
      <c r="F17" s="83">
        <v>0</v>
      </c>
      <c r="G17" s="87">
        <v>13829991</v>
      </c>
    </row>
    <row r="18" spans="1:7" ht="59.25" customHeight="1">
      <c r="A18" s="88" t="s">
        <v>15</v>
      </c>
      <c r="B18" s="112" t="s">
        <v>16</v>
      </c>
      <c r="C18" s="116" t="s">
        <v>22</v>
      </c>
      <c r="D18" s="83">
        <v>37000000</v>
      </c>
      <c r="E18" s="84">
        <f>100-(F18/D18)*100</f>
        <v>1.6375000000000028</v>
      </c>
      <c r="F18" s="83">
        <f>D18-G18-205875-200000</f>
        <v>36394125</v>
      </c>
      <c r="G18" s="87">
        <f>3000000-2800000</f>
        <v>200000</v>
      </c>
    </row>
    <row r="19" spans="1:7" ht="37.5" customHeight="1">
      <c r="A19" s="88" t="s">
        <v>15</v>
      </c>
      <c r="B19" s="112" t="s">
        <v>16</v>
      </c>
      <c r="C19" s="116" t="s">
        <v>23</v>
      </c>
      <c r="D19" s="83">
        <f>4357551+7947</f>
        <v>4365498</v>
      </c>
      <c r="E19" s="84">
        <f>100-(F19/D19)*100</f>
        <v>37.741398575832584</v>
      </c>
      <c r="F19" s="83">
        <f>D19-G19-647600</f>
        <v>2717898</v>
      </c>
      <c r="G19" s="87">
        <v>1000000</v>
      </c>
    </row>
    <row r="20" spans="1:7" ht="67.5" customHeight="1">
      <c r="A20" s="88" t="s">
        <v>15</v>
      </c>
      <c r="B20" s="112" t="s">
        <v>16</v>
      </c>
      <c r="C20" s="116" t="s">
        <v>24</v>
      </c>
      <c r="D20" s="83">
        <f>5670396+4212991</f>
        <v>9883387</v>
      </c>
      <c r="E20" s="84">
        <f>100-(F20/D20)*100</f>
        <v>26.728883529502596</v>
      </c>
      <c r="F20" s="83">
        <f>D20-G20-1550000</f>
        <v>7241668</v>
      </c>
      <c r="G20" s="87">
        <f>1071719+20000</f>
        <v>1091719</v>
      </c>
    </row>
    <row r="21" spans="1:7" ht="41.25" customHeight="1">
      <c r="A21" s="88" t="s">
        <v>15</v>
      </c>
      <c r="B21" s="112" t="s">
        <v>16</v>
      </c>
      <c r="C21" s="117" t="s">
        <v>25</v>
      </c>
      <c r="D21" s="89">
        <f>400000+2098000</f>
        <v>2498000</v>
      </c>
      <c r="E21" s="84">
        <f>100-(F21/D21)*100</f>
        <v>13.210568454763816</v>
      </c>
      <c r="F21" s="83">
        <v>2168000</v>
      </c>
      <c r="G21" s="87">
        <v>300000</v>
      </c>
    </row>
    <row r="22" spans="1:7" ht="42" customHeight="1">
      <c r="A22" s="88" t="s">
        <v>15</v>
      </c>
      <c r="B22" s="112" t="s">
        <v>16</v>
      </c>
      <c r="C22" s="117" t="s">
        <v>26</v>
      </c>
      <c r="D22" s="89">
        <v>200000</v>
      </c>
      <c r="E22" s="84">
        <v>68.8</v>
      </c>
      <c r="F22" s="83">
        <v>62400</v>
      </c>
      <c r="G22" s="87">
        <v>137600</v>
      </c>
    </row>
    <row r="23" spans="1:7" ht="45" customHeight="1">
      <c r="A23" s="88" t="s">
        <v>15</v>
      </c>
      <c r="B23" s="112" t="s">
        <v>16</v>
      </c>
      <c r="C23" s="117" t="s">
        <v>27</v>
      </c>
      <c r="D23" s="89">
        <v>2263099</v>
      </c>
      <c r="E23" s="84"/>
      <c r="F23" s="83"/>
      <c r="G23" s="87">
        <v>1588109</v>
      </c>
    </row>
    <row r="24" spans="1:7" ht="30.75" customHeight="1">
      <c r="A24" s="88" t="s">
        <v>15</v>
      </c>
      <c r="B24" s="112" t="s">
        <v>16</v>
      </c>
      <c r="C24" s="117" t="s">
        <v>28</v>
      </c>
      <c r="D24" s="89">
        <v>340000</v>
      </c>
      <c r="E24" s="84">
        <v>100</v>
      </c>
      <c r="F24" s="83">
        <v>0</v>
      </c>
      <c r="G24" s="87">
        <v>340000</v>
      </c>
    </row>
    <row r="25" spans="1:7" ht="37.5">
      <c r="A25" s="88" t="s">
        <v>15</v>
      </c>
      <c r="B25" s="112" t="s">
        <v>16</v>
      </c>
      <c r="C25" s="117" t="s">
        <v>29</v>
      </c>
      <c r="D25" s="89">
        <f>985000+805947</f>
        <v>1790947</v>
      </c>
      <c r="E25" s="84">
        <f>100-(F25/D25)*100</f>
        <v>54.998835811445005</v>
      </c>
      <c r="F25" s="83">
        <f>D25-G25</f>
        <v>805947</v>
      </c>
      <c r="G25" s="87">
        <v>985000</v>
      </c>
    </row>
    <row r="26" spans="1:7" ht="43.5" customHeight="1">
      <c r="A26" s="88" t="s">
        <v>15</v>
      </c>
      <c r="B26" s="112" t="s">
        <v>16</v>
      </c>
      <c r="C26" s="117" t="s">
        <v>30</v>
      </c>
      <c r="D26" s="89">
        <f>300000+200000</f>
        <v>500000</v>
      </c>
      <c r="E26" s="84">
        <f>100-(F26/D26)*100</f>
        <v>60</v>
      </c>
      <c r="F26" s="83">
        <f>D26-G26</f>
        <v>200000</v>
      </c>
      <c r="G26" s="87">
        <v>300000</v>
      </c>
    </row>
    <row r="27" spans="1:7" ht="39.75" customHeight="1">
      <c r="A27" s="88" t="s">
        <v>15</v>
      </c>
      <c r="B27" s="112" t="s">
        <v>16</v>
      </c>
      <c r="C27" s="117" t="s">
        <v>31</v>
      </c>
      <c r="D27" s="89">
        <v>1455500</v>
      </c>
      <c r="E27" s="84">
        <f>100-(F27/D27)*100</f>
        <v>89.79711439367915</v>
      </c>
      <c r="F27" s="83">
        <f>D27-G27-415999-329998-480000</f>
        <v>148503</v>
      </c>
      <c r="G27" s="87">
        <v>81000</v>
      </c>
    </row>
    <row r="28" spans="1:7" ht="40.5" customHeight="1">
      <c r="A28" s="88" t="s">
        <v>15</v>
      </c>
      <c r="B28" s="112" t="s">
        <v>32</v>
      </c>
      <c r="C28" s="117" t="s">
        <v>33</v>
      </c>
      <c r="D28" s="89">
        <v>1000000</v>
      </c>
      <c r="E28" s="84">
        <v>100</v>
      </c>
      <c r="F28" s="83">
        <v>0</v>
      </c>
      <c r="G28" s="87">
        <v>1000000</v>
      </c>
    </row>
    <row r="29" spans="1:7" ht="131.25">
      <c r="A29" s="88" t="s">
        <v>34</v>
      </c>
      <c r="B29" s="112" t="s">
        <v>35</v>
      </c>
      <c r="C29" s="238" t="s">
        <v>36</v>
      </c>
      <c r="D29" s="83">
        <f>3247132+748678</f>
        <v>3995810</v>
      </c>
      <c r="E29" s="84">
        <f>100-(F29/D29)*100</f>
        <v>100</v>
      </c>
      <c r="F29" s="83">
        <v>0</v>
      </c>
      <c r="G29" s="90">
        <f>349162+1-151459</f>
        <v>197704</v>
      </c>
    </row>
    <row r="30" spans="1:7" ht="131.25">
      <c r="A30" s="88" t="s">
        <v>34</v>
      </c>
      <c r="B30" s="112" t="s">
        <v>35</v>
      </c>
      <c r="C30" s="238" t="s">
        <v>37</v>
      </c>
      <c r="D30" s="83">
        <f>3244600+1528540</f>
        <v>4773140</v>
      </c>
      <c r="E30" s="84">
        <f>100-(F30/D30)*100</f>
        <v>100</v>
      </c>
      <c r="F30" s="83">
        <v>0</v>
      </c>
      <c r="G30" s="90">
        <f>429548+2-1200</f>
        <v>428350</v>
      </c>
    </row>
    <row r="31" spans="1:7" ht="131.25">
      <c r="A31" s="88" t="s">
        <v>34</v>
      </c>
      <c r="B31" s="112" t="s">
        <v>35</v>
      </c>
      <c r="C31" s="118" t="s">
        <v>38</v>
      </c>
      <c r="D31" s="83">
        <f>4108300+1060244</f>
        <v>5168544</v>
      </c>
      <c r="E31" s="84">
        <f>100-(F31/D31)*100</f>
        <v>100</v>
      </c>
      <c r="F31" s="83">
        <v>0</v>
      </c>
      <c r="G31" s="90">
        <f>707585-436056</f>
        <v>271529</v>
      </c>
    </row>
    <row r="32" spans="1:7" ht="131.25">
      <c r="A32" s="88" t="s">
        <v>34</v>
      </c>
      <c r="B32" s="112" t="s">
        <v>35</v>
      </c>
      <c r="C32" s="118" t="s">
        <v>39</v>
      </c>
      <c r="D32" s="83">
        <v>9895800</v>
      </c>
      <c r="E32" s="84">
        <f>100-(F32/D32)*100</f>
        <v>36.587188504213906</v>
      </c>
      <c r="F32" s="83">
        <f>D32-314600-629200-G32-G33</f>
        <v>6275205</v>
      </c>
      <c r="G32" s="90">
        <v>605895</v>
      </c>
    </row>
    <row r="33" spans="1:7" ht="131.25">
      <c r="A33" s="88" t="s">
        <v>34</v>
      </c>
      <c r="B33" s="112" t="s">
        <v>35</v>
      </c>
      <c r="C33" s="118" t="s">
        <v>141</v>
      </c>
      <c r="D33" s="83"/>
      <c r="E33" s="84"/>
      <c r="F33" s="83"/>
      <c r="G33" s="90">
        <v>2070900</v>
      </c>
    </row>
    <row r="34" spans="1:7" ht="131.25">
      <c r="A34" s="88" t="s">
        <v>34</v>
      </c>
      <c r="B34" s="112" t="s">
        <v>35</v>
      </c>
      <c r="C34" s="118" t="s">
        <v>41</v>
      </c>
      <c r="D34" s="83">
        <f>669470+1875000+4467806</f>
        <v>7012276</v>
      </c>
      <c r="E34" s="84">
        <f>100-(F34/D34)*100</f>
        <v>36.286207217171714</v>
      </c>
      <c r="F34" s="83">
        <f>D34-273170-446300-G34-G35-G37-G36</f>
        <v>4467787</v>
      </c>
      <c r="G34" s="90">
        <v>167059</v>
      </c>
    </row>
    <row r="35" spans="1:7" ht="131.25">
      <c r="A35" s="88" t="s">
        <v>34</v>
      </c>
      <c r="B35" s="112" t="s">
        <v>35</v>
      </c>
      <c r="C35" s="118" t="s">
        <v>142</v>
      </c>
      <c r="D35" s="83"/>
      <c r="E35" s="84"/>
      <c r="F35" s="83"/>
      <c r="G35" s="90">
        <v>668200</v>
      </c>
    </row>
    <row r="36" spans="1:7" ht="131.25">
      <c r="A36" s="88" t="s">
        <v>34</v>
      </c>
      <c r="B36" s="112" t="s">
        <v>35</v>
      </c>
      <c r="C36" s="118" t="s">
        <v>43</v>
      </c>
      <c r="D36" s="83"/>
      <c r="E36" s="84"/>
      <c r="F36" s="83"/>
      <c r="G36" s="90">
        <v>198000</v>
      </c>
    </row>
    <row r="37" spans="1:7" ht="131.25">
      <c r="A37" s="88" t="s">
        <v>34</v>
      </c>
      <c r="B37" s="112" t="s">
        <v>35</v>
      </c>
      <c r="C37" s="118" t="s">
        <v>143</v>
      </c>
      <c r="D37" s="83"/>
      <c r="E37" s="84"/>
      <c r="F37" s="83"/>
      <c r="G37" s="90">
        <v>791760</v>
      </c>
    </row>
    <row r="38" spans="1:7" ht="110.25" customHeight="1">
      <c r="A38" s="88" t="s">
        <v>34</v>
      </c>
      <c r="B38" s="112" t="s">
        <v>35</v>
      </c>
      <c r="C38" s="118" t="s">
        <v>45</v>
      </c>
      <c r="D38" s="83">
        <f>3526100+1476700</f>
        <v>5002800</v>
      </c>
      <c r="E38" s="84">
        <f>100-(F38/D38)*100</f>
        <v>100</v>
      </c>
      <c r="F38" s="83">
        <v>0</v>
      </c>
      <c r="G38" s="90">
        <v>295410</v>
      </c>
    </row>
    <row r="39" spans="1:7" ht="111.75" customHeight="1">
      <c r="A39" s="88" t="s">
        <v>34</v>
      </c>
      <c r="B39" s="112" t="s">
        <v>35</v>
      </c>
      <c r="C39" s="118" t="s">
        <v>144</v>
      </c>
      <c r="D39" s="83"/>
      <c r="E39" s="84"/>
      <c r="F39" s="83"/>
      <c r="G39" s="90">
        <v>1181600</v>
      </c>
    </row>
    <row r="40" spans="1:7" ht="76.5" customHeight="1">
      <c r="A40" s="88" t="s">
        <v>47</v>
      </c>
      <c r="B40" s="112" t="s">
        <v>48</v>
      </c>
      <c r="C40" s="119" t="s">
        <v>49</v>
      </c>
      <c r="D40" s="83">
        <f>2513430+1605361</f>
        <v>4118791</v>
      </c>
      <c r="E40" s="84">
        <f>100-(F40/D40)*100</f>
        <v>61.02348965995119</v>
      </c>
      <c r="F40" s="83">
        <v>1605361</v>
      </c>
      <c r="G40" s="90">
        <v>508150</v>
      </c>
    </row>
    <row r="41" spans="1:7" ht="74.25" customHeight="1">
      <c r="A41" s="88" t="s">
        <v>47</v>
      </c>
      <c r="B41" s="112" t="s">
        <v>48</v>
      </c>
      <c r="C41" s="119" t="s">
        <v>145</v>
      </c>
      <c r="D41" s="83"/>
      <c r="E41" s="84"/>
      <c r="F41" s="83"/>
      <c r="G41" s="90">
        <v>2002950</v>
      </c>
    </row>
    <row r="42" spans="1:7" ht="57.75" customHeight="1">
      <c r="A42" s="88" t="s">
        <v>47</v>
      </c>
      <c r="B42" s="112" t="s">
        <v>48</v>
      </c>
      <c r="C42" s="119" t="s">
        <v>51</v>
      </c>
      <c r="D42" s="83">
        <f>7466640+1434640</f>
        <v>8901280</v>
      </c>
      <c r="E42" s="84">
        <f>100-(F42/D42)*100</f>
        <v>83.88276742221343</v>
      </c>
      <c r="F42" s="83">
        <v>1434640</v>
      </c>
      <c r="G42" s="90">
        <f>1487860+4-1475885</f>
        <v>11979</v>
      </c>
    </row>
    <row r="43" spans="1:7" ht="36.75" customHeight="1">
      <c r="A43" s="88" t="s">
        <v>15</v>
      </c>
      <c r="B43" s="112" t="s">
        <v>16</v>
      </c>
      <c r="C43" s="119" t="s">
        <v>52</v>
      </c>
      <c r="D43" s="83">
        <v>2098092</v>
      </c>
      <c r="E43" s="84">
        <f>100-(F43/D43)*100</f>
        <v>19.999980935059085</v>
      </c>
      <c r="F43" s="83">
        <f>D43-G43</f>
        <v>1678474</v>
      </c>
      <c r="G43" s="90">
        <v>419618</v>
      </c>
    </row>
    <row r="44" spans="1:7" ht="57" customHeight="1">
      <c r="A44" s="88" t="s">
        <v>47</v>
      </c>
      <c r="B44" s="112" t="s">
        <v>48</v>
      </c>
      <c r="C44" s="119" t="s">
        <v>53</v>
      </c>
      <c r="D44" s="83">
        <v>1363406</v>
      </c>
      <c r="E44" s="84">
        <f>100-(F44/D44)*100</f>
        <v>48.98174131549956</v>
      </c>
      <c r="F44" s="83">
        <f>SUM(D44-G44-G45)</f>
        <v>695586</v>
      </c>
      <c r="G44" s="90">
        <f>133564+138756</f>
        <v>272320</v>
      </c>
    </row>
    <row r="45" spans="1:7" ht="54" customHeight="1">
      <c r="A45" s="88" t="s">
        <v>47</v>
      </c>
      <c r="B45" s="112" t="s">
        <v>48</v>
      </c>
      <c r="C45" s="119" t="s">
        <v>146</v>
      </c>
      <c r="D45" s="83"/>
      <c r="E45" s="84"/>
      <c r="F45" s="83"/>
      <c r="G45" s="90">
        <v>395500</v>
      </c>
    </row>
    <row r="46" spans="1:7" ht="37.5" customHeight="1">
      <c r="A46" s="254" t="s">
        <v>47</v>
      </c>
      <c r="B46" s="251" t="s">
        <v>48</v>
      </c>
      <c r="C46" s="237" t="s">
        <v>190</v>
      </c>
      <c r="D46" s="230">
        <v>189900006</v>
      </c>
      <c r="E46" s="231">
        <f>100-(F46/D46)*100</f>
        <v>45.20334401674532</v>
      </c>
      <c r="F46" s="230">
        <v>104058853</v>
      </c>
      <c r="G46" s="232">
        <v>6250000</v>
      </c>
    </row>
    <row r="47" spans="1:7" ht="52.5" customHeight="1">
      <c r="A47" s="255"/>
      <c r="B47" s="252"/>
      <c r="C47" s="233" t="s">
        <v>189</v>
      </c>
      <c r="D47" s="234">
        <v>171860901</v>
      </c>
      <c r="E47" s="203">
        <v>49.9</v>
      </c>
      <c r="F47" s="234">
        <v>86019748</v>
      </c>
      <c r="G47" s="235">
        <v>12345040</v>
      </c>
    </row>
    <row r="48" spans="1:7" ht="22.5" customHeight="1">
      <c r="A48" s="255"/>
      <c r="B48" s="252"/>
      <c r="C48" s="236" t="s">
        <v>192</v>
      </c>
      <c r="D48" s="234"/>
      <c r="E48" s="203"/>
      <c r="F48" s="234"/>
      <c r="G48" s="235">
        <v>6250000</v>
      </c>
    </row>
    <row r="49" spans="1:7" ht="22.5" customHeight="1">
      <c r="A49" s="255"/>
      <c r="B49" s="252"/>
      <c r="C49" s="233" t="s">
        <v>19</v>
      </c>
      <c r="D49" s="234"/>
      <c r="E49" s="203"/>
      <c r="F49" s="234"/>
      <c r="G49" s="235">
        <v>6095040</v>
      </c>
    </row>
    <row r="50" spans="1:7" ht="21" customHeight="1">
      <c r="A50" s="256"/>
      <c r="B50" s="253"/>
      <c r="C50" s="233" t="s">
        <v>191</v>
      </c>
      <c r="D50" s="234">
        <v>18039105</v>
      </c>
      <c r="E50" s="203">
        <v>0</v>
      </c>
      <c r="F50" s="234">
        <v>18039105</v>
      </c>
      <c r="G50" s="235"/>
    </row>
    <row r="51" spans="1:7" ht="1.5" customHeight="1" hidden="1">
      <c r="A51" s="213" t="s">
        <v>47</v>
      </c>
      <c r="B51" s="215"/>
      <c r="C51" s="233"/>
      <c r="D51" s="234"/>
      <c r="E51" s="203"/>
      <c r="F51" s="234"/>
      <c r="G51" s="235"/>
    </row>
    <row r="52" spans="1:7" ht="18.75" hidden="1">
      <c r="A52" s="88"/>
      <c r="B52" s="112"/>
      <c r="C52" s="119"/>
      <c r="D52" s="83"/>
      <c r="E52" s="84"/>
      <c r="F52" s="83"/>
      <c r="G52" s="90"/>
    </row>
    <row r="53" spans="1:7" ht="36.75" customHeight="1">
      <c r="A53" s="88" t="s">
        <v>47</v>
      </c>
      <c r="B53" s="112" t="s">
        <v>48</v>
      </c>
      <c r="C53" s="116" t="s">
        <v>55</v>
      </c>
      <c r="D53" s="83">
        <v>24383920</v>
      </c>
      <c r="E53" s="84">
        <f>100-(F53/D53)*100</f>
        <v>69.16726678893303</v>
      </c>
      <c r="F53" s="83">
        <v>7518229</v>
      </c>
      <c r="G53" s="87">
        <f>1407724+1</f>
        <v>1407725</v>
      </c>
    </row>
    <row r="54" spans="1:7" ht="37.5">
      <c r="A54" s="88" t="s">
        <v>47</v>
      </c>
      <c r="B54" s="112" t="s">
        <v>48</v>
      </c>
      <c r="C54" s="116" t="s">
        <v>147</v>
      </c>
      <c r="D54" s="83"/>
      <c r="E54" s="84"/>
      <c r="F54" s="83"/>
      <c r="G54" s="87">
        <v>5630900</v>
      </c>
    </row>
    <row r="55" spans="1:7" ht="21" customHeight="1">
      <c r="A55" s="88"/>
      <c r="B55" s="112"/>
      <c r="C55" s="117" t="s">
        <v>57</v>
      </c>
      <c r="D55" s="83">
        <f>SUM(D57:D61)</f>
        <v>4911695</v>
      </c>
      <c r="E55" s="83"/>
      <c r="F55" s="83">
        <f>SUM(F57:F61)</f>
        <v>1579331</v>
      </c>
      <c r="G55" s="85">
        <f>SUM(G57:G61)</f>
        <v>2790416</v>
      </c>
    </row>
    <row r="56" spans="1:7" ht="20.25" customHeight="1">
      <c r="A56" s="88"/>
      <c r="B56" s="112"/>
      <c r="C56" s="117" t="s">
        <v>58</v>
      </c>
      <c r="D56" s="83"/>
      <c r="E56" s="84"/>
      <c r="F56" s="83"/>
      <c r="G56" s="87"/>
    </row>
    <row r="57" spans="1:7" ht="20.25" customHeight="1">
      <c r="A57" s="88" t="s">
        <v>15</v>
      </c>
      <c r="B57" s="112" t="s">
        <v>16</v>
      </c>
      <c r="C57" s="116" t="s">
        <v>59</v>
      </c>
      <c r="D57" s="83">
        <v>349583</v>
      </c>
      <c r="E57" s="84">
        <v>100</v>
      </c>
      <c r="F57" s="83">
        <v>0</v>
      </c>
      <c r="G57" s="87">
        <v>307675</v>
      </c>
    </row>
    <row r="58" spans="1:7" ht="20.25" customHeight="1">
      <c r="A58" s="88" t="s">
        <v>15</v>
      </c>
      <c r="B58" s="112" t="s">
        <v>16</v>
      </c>
      <c r="C58" s="116" t="s">
        <v>60</v>
      </c>
      <c r="D58" s="83">
        <v>1890377</v>
      </c>
      <c r="E58" s="84">
        <v>100</v>
      </c>
      <c r="F58" s="83">
        <v>0</v>
      </c>
      <c r="G58" s="87">
        <v>1390337</v>
      </c>
    </row>
    <row r="59" spans="1:7" ht="20.25" customHeight="1">
      <c r="A59" s="88" t="s">
        <v>15</v>
      </c>
      <c r="B59" s="112" t="s">
        <v>16</v>
      </c>
      <c r="C59" s="116" t="s">
        <v>61</v>
      </c>
      <c r="D59" s="83">
        <v>339312</v>
      </c>
      <c r="E59" s="84">
        <v>100</v>
      </c>
      <c r="F59" s="83">
        <v>0</v>
      </c>
      <c r="G59" s="87">
        <v>339312</v>
      </c>
    </row>
    <row r="60" spans="1:7" ht="20.25" customHeight="1">
      <c r="A60" s="88" t="s">
        <v>15</v>
      </c>
      <c r="B60" s="112" t="s">
        <v>16</v>
      </c>
      <c r="C60" s="116" t="s">
        <v>62</v>
      </c>
      <c r="D60" s="83">
        <f>600000+47423</f>
        <v>647423</v>
      </c>
      <c r="E60" s="84">
        <f>100-(F60/D60)*100</f>
        <v>87.74665095308632</v>
      </c>
      <c r="F60" s="83">
        <f>D60-G60</f>
        <v>79331</v>
      </c>
      <c r="G60" s="87">
        <v>568092</v>
      </c>
    </row>
    <row r="61" spans="1:7" ht="20.25" customHeight="1">
      <c r="A61" s="88" t="s">
        <v>15</v>
      </c>
      <c r="B61" s="112" t="s">
        <v>16</v>
      </c>
      <c r="C61" s="116" t="s">
        <v>63</v>
      </c>
      <c r="D61" s="83">
        <v>1685000</v>
      </c>
      <c r="E61" s="84">
        <f>100-(F61/D61)*100</f>
        <v>10.979228486646889</v>
      </c>
      <c r="F61" s="83">
        <f>D61-G61</f>
        <v>1500000</v>
      </c>
      <c r="G61" s="87">
        <v>185000</v>
      </c>
    </row>
    <row r="62" spans="1:7" s="79" customFormat="1" ht="32.25" customHeight="1">
      <c r="A62" s="91" t="s">
        <v>64</v>
      </c>
      <c r="B62" s="120" t="s">
        <v>65</v>
      </c>
      <c r="C62" s="121"/>
      <c r="D62" s="80">
        <f>SUM(D63:D73)</f>
        <v>64390619</v>
      </c>
      <c r="E62" s="92"/>
      <c r="F62" s="80">
        <f>SUM(F63:F73)</f>
        <v>40364442</v>
      </c>
      <c r="G62" s="82">
        <f>SUM(G63:G73)</f>
        <v>14519000</v>
      </c>
    </row>
    <row r="63" spans="1:7" ht="36" customHeight="1">
      <c r="A63" s="88" t="s">
        <v>15</v>
      </c>
      <c r="B63" s="112" t="s">
        <v>16</v>
      </c>
      <c r="C63" s="116" t="s">
        <v>66</v>
      </c>
      <c r="D63" s="93">
        <v>6489730</v>
      </c>
      <c r="E63" s="84">
        <f>100-(F63/D63)*100</f>
        <v>30.81792308770936</v>
      </c>
      <c r="F63" s="93">
        <f>D63-G63</f>
        <v>4489730</v>
      </c>
      <c r="G63" s="87">
        <v>2000000</v>
      </c>
    </row>
    <row r="64" spans="1:7" ht="37.5">
      <c r="A64" s="88" t="s">
        <v>15</v>
      </c>
      <c r="B64" s="112" t="s">
        <v>16</v>
      </c>
      <c r="C64" s="117" t="s">
        <v>67</v>
      </c>
      <c r="D64" s="93">
        <v>28122370</v>
      </c>
      <c r="E64" s="84">
        <f>100-(F64/D64)*100</f>
        <v>9.723035434069033</v>
      </c>
      <c r="F64" s="93">
        <f>28122370-2734348</f>
        <v>25388022</v>
      </c>
      <c r="G64" s="87">
        <v>2734348</v>
      </c>
    </row>
    <row r="65" spans="1:7" ht="37.5">
      <c r="A65" s="88" t="s">
        <v>15</v>
      </c>
      <c r="B65" s="112" t="s">
        <v>16</v>
      </c>
      <c r="C65" s="117" t="s">
        <v>68</v>
      </c>
      <c r="D65" s="93">
        <v>1000000</v>
      </c>
      <c r="E65" s="84">
        <v>100</v>
      </c>
      <c r="F65" s="93">
        <v>0</v>
      </c>
      <c r="G65" s="87">
        <v>1000000</v>
      </c>
    </row>
    <row r="66" spans="1:7" ht="20.25" customHeight="1">
      <c r="A66" s="88" t="s">
        <v>15</v>
      </c>
      <c r="B66" s="112" t="s">
        <v>32</v>
      </c>
      <c r="C66" s="117" t="s">
        <v>69</v>
      </c>
      <c r="D66" s="93">
        <v>3288517</v>
      </c>
      <c r="E66" s="84">
        <f>100-(F66/D66)*100</f>
        <v>100</v>
      </c>
      <c r="F66" s="93">
        <v>0</v>
      </c>
      <c r="G66" s="87">
        <v>3288517</v>
      </c>
    </row>
    <row r="67" spans="1:7" ht="37.5">
      <c r="A67" s="88" t="s">
        <v>15</v>
      </c>
      <c r="B67" s="112" t="s">
        <v>32</v>
      </c>
      <c r="C67" s="117" t="s">
        <v>70</v>
      </c>
      <c r="D67" s="93">
        <v>3661135</v>
      </c>
      <c r="E67" s="84">
        <f>100-(F67/D67)*100</f>
        <v>100</v>
      </c>
      <c r="F67" s="93">
        <v>0</v>
      </c>
      <c r="G67" s="87">
        <v>3661135</v>
      </c>
    </row>
    <row r="68" spans="1:7" ht="37.5">
      <c r="A68" s="88" t="s">
        <v>15</v>
      </c>
      <c r="B68" s="112" t="s">
        <v>16</v>
      </c>
      <c r="C68" s="117" t="s">
        <v>137</v>
      </c>
      <c r="D68" s="93">
        <v>25000</v>
      </c>
      <c r="E68" s="84">
        <v>100</v>
      </c>
      <c r="F68" s="93">
        <v>0</v>
      </c>
      <c r="G68" s="87">
        <v>25000</v>
      </c>
    </row>
    <row r="69" spans="1:7" ht="37.5">
      <c r="A69" s="88" t="s">
        <v>15</v>
      </c>
      <c r="B69" s="112" t="s">
        <v>32</v>
      </c>
      <c r="C69" s="117" t="s">
        <v>71</v>
      </c>
      <c r="D69" s="93">
        <v>4022000</v>
      </c>
      <c r="E69" s="84">
        <f>100-(F69/D69)*100</f>
        <v>12.431626056688216</v>
      </c>
      <c r="F69" s="93">
        <f>D69-G69</f>
        <v>3522000</v>
      </c>
      <c r="G69" s="87">
        <v>500000</v>
      </c>
    </row>
    <row r="70" spans="1:7" ht="37.5">
      <c r="A70" s="88" t="s">
        <v>15</v>
      </c>
      <c r="B70" s="112" t="s">
        <v>16</v>
      </c>
      <c r="C70" s="117" t="s">
        <v>72</v>
      </c>
      <c r="D70" s="89">
        <f>11119030+5462837</f>
        <v>16581867</v>
      </c>
      <c r="E70" s="84">
        <f>100-(F70/D70)*100</f>
        <v>60.3501222148266</v>
      </c>
      <c r="F70" s="83">
        <f>D70-533571-8973579-G70-27</f>
        <v>6574690</v>
      </c>
      <c r="G70" s="87">
        <v>500000</v>
      </c>
    </row>
    <row r="71" spans="1:7" ht="37.5">
      <c r="A71" s="88" t="s">
        <v>15</v>
      </c>
      <c r="B71" s="112" t="s">
        <v>16</v>
      </c>
      <c r="C71" s="117" t="s">
        <v>73</v>
      </c>
      <c r="D71" s="89">
        <v>600000</v>
      </c>
      <c r="E71" s="84">
        <f>100-(F71/D71)*100</f>
        <v>100</v>
      </c>
      <c r="F71" s="83">
        <v>0</v>
      </c>
      <c r="G71" s="87">
        <v>600000</v>
      </c>
    </row>
    <row r="72" spans="1:7" ht="41.25" customHeight="1">
      <c r="A72" s="88" t="s">
        <v>15</v>
      </c>
      <c r="B72" s="112" t="s">
        <v>16</v>
      </c>
      <c r="C72" s="117" t="s">
        <v>74</v>
      </c>
      <c r="D72" s="89">
        <v>450000</v>
      </c>
      <c r="E72" s="84">
        <f>100-(F72/D72)*100</f>
        <v>13.333333333333329</v>
      </c>
      <c r="F72" s="83">
        <f>D72-G72</f>
        <v>390000</v>
      </c>
      <c r="G72" s="87">
        <v>60000</v>
      </c>
    </row>
    <row r="73" spans="1:7" ht="20.25" customHeight="1">
      <c r="A73" s="88" t="s">
        <v>15</v>
      </c>
      <c r="B73" s="112" t="s">
        <v>16</v>
      </c>
      <c r="C73" s="117" t="s">
        <v>75</v>
      </c>
      <c r="D73" s="89">
        <v>150000</v>
      </c>
      <c r="E73" s="84">
        <v>100</v>
      </c>
      <c r="F73" s="83">
        <v>0</v>
      </c>
      <c r="G73" s="87">
        <v>150000</v>
      </c>
    </row>
    <row r="74" spans="1:7" s="79" customFormat="1" ht="37.5">
      <c r="A74" s="91" t="s">
        <v>76</v>
      </c>
      <c r="B74" s="113" t="s">
        <v>77</v>
      </c>
      <c r="C74" s="120"/>
      <c r="D74" s="94">
        <f>SUM(D75:D76)</f>
        <v>824500</v>
      </c>
      <c r="E74" s="94"/>
      <c r="F74" s="94">
        <f>SUM(F75:F76)</f>
        <v>0</v>
      </c>
      <c r="G74" s="95">
        <f>SUM(G75:G76)</f>
        <v>824500</v>
      </c>
    </row>
    <row r="75" spans="1:7" ht="56.25">
      <c r="A75" s="88" t="s">
        <v>15</v>
      </c>
      <c r="B75" s="112" t="s">
        <v>16</v>
      </c>
      <c r="C75" s="112" t="s">
        <v>78</v>
      </c>
      <c r="D75" s="83">
        <v>573500</v>
      </c>
      <c r="E75" s="84">
        <v>100</v>
      </c>
      <c r="F75" s="83">
        <v>0</v>
      </c>
      <c r="G75" s="85">
        <v>573500</v>
      </c>
    </row>
    <row r="76" spans="1:7" s="79" customFormat="1" ht="375">
      <c r="A76" s="88" t="s">
        <v>79</v>
      </c>
      <c r="B76" s="112" t="s">
        <v>80</v>
      </c>
      <c r="C76" s="112" t="s">
        <v>148</v>
      </c>
      <c r="D76" s="83">
        <v>251000</v>
      </c>
      <c r="E76" s="84">
        <v>100</v>
      </c>
      <c r="F76" s="83">
        <v>0</v>
      </c>
      <c r="G76" s="85">
        <v>251000</v>
      </c>
    </row>
    <row r="77" spans="1:7" s="79" customFormat="1" ht="39.75" customHeight="1">
      <c r="A77" s="91" t="s">
        <v>82</v>
      </c>
      <c r="B77" s="113" t="s">
        <v>83</v>
      </c>
      <c r="C77" s="121"/>
      <c r="D77" s="82">
        <f>SUM(D78:D103)</f>
        <v>7998710</v>
      </c>
      <c r="E77" s="92"/>
      <c r="F77" s="82">
        <f>SUM(F78:F103)</f>
        <v>0</v>
      </c>
      <c r="G77" s="82">
        <f>SUM(G78:G103)</f>
        <v>7211240</v>
      </c>
    </row>
    <row r="78" spans="1:7" ht="37.5">
      <c r="A78" s="88" t="s">
        <v>15</v>
      </c>
      <c r="B78" s="112" t="s">
        <v>16</v>
      </c>
      <c r="C78" s="117" t="s">
        <v>84</v>
      </c>
      <c r="D78" s="89">
        <v>120000</v>
      </c>
      <c r="E78" s="84">
        <v>100</v>
      </c>
      <c r="F78" s="83">
        <v>0</v>
      </c>
      <c r="G78" s="87">
        <v>120000</v>
      </c>
    </row>
    <row r="79" spans="1:7" ht="42" customHeight="1">
      <c r="A79" s="88" t="s">
        <v>47</v>
      </c>
      <c r="B79" s="112" t="s">
        <v>48</v>
      </c>
      <c r="C79" s="117" t="s">
        <v>85</v>
      </c>
      <c r="D79" s="83">
        <v>511700</v>
      </c>
      <c r="E79" s="84">
        <f>100-(F79/D79)*100</f>
        <v>100</v>
      </c>
      <c r="F79" s="83">
        <v>0</v>
      </c>
      <c r="G79" s="87">
        <f>40340+10</f>
        <v>40350</v>
      </c>
    </row>
    <row r="80" spans="1:7" ht="42" customHeight="1">
      <c r="A80" s="88" t="s">
        <v>47</v>
      </c>
      <c r="B80" s="112" t="s">
        <v>48</v>
      </c>
      <c r="C80" s="117" t="s">
        <v>149</v>
      </c>
      <c r="D80" s="83"/>
      <c r="E80" s="84"/>
      <c r="F80" s="83"/>
      <c r="G80" s="87">
        <v>161400</v>
      </c>
    </row>
    <row r="81" spans="1:7" ht="56.25">
      <c r="A81" s="88" t="s">
        <v>47</v>
      </c>
      <c r="B81" s="112" t="s">
        <v>48</v>
      </c>
      <c r="C81" s="117" t="s">
        <v>87</v>
      </c>
      <c r="D81" s="83">
        <v>530600</v>
      </c>
      <c r="E81" s="84">
        <f>100-(F81/D81)*100</f>
        <v>100</v>
      </c>
      <c r="F81" s="83">
        <v>0</v>
      </c>
      <c r="G81" s="87">
        <f>56120+5</f>
        <v>56125</v>
      </c>
    </row>
    <row r="82" spans="1:7" ht="56.25">
      <c r="A82" s="88" t="s">
        <v>47</v>
      </c>
      <c r="B82" s="112" t="s">
        <v>48</v>
      </c>
      <c r="C82" s="117" t="s">
        <v>150</v>
      </c>
      <c r="D82" s="83"/>
      <c r="E82" s="84"/>
      <c r="F82" s="83"/>
      <c r="G82" s="87">
        <v>224500</v>
      </c>
    </row>
    <row r="83" spans="1:7" ht="43.5" customHeight="1">
      <c r="A83" s="88" t="s">
        <v>47</v>
      </c>
      <c r="B83" s="112" t="s">
        <v>48</v>
      </c>
      <c r="C83" s="117" t="s">
        <v>89</v>
      </c>
      <c r="D83" s="83">
        <v>600600</v>
      </c>
      <c r="E83" s="84">
        <f>100-(F83/D83)*100</f>
        <v>100</v>
      </c>
      <c r="F83" s="83">
        <v>0</v>
      </c>
      <c r="G83" s="87">
        <f>112360+40</f>
        <v>112400</v>
      </c>
    </row>
    <row r="84" spans="1:7" ht="42" customHeight="1">
      <c r="A84" s="88" t="s">
        <v>47</v>
      </c>
      <c r="B84" s="112" t="s">
        <v>48</v>
      </c>
      <c r="C84" s="117" t="s">
        <v>151</v>
      </c>
      <c r="D84" s="83"/>
      <c r="E84" s="84"/>
      <c r="F84" s="83"/>
      <c r="G84" s="87">
        <v>449400</v>
      </c>
    </row>
    <row r="85" spans="1:7" ht="43.5" customHeight="1">
      <c r="A85" s="88" t="s">
        <v>47</v>
      </c>
      <c r="B85" s="112" t="s">
        <v>48</v>
      </c>
      <c r="C85" s="117" t="s">
        <v>91</v>
      </c>
      <c r="D85" s="83">
        <v>606300</v>
      </c>
      <c r="E85" s="84">
        <f>100-(F85/D85)*100</f>
        <v>100</v>
      </c>
      <c r="F85" s="83">
        <v>0</v>
      </c>
      <c r="G85" s="87">
        <f>113240+10</f>
        <v>113250</v>
      </c>
    </row>
    <row r="86" spans="1:7" ht="42" customHeight="1">
      <c r="A86" s="88" t="s">
        <v>47</v>
      </c>
      <c r="B86" s="112" t="s">
        <v>48</v>
      </c>
      <c r="C86" s="117" t="s">
        <v>152</v>
      </c>
      <c r="D86" s="83"/>
      <c r="E86" s="84"/>
      <c r="F86" s="83"/>
      <c r="G86" s="87">
        <v>453000</v>
      </c>
    </row>
    <row r="87" spans="1:7" ht="43.5" customHeight="1">
      <c r="A87" s="88" t="s">
        <v>47</v>
      </c>
      <c r="B87" s="112" t="s">
        <v>48</v>
      </c>
      <c r="C87" s="117" t="s">
        <v>93</v>
      </c>
      <c r="D87" s="83">
        <v>637240</v>
      </c>
      <c r="E87" s="84">
        <f>100-(F87/D87)*100</f>
        <v>100</v>
      </c>
      <c r="F87" s="83">
        <v>0</v>
      </c>
      <c r="G87" s="87">
        <f>97720+5</f>
        <v>97725</v>
      </c>
    </row>
    <row r="88" spans="1:7" ht="39.75" customHeight="1">
      <c r="A88" s="88" t="s">
        <v>47</v>
      </c>
      <c r="B88" s="112" t="s">
        <v>48</v>
      </c>
      <c r="C88" s="117" t="s">
        <v>153</v>
      </c>
      <c r="D88" s="83"/>
      <c r="E88" s="84"/>
      <c r="F88" s="83"/>
      <c r="G88" s="87">
        <v>390900</v>
      </c>
    </row>
    <row r="89" spans="1:7" ht="39.75" customHeight="1">
      <c r="A89" s="88" t="s">
        <v>47</v>
      </c>
      <c r="B89" s="112" t="s">
        <v>48</v>
      </c>
      <c r="C89" s="117" t="s">
        <v>95</v>
      </c>
      <c r="D89" s="83">
        <v>620000</v>
      </c>
      <c r="E89" s="84">
        <f>100-(F89/D89)*100</f>
        <v>100</v>
      </c>
      <c r="F89" s="83">
        <v>0</v>
      </c>
      <c r="G89" s="87">
        <v>124000</v>
      </c>
    </row>
    <row r="90" spans="1:7" ht="39.75" customHeight="1">
      <c r="A90" s="88" t="s">
        <v>47</v>
      </c>
      <c r="B90" s="112" t="s">
        <v>48</v>
      </c>
      <c r="C90" s="117" t="s">
        <v>154</v>
      </c>
      <c r="D90" s="83"/>
      <c r="E90" s="84"/>
      <c r="F90" s="83"/>
      <c r="G90" s="87">
        <v>496000</v>
      </c>
    </row>
    <row r="91" spans="1:7" ht="41.25" customHeight="1">
      <c r="A91" s="88" t="s">
        <v>47</v>
      </c>
      <c r="B91" s="112" t="s">
        <v>48</v>
      </c>
      <c r="C91" s="117" t="s">
        <v>97</v>
      </c>
      <c r="D91" s="83">
        <v>580000</v>
      </c>
      <c r="E91" s="84">
        <f>100-(F91/D91)*100</f>
        <v>100</v>
      </c>
      <c r="F91" s="83">
        <v>0</v>
      </c>
      <c r="G91" s="87">
        <v>116000</v>
      </c>
    </row>
    <row r="92" spans="1:7" ht="42.75" customHeight="1">
      <c r="A92" s="88" t="s">
        <v>47</v>
      </c>
      <c r="B92" s="112" t="s">
        <v>48</v>
      </c>
      <c r="C92" s="117" t="s">
        <v>155</v>
      </c>
      <c r="D92" s="83"/>
      <c r="E92" s="84"/>
      <c r="F92" s="83"/>
      <c r="G92" s="87">
        <v>464000</v>
      </c>
    </row>
    <row r="93" spans="1:7" ht="39.75" customHeight="1">
      <c r="A93" s="88" t="s">
        <v>47</v>
      </c>
      <c r="B93" s="112" t="s">
        <v>48</v>
      </c>
      <c r="C93" s="117" t="s">
        <v>99</v>
      </c>
      <c r="D93" s="83">
        <v>855000</v>
      </c>
      <c r="E93" s="84">
        <f>100-(F93/D93)*100</f>
        <v>100</v>
      </c>
      <c r="F93" s="83">
        <v>0</v>
      </c>
      <c r="G93" s="87">
        <v>171000</v>
      </c>
    </row>
    <row r="94" spans="1:7" ht="36.75" customHeight="1">
      <c r="A94" s="88" t="s">
        <v>47</v>
      </c>
      <c r="B94" s="112" t="s">
        <v>48</v>
      </c>
      <c r="C94" s="117" t="s">
        <v>156</v>
      </c>
      <c r="D94" s="83"/>
      <c r="E94" s="84"/>
      <c r="F94" s="83"/>
      <c r="G94" s="87">
        <v>684000</v>
      </c>
    </row>
    <row r="95" spans="1:7" ht="38.25" customHeight="1">
      <c r="A95" s="88" t="s">
        <v>47</v>
      </c>
      <c r="B95" s="112" t="s">
        <v>48</v>
      </c>
      <c r="C95" s="117" t="s">
        <v>101</v>
      </c>
      <c r="D95" s="83">
        <v>584900</v>
      </c>
      <c r="E95" s="84">
        <f>100-(F95/D95)*100</f>
        <v>100</v>
      </c>
      <c r="F95" s="83">
        <v>0</v>
      </c>
      <c r="G95" s="87">
        <v>116980</v>
      </c>
    </row>
    <row r="96" spans="1:7" ht="42.75" customHeight="1">
      <c r="A96" s="88" t="s">
        <v>47</v>
      </c>
      <c r="B96" s="112" t="s">
        <v>48</v>
      </c>
      <c r="C96" s="117" t="s">
        <v>157</v>
      </c>
      <c r="D96" s="83"/>
      <c r="E96" s="84"/>
      <c r="F96" s="83"/>
      <c r="G96" s="87">
        <v>467900</v>
      </c>
    </row>
    <row r="97" spans="1:7" ht="41.25" customHeight="1">
      <c r="A97" s="88" t="s">
        <v>47</v>
      </c>
      <c r="B97" s="112" t="s">
        <v>48</v>
      </c>
      <c r="C97" s="117" t="s">
        <v>103</v>
      </c>
      <c r="D97" s="83">
        <v>854900</v>
      </c>
      <c r="E97" s="84">
        <f>100-(F97/D97)*100</f>
        <v>100</v>
      </c>
      <c r="F97" s="83">
        <v>0</v>
      </c>
      <c r="G97" s="87">
        <v>170980</v>
      </c>
    </row>
    <row r="98" spans="1:7" ht="41.25" customHeight="1">
      <c r="A98" s="88" t="s">
        <v>47</v>
      </c>
      <c r="B98" s="112" t="s">
        <v>48</v>
      </c>
      <c r="C98" s="117" t="s">
        <v>158</v>
      </c>
      <c r="D98" s="83"/>
      <c r="E98" s="84"/>
      <c r="F98" s="83"/>
      <c r="G98" s="87">
        <v>683900</v>
      </c>
    </row>
    <row r="99" spans="1:7" ht="42.75" customHeight="1">
      <c r="A99" s="88" t="s">
        <v>47</v>
      </c>
      <c r="B99" s="112" t="s">
        <v>48</v>
      </c>
      <c r="C99" s="117" t="s">
        <v>105</v>
      </c>
      <c r="D99" s="83">
        <v>873400</v>
      </c>
      <c r="E99" s="84">
        <f>100-(F99/D99)*100</f>
        <v>100</v>
      </c>
      <c r="F99" s="83">
        <v>0</v>
      </c>
      <c r="G99" s="87">
        <v>174680</v>
      </c>
    </row>
    <row r="100" spans="1:7" ht="39.75" customHeight="1">
      <c r="A100" s="88" t="s">
        <v>47</v>
      </c>
      <c r="B100" s="112" t="s">
        <v>48</v>
      </c>
      <c r="C100" s="117" t="s">
        <v>159</v>
      </c>
      <c r="D100" s="83"/>
      <c r="E100" s="84"/>
      <c r="F100" s="83"/>
      <c r="G100" s="87">
        <v>698700</v>
      </c>
    </row>
    <row r="101" spans="1:7" ht="39.75" customHeight="1">
      <c r="A101" s="88" t="s">
        <v>47</v>
      </c>
      <c r="B101" s="112" t="s">
        <v>48</v>
      </c>
      <c r="C101" s="117" t="s">
        <v>107</v>
      </c>
      <c r="D101" s="83">
        <v>223900</v>
      </c>
      <c r="E101" s="84">
        <f>100-(F101/D101)*100</f>
        <v>100</v>
      </c>
      <c r="F101" s="83">
        <v>0</v>
      </c>
      <c r="G101" s="87">
        <v>44780</v>
      </c>
    </row>
    <row r="102" spans="1:7" ht="39.75" customHeight="1">
      <c r="A102" s="88" t="s">
        <v>47</v>
      </c>
      <c r="B102" s="112" t="s">
        <v>48</v>
      </c>
      <c r="C102" s="117" t="s">
        <v>160</v>
      </c>
      <c r="D102" s="83"/>
      <c r="E102" s="84"/>
      <c r="F102" s="83"/>
      <c r="G102" s="87">
        <v>179100</v>
      </c>
    </row>
    <row r="103" spans="1:7" ht="42" customHeight="1">
      <c r="A103" s="88" t="s">
        <v>15</v>
      </c>
      <c r="B103" s="112" t="s">
        <v>16</v>
      </c>
      <c r="C103" s="118" t="s">
        <v>139</v>
      </c>
      <c r="D103" s="80">
        <v>400170</v>
      </c>
      <c r="E103" s="84">
        <v>100</v>
      </c>
      <c r="F103" s="83">
        <v>0</v>
      </c>
      <c r="G103" s="87">
        <v>400170</v>
      </c>
    </row>
    <row r="104" spans="1:7" s="79" customFormat="1" ht="37.5">
      <c r="A104" s="91" t="s">
        <v>109</v>
      </c>
      <c r="B104" s="113" t="s">
        <v>110</v>
      </c>
      <c r="C104" s="115"/>
      <c r="D104" s="94">
        <f>SUM(D105:D106)</f>
        <v>13400000</v>
      </c>
      <c r="E104" s="94"/>
      <c r="F104" s="94">
        <f>SUM(F105:F106)</f>
        <v>0</v>
      </c>
      <c r="G104" s="95">
        <f>SUM(G105:G106)</f>
        <v>13400000</v>
      </c>
    </row>
    <row r="105" spans="1:7" ht="93.75">
      <c r="A105" s="88" t="s">
        <v>111</v>
      </c>
      <c r="B105" s="112" t="s">
        <v>112</v>
      </c>
      <c r="C105" s="122" t="s">
        <v>113</v>
      </c>
      <c r="D105" s="93">
        <v>6700000</v>
      </c>
      <c r="E105" s="84">
        <v>100</v>
      </c>
      <c r="F105" s="83">
        <v>0</v>
      </c>
      <c r="G105" s="87">
        <v>6700000</v>
      </c>
    </row>
    <row r="106" spans="1:7" ht="93.75">
      <c r="A106" s="88" t="s">
        <v>111</v>
      </c>
      <c r="B106" s="112" t="s">
        <v>112</v>
      </c>
      <c r="C106" s="122" t="s">
        <v>161</v>
      </c>
      <c r="D106" s="89">
        <v>6700000</v>
      </c>
      <c r="E106" s="84">
        <v>100</v>
      </c>
      <c r="F106" s="83">
        <v>0</v>
      </c>
      <c r="G106" s="87">
        <v>6700000</v>
      </c>
    </row>
    <row r="107" spans="1:7" ht="18.75" hidden="1">
      <c r="A107" s="88"/>
      <c r="B107" s="112"/>
      <c r="C107" s="116" t="s">
        <v>115</v>
      </c>
      <c r="D107" s="93">
        <f>3500000-3500000</f>
        <v>0</v>
      </c>
      <c r="E107" s="84"/>
      <c r="F107" s="83"/>
      <c r="G107" s="87">
        <f>3500000-3500000</f>
        <v>0</v>
      </c>
    </row>
    <row r="108" spans="1:7" s="79" customFormat="1" ht="37.5">
      <c r="A108" s="91" t="s">
        <v>116</v>
      </c>
      <c r="B108" s="113" t="s">
        <v>117</v>
      </c>
      <c r="C108" s="120"/>
      <c r="D108" s="80">
        <f>SUM(D109:D114)</f>
        <v>21677897</v>
      </c>
      <c r="E108" s="80"/>
      <c r="F108" s="80">
        <f>SUM(F109:F114)</f>
        <v>16471802</v>
      </c>
      <c r="G108" s="82">
        <f>SUM(G109:G114)</f>
        <v>4580845</v>
      </c>
    </row>
    <row r="109" spans="1:7" ht="42" customHeight="1">
      <c r="A109" s="88" t="s">
        <v>15</v>
      </c>
      <c r="B109" s="112" t="s">
        <v>16</v>
      </c>
      <c r="C109" s="119" t="s">
        <v>118</v>
      </c>
      <c r="D109" s="83">
        <v>684145</v>
      </c>
      <c r="E109" s="84">
        <f aca="true" t="shared" si="0" ref="E109:E114">100-(F109/D109)*100</f>
        <v>49.697067142199394</v>
      </c>
      <c r="F109" s="83">
        <f>D109-G109-40000</f>
        <v>344145</v>
      </c>
      <c r="G109" s="87">
        <f>500000-200000</f>
        <v>300000</v>
      </c>
    </row>
    <row r="110" spans="1:7" ht="41.25" customHeight="1">
      <c r="A110" s="88" t="s">
        <v>15</v>
      </c>
      <c r="B110" s="112" t="s">
        <v>16</v>
      </c>
      <c r="C110" s="119" t="s">
        <v>119</v>
      </c>
      <c r="D110" s="83">
        <f>700000+13429905</f>
        <v>14129905</v>
      </c>
      <c r="E110" s="84">
        <f t="shared" si="0"/>
        <v>1.627753335921227</v>
      </c>
      <c r="F110" s="83">
        <f>D110-G110</f>
        <v>13899905</v>
      </c>
      <c r="G110" s="87">
        <f>700000-200000-270000</f>
        <v>230000</v>
      </c>
    </row>
    <row r="111" spans="1:7" ht="43.5" customHeight="1">
      <c r="A111" s="88" t="s">
        <v>15</v>
      </c>
      <c r="B111" s="112" t="s">
        <v>16</v>
      </c>
      <c r="C111" s="119" t="s">
        <v>120</v>
      </c>
      <c r="D111" s="83">
        <v>4312001</v>
      </c>
      <c r="E111" s="84">
        <f t="shared" si="0"/>
        <v>71.10608276760604</v>
      </c>
      <c r="F111" s="83">
        <f>D111-585250-G111</f>
        <v>1245906</v>
      </c>
      <c r="G111" s="85">
        <f>1980845+500000</f>
        <v>2480845</v>
      </c>
    </row>
    <row r="112" spans="1:7" ht="60.75" customHeight="1">
      <c r="A112" s="88" t="s">
        <v>15</v>
      </c>
      <c r="B112" s="112" t="s">
        <v>16</v>
      </c>
      <c r="C112" s="119" t="s">
        <v>121</v>
      </c>
      <c r="D112" s="83">
        <f>700000+1158645</f>
        <v>1858645</v>
      </c>
      <c r="E112" s="84">
        <f t="shared" si="0"/>
        <v>52.18855671739359</v>
      </c>
      <c r="F112" s="83">
        <f>D112-G112</f>
        <v>888645</v>
      </c>
      <c r="G112" s="87">
        <f>700000+270000</f>
        <v>970000</v>
      </c>
    </row>
    <row r="113" spans="1:7" ht="45" customHeight="1">
      <c r="A113" s="88" t="s">
        <v>15</v>
      </c>
      <c r="B113" s="112" t="s">
        <v>16</v>
      </c>
      <c r="C113" s="119" t="s">
        <v>122</v>
      </c>
      <c r="D113" s="83">
        <f>208000+963</f>
        <v>208963</v>
      </c>
      <c r="E113" s="84">
        <f t="shared" si="0"/>
        <v>95.71072390806027</v>
      </c>
      <c r="F113" s="83">
        <f>D113-G113</f>
        <v>8963</v>
      </c>
      <c r="G113" s="87">
        <v>200000</v>
      </c>
    </row>
    <row r="114" spans="1:7" ht="40.5" customHeight="1">
      <c r="A114" s="88" t="s">
        <v>15</v>
      </c>
      <c r="B114" s="112" t="s">
        <v>16</v>
      </c>
      <c r="C114" s="119" t="s">
        <v>123</v>
      </c>
      <c r="D114" s="83">
        <f>400000+84238</f>
        <v>484238</v>
      </c>
      <c r="E114" s="84">
        <f t="shared" si="0"/>
        <v>82.60400877254574</v>
      </c>
      <c r="F114" s="83">
        <f>D114-G114</f>
        <v>84238</v>
      </c>
      <c r="G114" s="87">
        <v>400000</v>
      </c>
    </row>
    <row r="115" spans="1:7" s="97" customFormat="1" ht="37.5">
      <c r="A115" s="96" t="s">
        <v>124</v>
      </c>
      <c r="B115" s="120" t="s">
        <v>125</v>
      </c>
      <c r="C115" s="120"/>
      <c r="D115" s="80">
        <f>SUM(D116:D119)</f>
        <v>15031000</v>
      </c>
      <c r="E115" s="80"/>
      <c r="F115" s="80">
        <f>SUM(F116:F119)</f>
        <v>10069000</v>
      </c>
      <c r="G115" s="82">
        <f>SUM(G116:G119)</f>
        <v>3113600</v>
      </c>
    </row>
    <row r="116" spans="1:7" s="55" customFormat="1" ht="42" customHeight="1">
      <c r="A116" s="88" t="s">
        <v>15</v>
      </c>
      <c r="B116" s="112" t="s">
        <v>16</v>
      </c>
      <c r="C116" s="119" t="s">
        <v>126</v>
      </c>
      <c r="D116" s="83">
        <v>4201000</v>
      </c>
      <c r="E116" s="84">
        <f>100-(F116/D116)*100</f>
        <v>39.0859319209712</v>
      </c>
      <c r="F116" s="83">
        <v>2559000</v>
      </c>
      <c r="G116" s="85">
        <v>1000000</v>
      </c>
    </row>
    <row r="117" spans="1:7" s="55" customFormat="1" ht="45" customHeight="1">
      <c r="A117" s="88" t="s">
        <v>15</v>
      </c>
      <c r="B117" s="112" t="s">
        <v>16</v>
      </c>
      <c r="C117" s="119" t="s">
        <v>127</v>
      </c>
      <c r="D117" s="83">
        <v>120000</v>
      </c>
      <c r="E117" s="84">
        <v>100</v>
      </c>
      <c r="F117" s="83">
        <v>0</v>
      </c>
      <c r="G117" s="87">
        <v>120000</v>
      </c>
    </row>
    <row r="118" spans="1:7" s="55" customFormat="1" ht="48.75" customHeight="1">
      <c r="A118" s="88" t="s">
        <v>47</v>
      </c>
      <c r="B118" s="112" t="s">
        <v>48</v>
      </c>
      <c r="C118" s="119" t="s">
        <v>128</v>
      </c>
      <c r="D118" s="83">
        <v>2200000</v>
      </c>
      <c r="E118" s="84">
        <v>100</v>
      </c>
      <c r="F118" s="83">
        <v>0</v>
      </c>
      <c r="G118" s="85">
        <v>993600</v>
      </c>
    </row>
    <row r="119" spans="1:7" s="55" customFormat="1" ht="46.5" customHeight="1">
      <c r="A119" s="88" t="s">
        <v>47</v>
      </c>
      <c r="B119" s="112" t="s">
        <v>48</v>
      </c>
      <c r="C119" s="119" t="s">
        <v>129</v>
      </c>
      <c r="D119" s="83">
        <v>8510000</v>
      </c>
      <c r="E119" s="84">
        <f>100-(F119/D119)*100</f>
        <v>11.750881316098699</v>
      </c>
      <c r="F119" s="83">
        <f>D119-G119</f>
        <v>7510000</v>
      </c>
      <c r="G119" s="85">
        <v>1000000</v>
      </c>
    </row>
    <row r="120" spans="1:7" s="97" customFormat="1" ht="36.75" customHeight="1">
      <c r="A120" s="91" t="s">
        <v>130</v>
      </c>
      <c r="B120" s="113" t="s">
        <v>131</v>
      </c>
      <c r="C120" s="123"/>
      <c r="D120" s="80">
        <f>D121</f>
        <v>15046576</v>
      </c>
      <c r="E120" s="92"/>
      <c r="F120" s="80">
        <f>F121</f>
        <v>13127200</v>
      </c>
      <c r="G120" s="82">
        <f>G121</f>
        <v>1000000</v>
      </c>
    </row>
    <row r="121" spans="1:7" s="55" customFormat="1" ht="37.5" customHeight="1">
      <c r="A121" s="88" t="s">
        <v>15</v>
      </c>
      <c r="B121" s="112" t="s">
        <v>16</v>
      </c>
      <c r="C121" s="119" t="s">
        <v>132</v>
      </c>
      <c r="D121" s="83">
        <v>15046576</v>
      </c>
      <c r="E121" s="84">
        <f>100-(F121/D121)*100</f>
        <v>12.756231052167621</v>
      </c>
      <c r="F121" s="83">
        <f>D121-G121-169876-749500</f>
        <v>13127200</v>
      </c>
      <c r="G121" s="87">
        <v>1000000</v>
      </c>
    </row>
    <row r="122" spans="1:7" s="79" customFormat="1" ht="23.25" customHeight="1" thickBot="1">
      <c r="A122" s="98"/>
      <c r="B122" s="125"/>
      <c r="C122" s="125" t="s">
        <v>133</v>
      </c>
      <c r="D122" s="99">
        <f>D11+D12+D62+D77+D104+D108+D115+D120+D74</f>
        <v>2561675622</v>
      </c>
      <c r="E122" s="99"/>
      <c r="F122" s="99">
        <f>F11+F12+F62+F77+F104+F108+F115+F120+F74</f>
        <v>1703976402</v>
      </c>
      <c r="G122" s="100">
        <f>G11+G12+G62+G77+G104+G108+G115+G120+G74</f>
        <v>374163609</v>
      </c>
    </row>
    <row r="123" spans="1:7" ht="18" customHeight="1">
      <c r="A123" s="101"/>
      <c r="B123" s="102"/>
      <c r="C123" s="56"/>
      <c r="D123" s="103"/>
      <c r="E123" s="104"/>
      <c r="F123" s="103"/>
      <c r="G123" s="105"/>
    </row>
    <row r="124" spans="1:6" ht="18.75">
      <c r="A124" s="106"/>
      <c r="B124" s="69"/>
      <c r="D124" s="70"/>
      <c r="E124" s="107"/>
      <c r="F124" s="108"/>
    </row>
    <row r="126" spans="2:6" ht="22.5" customHeight="1">
      <c r="B126" s="229" t="s">
        <v>187</v>
      </c>
      <c r="F126" s="228" t="s">
        <v>188</v>
      </c>
    </row>
    <row r="127" ht="18.75">
      <c r="G127" s="105"/>
    </row>
    <row r="130" ht="18.75">
      <c r="G130" s="105"/>
    </row>
  </sheetData>
  <mergeCells count="10">
    <mergeCell ref="B46:B50"/>
    <mergeCell ref="A46:A50"/>
    <mergeCell ref="G8:G9"/>
    <mergeCell ref="E2:G2"/>
    <mergeCell ref="A3:F3"/>
    <mergeCell ref="A4:F4"/>
    <mergeCell ref="C8:C9"/>
    <mergeCell ref="D8:D9"/>
    <mergeCell ref="E8:E9"/>
    <mergeCell ref="F8:F9"/>
  </mergeCells>
  <printOptions/>
  <pageMargins left="0.36" right="0.32" top="0.35" bottom="0.16" header="0.18" footer="0.17"/>
  <pageSetup horizontalDpi="600" verticalDpi="600" orientation="landscape" paperSize="9" scale="75" r:id="rId1"/>
  <headerFooter alignWithMargins="0">
    <oddHeader>&amp;C&amp;P</oddHeader>
  </headerFooter>
  <rowBreaks count="6" manualBreakCount="6">
    <brk id="23" max="6" man="1"/>
    <brk id="37" max="6" man="1"/>
    <brk id="50" max="6" man="1"/>
    <brk id="75" max="6" man="1"/>
    <brk id="84" max="6" man="1"/>
    <brk id="10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60" zoomScaleNormal="75" workbookViewId="0" topLeftCell="A1">
      <selection activeCell="C22" sqref="C22:C23"/>
    </sheetView>
  </sheetViews>
  <sheetFormatPr defaultColWidth="9.125" defaultRowHeight="12.75"/>
  <cols>
    <col min="1" max="1" width="10.75390625" style="155" customWidth="1"/>
    <col min="2" max="2" width="34.125" style="54" customWidth="1"/>
    <col min="3" max="3" width="73.75390625" style="54" customWidth="1"/>
    <col min="4" max="4" width="17.125" style="54" customWidth="1"/>
    <col min="5" max="5" width="15.125" style="54" customWidth="1"/>
    <col min="6" max="6" width="17.625" style="54" customWidth="1"/>
    <col min="7" max="7" width="19.875" style="54" customWidth="1"/>
    <col min="8" max="8" width="13.125" style="56" bestFit="1" customWidth="1"/>
    <col min="9" max="18" width="9.125" style="56" customWidth="1"/>
    <col min="19" max="16384" width="9.125" style="54" customWidth="1"/>
  </cols>
  <sheetData>
    <row r="1" spans="1:7" ht="24.75" customHeight="1">
      <c r="A1" s="126"/>
      <c r="B1" s="127"/>
      <c r="D1" s="128"/>
      <c r="E1" s="226" t="s">
        <v>162</v>
      </c>
      <c r="F1" s="227"/>
      <c r="G1" s="227"/>
    </row>
    <row r="2" spans="1:7" ht="20.25">
      <c r="A2" s="126"/>
      <c r="B2" s="127"/>
      <c r="C2" s="79"/>
      <c r="D2" s="128"/>
      <c r="E2" s="226" t="s">
        <v>163</v>
      </c>
      <c r="F2" s="226"/>
      <c r="G2" s="227"/>
    </row>
    <row r="3" spans="1:7" ht="20.25">
      <c r="A3" s="126"/>
      <c r="B3" s="127"/>
      <c r="C3" s="79"/>
      <c r="D3" s="128"/>
      <c r="E3" s="226" t="s">
        <v>164</v>
      </c>
      <c r="F3" s="226"/>
      <c r="G3" s="227"/>
    </row>
    <row r="4" spans="1:7" ht="20.25">
      <c r="A4" s="126"/>
      <c r="B4" s="127"/>
      <c r="C4" s="79"/>
      <c r="D4" s="128"/>
      <c r="E4" s="226" t="s">
        <v>165</v>
      </c>
      <c r="F4" s="226"/>
      <c r="G4" s="227"/>
    </row>
    <row r="5" spans="1:7" ht="18.75">
      <c r="A5" s="240" t="s">
        <v>166</v>
      </c>
      <c r="B5" s="240"/>
      <c r="C5" s="240"/>
      <c r="D5" s="240"/>
      <c r="E5" s="240"/>
      <c r="F5" s="240"/>
      <c r="G5" s="240"/>
    </row>
    <row r="6" spans="1:7" ht="15.75" customHeight="1">
      <c r="A6" s="268" t="s">
        <v>167</v>
      </c>
      <c r="B6" s="268"/>
      <c r="C6" s="268"/>
      <c r="D6" s="268"/>
      <c r="E6" s="268"/>
      <c r="F6" s="268"/>
      <c r="G6" s="268"/>
    </row>
    <row r="7" spans="1:7" ht="19.5" thickBot="1">
      <c r="A7" s="129"/>
      <c r="B7" s="130"/>
      <c r="C7" s="131"/>
      <c r="D7" s="132"/>
      <c r="E7" s="132"/>
      <c r="F7" s="132"/>
      <c r="G7" s="133" t="s">
        <v>168</v>
      </c>
    </row>
    <row r="8" spans="1:7" ht="88.5" customHeight="1">
      <c r="A8" s="77" t="s">
        <v>5</v>
      </c>
      <c r="B8" s="110" t="s">
        <v>6</v>
      </c>
      <c r="C8" s="261" t="s">
        <v>7</v>
      </c>
      <c r="D8" s="261" t="s">
        <v>8</v>
      </c>
      <c r="E8" s="261" t="s">
        <v>169</v>
      </c>
      <c r="F8" s="261" t="s">
        <v>10</v>
      </c>
      <c r="G8" s="269" t="s">
        <v>170</v>
      </c>
    </row>
    <row r="9" spans="1:7" ht="49.5" customHeight="1" thickBot="1">
      <c r="A9" s="78" t="s">
        <v>11</v>
      </c>
      <c r="B9" s="111" t="s">
        <v>11</v>
      </c>
      <c r="C9" s="262"/>
      <c r="D9" s="262"/>
      <c r="E9" s="262"/>
      <c r="F9" s="262"/>
      <c r="G9" s="239"/>
    </row>
    <row r="10" spans="1:7" ht="19.5" thickBot="1">
      <c r="A10" s="75" t="s">
        <v>171</v>
      </c>
      <c r="B10" s="134" t="s">
        <v>172</v>
      </c>
      <c r="C10" s="134" t="s">
        <v>173</v>
      </c>
      <c r="D10" s="134" t="s">
        <v>174</v>
      </c>
      <c r="E10" s="134" t="s">
        <v>175</v>
      </c>
      <c r="F10" s="134" t="s">
        <v>176</v>
      </c>
      <c r="G10" s="135" t="s">
        <v>177</v>
      </c>
    </row>
    <row r="11" spans="1:7" ht="40.5" customHeight="1">
      <c r="A11" s="77"/>
      <c r="B11" s="136" t="s">
        <v>184</v>
      </c>
      <c r="C11" s="136"/>
      <c r="D11" s="137">
        <f>3058135.794+7518.229</f>
        <v>3065654.023</v>
      </c>
      <c r="E11" s="137"/>
      <c r="F11" s="137">
        <f>1265184.374+7518.229</f>
        <v>1272702.6030000001</v>
      </c>
      <c r="G11" s="138">
        <f>1046951.543</f>
        <v>1046951.543</v>
      </c>
    </row>
    <row r="12" spans="1:7" ht="47.25" customHeight="1">
      <c r="A12" s="139">
        <v>230</v>
      </c>
      <c r="B12" s="114" t="s">
        <v>14</v>
      </c>
      <c r="C12" s="140"/>
      <c r="D12" s="141"/>
      <c r="E12" s="142"/>
      <c r="F12" s="141"/>
      <c r="G12" s="143"/>
    </row>
    <row r="13" spans="1:7" ht="27.75" customHeight="1">
      <c r="A13" s="139"/>
      <c r="B13" s="114" t="s">
        <v>183</v>
      </c>
      <c r="C13" s="140"/>
      <c r="D13" s="141">
        <f>SUM(D18-D15)</f>
        <v>7518.228999999999</v>
      </c>
      <c r="E13" s="142"/>
      <c r="F13" s="141">
        <f>SUM(F18-F15)</f>
        <v>7518.229</v>
      </c>
      <c r="G13" s="143">
        <v>0</v>
      </c>
    </row>
    <row r="14" spans="1:7" ht="35.25" customHeight="1">
      <c r="A14" s="139"/>
      <c r="B14" s="218" t="s">
        <v>182</v>
      </c>
      <c r="C14" s="140"/>
      <c r="D14" s="141"/>
      <c r="E14" s="142"/>
      <c r="F14" s="141"/>
      <c r="G14" s="144"/>
    </row>
    <row r="15" spans="1:18" s="146" customFormat="1" ht="37.5" customHeight="1">
      <c r="A15" s="263" t="s">
        <v>47</v>
      </c>
      <c r="B15" s="264" t="s">
        <v>48</v>
      </c>
      <c r="C15" s="117" t="s">
        <v>55</v>
      </c>
      <c r="D15" s="147">
        <v>16865.691</v>
      </c>
      <c r="E15" s="147"/>
      <c r="F15" s="147"/>
      <c r="G15" s="150">
        <v>1407.724</v>
      </c>
      <c r="H15" s="159"/>
      <c r="I15" s="157"/>
      <c r="J15" s="157"/>
      <c r="K15" s="157"/>
      <c r="L15" s="157"/>
      <c r="M15" s="157"/>
      <c r="N15" s="157"/>
      <c r="O15" s="157"/>
      <c r="P15" s="157"/>
      <c r="Q15" s="157"/>
      <c r="R15" s="157"/>
    </row>
    <row r="16" spans="1:18" s="146" customFormat="1" ht="21.75" customHeight="1">
      <c r="A16" s="263"/>
      <c r="B16" s="264"/>
      <c r="C16" s="117" t="s">
        <v>179</v>
      </c>
      <c r="D16" s="147"/>
      <c r="E16" s="147"/>
      <c r="F16" s="147"/>
      <c r="G16" s="150">
        <v>5630.894</v>
      </c>
      <c r="H16" s="156"/>
      <c r="I16" s="157"/>
      <c r="J16" s="157"/>
      <c r="K16" s="157"/>
      <c r="L16" s="157"/>
      <c r="M16" s="157"/>
      <c r="N16" s="157"/>
      <c r="O16" s="157"/>
      <c r="P16" s="157"/>
      <c r="Q16" s="157"/>
      <c r="R16" s="157"/>
    </row>
    <row r="17" spans="1:7" ht="19.5" customHeight="1">
      <c r="A17" s="148"/>
      <c r="B17" s="145" t="s">
        <v>178</v>
      </c>
      <c r="C17" s="124"/>
      <c r="D17" s="147"/>
      <c r="E17" s="149"/>
      <c r="F17" s="147"/>
      <c r="G17" s="150"/>
    </row>
    <row r="18" spans="1:18" s="146" customFormat="1" ht="39.75" customHeight="1">
      <c r="A18" s="263" t="s">
        <v>47</v>
      </c>
      <c r="B18" s="264" t="s">
        <v>48</v>
      </c>
      <c r="C18" s="117" t="s">
        <v>55</v>
      </c>
      <c r="D18" s="147">
        <v>24383.92</v>
      </c>
      <c r="E18" s="84">
        <v>69.2</v>
      </c>
      <c r="F18" s="147">
        <v>7518.229</v>
      </c>
      <c r="G18" s="150">
        <v>1407.725</v>
      </c>
      <c r="H18" s="159"/>
      <c r="I18" s="157"/>
      <c r="J18" s="157"/>
      <c r="K18" s="157"/>
      <c r="L18" s="157"/>
      <c r="M18" s="157"/>
      <c r="N18" s="157"/>
      <c r="O18" s="157"/>
      <c r="P18" s="157"/>
      <c r="Q18" s="157"/>
      <c r="R18" s="157"/>
    </row>
    <row r="19" spans="1:18" s="146" customFormat="1" ht="21.75" customHeight="1" thickBot="1">
      <c r="A19" s="265"/>
      <c r="B19" s="266"/>
      <c r="C19" s="219" t="s">
        <v>179</v>
      </c>
      <c r="D19" s="158"/>
      <c r="E19" s="158"/>
      <c r="F19" s="158"/>
      <c r="G19" s="220">
        <v>5630.9</v>
      </c>
      <c r="H19" s="156"/>
      <c r="I19" s="157"/>
      <c r="J19" s="157"/>
      <c r="K19" s="157"/>
      <c r="L19" s="157"/>
      <c r="M19" s="157"/>
      <c r="N19" s="157"/>
      <c r="O19" s="157"/>
      <c r="P19" s="157"/>
      <c r="Q19" s="157"/>
      <c r="R19" s="157"/>
    </row>
    <row r="20" spans="1:7" ht="24" customHeight="1">
      <c r="A20" s="151"/>
      <c r="B20" s="109"/>
      <c r="C20" s="152"/>
      <c r="D20" s="153"/>
      <c r="E20" s="154"/>
      <c r="F20" s="153"/>
      <c r="G20" s="153"/>
    </row>
    <row r="21" spans="1:7" ht="57.75" customHeight="1">
      <c r="A21" s="267" t="s">
        <v>187</v>
      </c>
      <c r="B21" s="267"/>
      <c r="C21" s="224"/>
      <c r="D21" s="225"/>
      <c r="E21" s="224"/>
      <c r="F21" s="224" t="s">
        <v>188</v>
      </c>
      <c r="G21" s="224"/>
    </row>
  </sheetData>
  <mergeCells count="12">
    <mergeCell ref="A21:B21"/>
    <mergeCell ref="A5:G5"/>
    <mergeCell ref="A6:G6"/>
    <mergeCell ref="C8:C9"/>
    <mergeCell ref="D8:D9"/>
    <mergeCell ref="E8:E9"/>
    <mergeCell ref="F8:F9"/>
    <mergeCell ref="G8:G9"/>
    <mergeCell ref="A15:A16"/>
    <mergeCell ref="B15:B16"/>
    <mergeCell ref="A18:A19"/>
    <mergeCell ref="B18:B19"/>
  </mergeCells>
  <printOptions/>
  <pageMargins left="0.4" right="0.34" top="0.42" bottom="0.47" header="0.23" footer="0.28"/>
  <pageSetup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Tenderniy comitet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TendCom</dc:creator>
  <cp:keywords/>
  <dc:description/>
  <cp:lastModifiedBy>TendCom</cp:lastModifiedBy>
  <cp:lastPrinted>2007-11-09T12:28:41Z</cp:lastPrinted>
  <dcterms:created xsi:type="dcterms:W3CDTF">2007-08-07T08:00:39Z</dcterms:created>
  <dcterms:modified xsi:type="dcterms:W3CDTF">2007-11-20T07:28:04Z</dcterms:modified>
  <cp:category/>
  <cp:version/>
  <cp:contentType/>
  <cp:contentStatus/>
</cp:coreProperties>
</file>