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65" windowWidth="15090" windowHeight="9000" tabRatio="60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<sst xmlns="http://schemas.openxmlformats.org/spreadsheetml/2006/main" count="205" uniqueCount="139">
  <si>
    <r>
      <t>Завдання 4:</t>
    </r>
    <r>
      <rPr>
        <b/>
        <sz val="9"/>
        <rFont val="Arial Cyr"/>
        <family val="0"/>
      </rPr>
      <t xml:space="preserve"> Забезпечити протягом 2007-2009 років заміну старих дерев на молоді</t>
    </r>
  </si>
  <si>
    <t>2007 рік (план)</t>
  </si>
  <si>
    <t>2008 рік (прогноз)</t>
  </si>
  <si>
    <t>2009 рік (прогноз)</t>
  </si>
  <si>
    <t>Сума видатків (тис.гн.)</t>
  </si>
  <si>
    <t>Показник затрат (вхідний ресурс):</t>
  </si>
  <si>
    <t>кількість працівників управління, чол.</t>
  </si>
  <si>
    <t>Показник продукту:</t>
  </si>
  <si>
    <t>Показник результативності (якості):</t>
  </si>
  <si>
    <t xml:space="preserve">Показники затрат (вхідних ресурсів): </t>
  </si>
  <si>
    <t xml:space="preserve">Показники продукту: </t>
  </si>
  <si>
    <r>
      <t>загальна площа доріг, яка потребує поточного ремонту,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</si>
  <si>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t>Показники продуктивності (ефективності)</t>
  </si>
  <si>
    <t>Показники результативності (якості)</t>
  </si>
  <si>
    <t>освітлення міста, кВт/год.</t>
  </si>
  <si>
    <t>відновлення зруйнованих намогільних споруд, од.</t>
  </si>
  <si>
    <t>послуги з охорони обєктів пляжів, люд/год</t>
  </si>
  <si>
    <t>послуги з охорони об'єктів пляжів, люд/год</t>
  </si>
  <si>
    <t>загальна кількість дерев, що потребує заміни, од.</t>
  </si>
  <si>
    <t>в тому числі</t>
  </si>
  <si>
    <t>Загальний фонд</t>
  </si>
  <si>
    <t>Спеціальний фонд</t>
  </si>
  <si>
    <t>грн.</t>
  </si>
  <si>
    <r>
      <t>середня вартість поточного ремонту доріг 1 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, грн.</t>
    </r>
  </si>
  <si>
    <r>
      <t>середня вартість експлуатації та утримання доріг 1м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, грн.</t>
    </r>
  </si>
  <si>
    <t>середня вартість 1 кВт/год освітлення міста, грн.</t>
  </si>
  <si>
    <t>% забезпечення освітлення міста</t>
  </si>
  <si>
    <t>середня вартість капітального ремонту 1 об'єкту кладовищ, .грн.</t>
  </si>
  <si>
    <t>замінено старих дерев на молоді, од.</t>
  </si>
  <si>
    <t>середня вартість заміни 1 старого дерева на молоде, грн.</t>
  </si>
  <si>
    <t>загальна площа доріг, яка експлуатується та потребує утримання, тис.м2.</t>
  </si>
  <si>
    <r>
      <t>площа доріг яка експлуатується та утримується,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</si>
  <si>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t>кількість світлоточок, яка технічно обслуговується, од.</t>
  </si>
  <si>
    <t>кількість світлоточок, яка потребує технічного обслуговування, од.</t>
  </si>
  <si>
    <t>середня вартість технічного обслуговування 1 світлоточки, грн.</t>
  </si>
  <si>
    <r>
      <t>Завдання 3:</t>
    </r>
    <r>
      <rPr>
        <b/>
        <sz val="9"/>
        <rFont val="Arial Cyr"/>
        <family val="0"/>
      </rPr>
      <t xml:space="preserve"> Забезпечити протягом 2007-2009 років реконструкцію мереж зовнішнього освітлення</t>
    </r>
  </si>
  <si>
    <t>загальна кількість дерев та чагарників, що потребують  садіння, од.</t>
  </si>
  <si>
    <t>кількість посаджених дерев та чагарників, од.</t>
  </si>
  <si>
    <t>середня вартість відновлення 1 зруйнованої намогільної споруди., грн.</t>
  </si>
  <si>
    <t>2010 рік (прогноз)</t>
  </si>
  <si>
    <t>Видатки</t>
  </si>
  <si>
    <t>Код функціональної класифікації видатків</t>
  </si>
  <si>
    <t>разом</t>
  </si>
  <si>
    <t>кількість світлофорних обє'ктів які треба побудувати, од.</t>
  </si>
  <si>
    <t>побудовано світлофорних обє'ктів, од.</t>
  </si>
  <si>
    <t>ввести в дію світлофорні об'єкти, %</t>
  </si>
  <si>
    <t>середня вартість поточнго ремонту та технічного обслуговування 1 фонтану, грн.</t>
  </si>
  <si>
    <t>підвищенно експлуатаційні якості та продовженно строк служби доріг, %</t>
  </si>
  <si>
    <t>середня вартість реконструкції 1 об'єкту, грн.</t>
  </si>
  <si>
    <t>кількість реконструйованих об'єктів, од.</t>
  </si>
  <si>
    <t>кількість об'єктів, які потребують реконструкції, од.</t>
  </si>
  <si>
    <t>зменшення обгрунтованих скарг населення в порівнянні з минулим роком, %</t>
  </si>
  <si>
    <t>Програма благоустрою міста на 2007 - 2009 роки</t>
  </si>
  <si>
    <r>
      <t>Завдання 7:</t>
    </r>
    <r>
      <rPr>
        <b/>
        <sz val="9"/>
        <rFont val="Arial Cyr"/>
        <family val="0"/>
      </rPr>
      <t xml:space="preserve"> Забезпечити протягом 2007-2009 років поточний ремонт та технічне обслуговування фонтанів</t>
    </r>
  </si>
  <si>
    <t>Підпрограма здійснення цільових програм благоустрою, визначених територіальною громадою на 2007 - 2009 роки</t>
  </si>
  <si>
    <t>до рішення сесії міської ради</t>
  </si>
  <si>
    <t>забезпечення протягом 2007-2009 років організації роботи та здійснення контролю за діяльністю комунальних підприємств підпорядкованих упрвлінню, %</t>
  </si>
  <si>
    <t>спільно з підпорядкованими підприємствами розроблені програми по благоустрою міста та здійснюється контроль за їх виконанням, од.</t>
  </si>
  <si>
    <t>010116</t>
  </si>
  <si>
    <t>утримання міських пляжів в належному стані, %</t>
  </si>
  <si>
    <t>утримання фонтанів в належному стані, %</t>
  </si>
  <si>
    <r>
      <t>Мета програми:</t>
    </r>
    <r>
      <rPr>
        <b/>
        <sz val="9"/>
        <rFont val="Arial Cyr"/>
        <family val="0"/>
      </rPr>
      <t xml:space="preserve"> Забезпечення управління об'єктами комунального господарства, що перебувають у комунальній власності .Здійснення контролю за станом благоустрою територій, організації озеленення, станом мереж зовнішнього освітлення</t>
    </r>
  </si>
  <si>
    <r>
      <t>Завдання 1:</t>
    </r>
    <r>
      <rPr>
        <b/>
        <sz val="9"/>
        <rFont val="Arial Cyr"/>
        <family val="0"/>
      </rPr>
      <t xml:space="preserve"> Забезпечити управління комунальним господарством міста організувати експлуатацію об'єктів комунального призначення для задоволення потреб населення. Здійснювати контроль за діяльністю комунальних підприємств підпорядкованих упрвлінню комунального господарства.</t>
    </r>
  </si>
  <si>
    <t>% доріг, на якій виконаеться поточний ремонт</t>
  </si>
  <si>
    <t xml:space="preserve">% площі впорядкованих зелених насаджень </t>
  </si>
  <si>
    <r>
      <t xml:space="preserve">083  Головний розпорядник бюджетних коштів: </t>
    </r>
    <r>
      <rPr>
        <b/>
        <i/>
        <u val="single"/>
        <sz val="9"/>
        <rFont val="Arial Cyr"/>
        <family val="0"/>
      </rPr>
      <t>Управління комунального господарства міської рад</t>
    </r>
    <r>
      <rPr>
        <b/>
        <u val="single"/>
        <sz val="9"/>
        <rFont val="Arial Cyr"/>
        <family val="0"/>
      </rPr>
      <t>и</t>
    </r>
  </si>
  <si>
    <t>% доріг які експлуатується та утримується</t>
  </si>
  <si>
    <t>утримання міських кладовищ в належному стані, %</t>
  </si>
  <si>
    <t>Секретар ради                                                                                           Ю.В.Каптюх</t>
  </si>
  <si>
    <r>
      <t>Завдання 5:</t>
    </r>
    <r>
      <rPr>
        <b/>
        <sz val="9"/>
        <rFont val="Arial Cyr"/>
        <family val="0"/>
      </rPr>
      <t xml:space="preserve"> Забезпечити протягом 2007-2009 років будівництво світлофорних обєктів</t>
    </r>
  </si>
  <si>
    <t>Розподіл видатків бюджету міста Запоріжжя на період 2007 - 2009 роки за бюджетною програмою</t>
  </si>
  <si>
    <t>кількість тендерів по закупівлі товарів, робіт і послуг за бюджетні кошти, од.</t>
  </si>
  <si>
    <t>економічний аналіз фінансово-господарської діяльності підпорядкованих підприємств за фінансовими звітами, од.</t>
  </si>
  <si>
    <t>забезпечується контроль за утриманням, якістю ремонту та будівництва усіх елементів благоустрою (перевірки), %</t>
  </si>
  <si>
    <t>кількіссть пропозиції, заяви та скарги населення, вживаються заходи щодо недопущення причин, з яких виникли скарги, в подальшому, о.д</t>
  </si>
  <si>
    <t>цільове викорстання коштів, %</t>
  </si>
  <si>
    <r>
      <t>Програма</t>
    </r>
    <r>
      <rPr>
        <b/>
        <sz val="9"/>
        <rFont val="Arial Cyr"/>
        <family val="0"/>
      </rPr>
      <t xml:space="preserve"> Ефективне управлыння в галузы комунального господарства на 2007 - 2009 роки</t>
    </r>
  </si>
  <si>
    <t>Додаток № 9.1.</t>
  </si>
  <si>
    <t>площа зелених насаджень впорядкована комунальною службою, в тому числі прибирання листя, га</t>
  </si>
  <si>
    <t>середня вартість впорядкування 1га зелених насаджень, грн.</t>
  </si>
  <si>
    <t>прибирання території кладовищ, га</t>
  </si>
  <si>
    <t>середня вартість прибирання 1 га території кладовищ, грн.</t>
  </si>
  <si>
    <t>загальна площа пляжів, га.</t>
  </si>
  <si>
    <t>утримується площа пляжів, га.</t>
  </si>
  <si>
    <r>
      <t>Завдання 3:</t>
    </r>
    <r>
      <rPr>
        <b/>
        <sz val="9"/>
        <rFont val="Arial Cyr"/>
        <family val="0"/>
      </rPr>
      <t xml:space="preserve"> Забезпечити протягом 2007-2009 років утримання зелених насаджень</t>
    </r>
  </si>
  <si>
    <t>Завдання 4: Забезпечити протягом 2007 - 2009 років освітлення міста, технічне обслуговування мереж зовнішнього освітлення</t>
  </si>
  <si>
    <r>
      <t>Завдання 5:</t>
    </r>
    <r>
      <rPr>
        <b/>
        <sz val="9"/>
        <rFont val="Arial Cyr"/>
        <family val="0"/>
      </rPr>
      <t xml:space="preserve"> Забезпечити протягом 2007-2009 років утримання і благоустрій міських кладовищ, </t>
    </r>
  </si>
  <si>
    <r>
      <t>Завдання 6:</t>
    </r>
    <r>
      <rPr>
        <b/>
        <sz val="9"/>
        <rFont val="Arial Cyr"/>
        <family val="0"/>
      </rPr>
      <t xml:space="preserve"> Забезпечення протягом 2007-2009 років утримання і благоустрою міських пляжів</t>
    </r>
  </si>
  <si>
    <r>
      <t>Завдання 1:</t>
    </r>
    <r>
      <rPr>
        <b/>
        <sz val="9"/>
        <rFont val="Arial Cyr"/>
        <family val="0"/>
      </rPr>
      <t xml:space="preserve"> Забезпечити протягом 2007-2009 років ремонт внутрішньоквартальних доріг та доріг приватного сектору</t>
    </r>
  </si>
  <si>
    <t>середня вартість 1 посадженого дерева та чагарника, грн.</t>
  </si>
  <si>
    <t>% посаджених дерев та чагарників.</t>
  </si>
  <si>
    <r>
      <t>Завдання 2:</t>
    </r>
    <r>
      <rPr>
        <b/>
        <sz val="9"/>
        <rFont val="Arial Cyr"/>
        <family val="0"/>
      </rPr>
      <t xml:space="preserve"> Забезпечити протягом 2007-2009 років  експлуатацію та утримання доріг</t>
    </r>
  </si>
  <si>
    <r>
      <t>середня вартість експлуатації та утримання 1м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дороги, грн.</t>
    </r>
  </si>
  <si>
    <t>підвищенно експлуатаційні якості та продовженно строк служби об'єктів, %</t>
  </si>
  <si>
    <t>середня вартість будівництва 1 світлофорного обє'кту, грн.</t>
  </si>
  <si>
    <t>середня вартість поточного ремонту об'єктів 1 кладовищ, грн.</t>
  </si>
  <si>
    <t>поточний ремонт об'єктів кладовищ, од.</t>
  </si>
  <si>
    <t>капітальний ремонт об'єктів кладовищ, од.</t>
  </si>
  <si>
    <t>поточний ремонт обєктів пляжів, од.</t>
  </si>
  <si>
    <t>проведено поточний ремонт об'єктів пляжів, од.</t>
  </si>
  <si>
    <t>середня вартість поточного ремонту 1 обєкту пляжів, грн.</t>
  </si>
  <si>
    <t>середня вартіст послуги з охорони об'єктів пляжів 1люд/год., грн.</t>
  </si>
  <si>
    <r>
      <t>площа внутрішньоквартальних доріг яка потребує поточного ремонту,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</si>
  <si>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доріг приватного сектору яка потребує капітального ремонту,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</si>
  <si>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доріг приватного сектору яка потребує поточного ремонту,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</si>
  <si>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доріг приватного сектору на якій проведено капітальний ремонт,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</si>
  <si>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доріг приватного сектору на якій проведено поточний ремонт,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</si>
  <si>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доріг яка експлуатується та потребує утримання,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</si>
  <si>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внутрішньоквартальних доріг на якій проведено поточний ремонт,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</si>
  <si>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t>площа зелених насаджень, яка потребує обслуговування комунальною службою міста, в тому числі прибирання листя, га</t>
  </si>
  <si>
    <r>
      <t>Завдання 1:</t>
    </r>
    <r>
      <rPr>
        <b/>
        <sz val="9"/>
        <rFont val="Arial Cyr"/>
        <family val="0"/>
      </rPr>
      <t xml:space="preserve"> Забезпечти протягом 2007-2009 років поточний ремонт доріг</t>
    </r>
  </si>
  <si>
    <r>
      <t>площа доріг, на якій виконається поточний ремонт,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</si>
  <si>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t>довжина зливної каналізації яка утирмується,  п/м</t>
  </si>
  <si>
    <t>перевезення експертних трупів, чол.</t>
  </si>
  <si>
    <t>середня вартіст перевезення 1 експертного трупа, грн.</t>
  </si>
  <si>
    <t>%  зливної каналізації яка утримується</t>
  </si>
  <si>
    <t>оновлення зелених насаджень міста, %</t>
  </si>
  <si>
    <t>загальна кількість фонтанів, од.</t>
  </si>
  <si>
    <t>проведеня поточного ремонту об'єктів пляжів, %</t>
  </si>
  <si>
    <r>
      <t>середня вартість ремонту 1 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внутрішньоквартальних доріг, грн.</t>
    </r>
  </si>
  <si>
    <r>
      <t>середня вартість капітального ремонту 1м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доріг приватного сектору, грн.</t>
    </r>
  </si>
  <si>
    <r>
      <t>середня вартість поточного ремонту 1м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доріг приватного сектору, грн.</t>
    </r>
  </si>
  <si>
    <t>електроенергія, кВт/год.</t>
  </si>
  <si>
    <r>
      <t>водопостачання, м</t>
    </r>
    <r>
      <rPr>
        <vertAlign val="superscript"/>
        <sz val="9"/>
        <rFont val="Arial Cyr"/>
        <family val="0"/>
      </rPr>
      <t>3</t>
    </r>
  </si>
  <si>
    <t>середня вартісь 1 кВт/год електроенергії, грн</t>
  </si>
  <si>
    <r>
      <t>середня вартість 1 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 xml:space="preserve"> води, грн.</t>
    </r>
  </si>
  <si>
    <t>поточний ремонт та технічне обслуговуванняфонтанів, од.</t>
  </si>
  <si>
    <t>Управління комунального господарства Запорізької міської ради</t>
  </si>
  <si>
    <t>середня вартість утримання 1га пляжів, грн.</t>
  </si>
  <si>
    <r>
      <t>Завдання 2:</t>
    </r>
    <r>
      <rPr>
        <b/>
        <sz val="9"/>
        <rFont val="Arial Cyr"/>
        <family val="0"/>
      </rPr>
      <t xml:space="preserve"> Забезпечти протягом 2007-2009 років  експлуатацію та утримання доріг, утримання системи зливової каналізації</t>
    </r>
  </si>
  <si>
    <t>загальна довжина зливової каналізації, що потребує утирмання, п/м.</t>
  </si>
  <si>
    <t>середня вартість утирмання зливової каналізації, 1 п/м., грн.</t>
  </si>
  <si>
    <r>
      <t>Мета програми:</t>
    </r>
    <r>
      <rPr>
        <b/>
        <sz val="9"/>
        <rFont val="Arial Cyr"/>
        <family val="0"/>
      </rPr>
      <t xml:space="preserve"> Забезпечення протягом 2007-2009 років збереження технічно справного і естетичного стану, підвищення експлуатаційних якостей та продовження строків служби усіх елементів благоустрою </t>
    </r>
  </si>
  <si>
    <t>території кладовищяка яка прибирається, га</t>
  </si>
  <si>
    <t>проведений поточний ремонт об'єктам кладовищ, од.</t>
  </si>
  <si>
    <t>перевезено експертних трупів, чол.</t>
  </si>
  <si>
    <t>проведено капітальний ремонт об'єктам кладовищ, од.</t>
  </si>
  <si>
    <t>відновлено зруйновані намогільні споруди, од.</t>
  </si>
  <si>
    <t>% світлоточок, яка технічно обслуговується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</si>
</sst>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%"/>
    <numFmt numFmtId="168" formatCode="0.000000"/>
  </numFmts>
  <fonts count="1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vertAlign val="superscript"/>
      <sz val="9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i/>
      <u val="single"/>
      <sz val="9"/>
      <name val="Arial Cyr"/>
      <family val="0"/>
    </font>
    <font>
      <b/>
      <u val="single"/>
      <sz val="9"/>
      <name val="Arial Cyr"/>
      <family val="0"/>
    </font>
    <font>
      <sz val="14"/>
      <name val="Arial Cyr"/>
      <family val="0"/>
    </font>
    <font>
      <b/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 quotePrefix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19" applyFont="1" applyBorder="1" applyAlignment="1">
      <alignment horizontal="center" vertical="center" wrapText="1"/>
    </xf>
    <xf numFmtId="1" fontId="3" fillId="0" borderId="1" xfId="0" applyNumberFormat="1" applyFont="1" applyBorder="1" applyAlignment="1" quotePrefix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19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8" fontId="5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1" xfId="19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4" fillId="0" borderId="1" xfId="0" applyNumberFormat="1" applyFont="1" applyBorder="1" applyAlignment="1">
      <alignment horizontal="center" vertical="center" wrapText="1"/>
    </xf>
    <xf numFmtId="9" fontId="7" fillId="0" borderId="1" xfId="19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/>
    </xf>
    <xf numFmtId="1" fontId="5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164" fontId="3" fillId="0" borderId="7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60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27" sqref="C27"/>
    </sheetView>
  </sheetViews>
  <sheetFormatPr defaultColWidth="9.00390625" defaultRowHeight="12.75"/>
  <cols>
    <col min="1" max="1" width="87.75390625" style="0" customWidth="1"/>
    <col min="2" max="2" width="14.00390625" style="0" customWidth="1"/>
    <col min="3" max="4" width="10.375" style="0" bestFit="1" customWidth="1"/>
    <col min="5" max="5" width="11.75390625" style="0" bestFit="1" customWidth="1"/>
    <col min="6" max="6" width="10.375" style="0" bestFit="1" customWidth="1"/>
    <col min="7" max="7" width="10.625" style="0" customWidth="1"/>
    <col min="8" max="8" width="11.75390625" style="0" bestFit="1" customWidth="1"/>
    <col min="9" max="9" width="10.375" style="0" bestFit="1" customWidth="1"/>
    <col min="10" max="10" width="11.375" style="0" bestFit="1" customWidth="1"/>
    <col min="11" max="11" width="11.75390625" style="0" bestFit="1" customWidth="1"/>
    <col min="12" max="12" width="10.625" style="0" hidden="1" customWidth="1"/>
    <col min="13" max="13" width="10.125" style="0" hidden="1" customWidth="1"/>
    <col min="14" max="14" width="11.375" style="0" hidden="1" customWidth="1"/>
    <col min="15" max="15" width="9.625" style="0" bestFit="1" customWidth="1"/>
  </cols>
  <sheetData>
    <row r="1" spans="5:252" ht="12.75">
      <c r="E1" s="44"/>
      <c r="F1" s="44"/>
      <c r="H1" s="13"/>
      <c r="I1" s="52" t="s">
        <v>77</v>
      </c>
      <c r="J1" s="52"/>
      <c r="K1" s="52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</row>
    <row r="2" spans="5:252" ht="12.75">
      <c r="E2" s="44"/>
      <c r="F2" s="44"/>
      <c r="H2" s="13"/>
      <c r="I2" s="52" t="s">
        <v>55</v>
      </c>
      <c r="J2" s="52"/>
      <c r="K2" s="5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</row>
    <row r="3" spans="5:252" ht="12.75">
      <c r="E3" s="13"/>
      <c r="F3" s="13"/>
      <c r="H3" s="44"/>
      <c r="I3" s="44"/>
      <c r="J3" s="13"/>
      <c r="K3" s="1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</row>
    <row r="4" spans="1:11" ht="15.75">
      <c r="A4" s="54" t="s">
        <v>70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.75">
      <c r="A5" s="54" t="s">
        <v>127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25" t="s">
        <v>22</v>
      </c>
    </row>
    <row r="7" spans="1:14" ht="25.5" customHeight="1">
      <c r="A7" s="46" t="s">
        <v>40</v>
      </c>
      <c r="B7" s="46" t="s">
        <v>41</v>
      </c>
      <c r="C7" s="48" t="s">
        <v>1</v>
      </c>
      <c r="D7" s="50"/>
      <c r="E7" s="49"/>
      <c r="F7" s="45" t="s">
        <v>2</v>
      </c>
      <c r="G7" s="45"/>
      <c r="H7" s="45"/>
      <c r="I7" s="45" t="s">
        <v>3</v>
      </c>
      <c r="J7" s="45"/>
      <c r="K7" s="45"/>
      <c r="L7" s="45" t="s">
        <v>39</v>
      </c>
      <c r="M7" s="45"/>
      <c r="N7" s="45"/>
    </row>
    <row r="8" spans="1:14" ht="19.5" customHeight="1">
      <c r="A8" s="53"/>
      <c r="B8" s="53"/>
      <c r="C8" s="46" t="s">
        <v>42</v>
      </c>
      <c r="D8" s="48" t="s">
        <v>19</v>
      </c>
      <c r="E8" s="49"/>
      <c r="F8" s="46" t="s">
        <v>42</v>
      </c>
      <c r="G8" s="48" t="s">
        <v>19</v>
      </c>
      <c r="H8" s="49"/>
      <c r="I8" s="46" t="s">
        <v>42</v>
      </c>
      <c r="J8" s="48" t="s">
        <v>19</v>
      </c>
      <c r="K8" s="49"/>
      <c r="L8" s="46" t="s">
        <v>4</v>
      </c>
      <c r="M8" s="48" t="s">
        <v>19</v>
      </c>
      <c r="N8" s="49"/>
    </row>
    <row r="9" spans="1:14" ht="24">
      <c r="A9" s="47"/>
      <c r="B9" s="47"/>
      <c r="C9" s="47"/>
      <c r="D9" s="7" t="s">
        <v>20</v>
      </c>
      <c r="E9" s="7" t="s">
        <v>21</v>
      </c>
      <c r="F9" s="47"/>
      <c r="G9" s="7" t="s">
        <v>20</v>
      </c>
      <c r="H9" s="7" t="s">
        <v>21</v>
      </c>
      <c r="I9" s="47"/>
      <c r="J9" s="7" t="s">
        <v>20</v>
      </c>
      <c r="K9" s="7" t="s">
        <v>21</v>
      </c>
      <c r="L9" s="47"/>
      <c r="M9" s="7" t="s">
        <v>20</v>
      </c>
      <c r="N9" s="7" t="s">
        <v>21</v>
      </c>
    </row>
    <row r="10" spans="1:14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/>
      <c r="M10" s="8"/>
      <c r="N10" s="8"/>
    </row>
    <row r="11" spans="1:14" ht="21" customHeight="1">
      <c r="A11" s="3" t="s">
        <v>65</v>
      </c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 hidden="1">
      <c r="A12" s="9" t="s">
        <v>76</v>
      </c>
      <c r="B12" s="16" t="s">
        <v>58</v>
      </c>
      <c r="C12" s="8">
        <f>C14</f>
        <v>794831</v>
      </c>
      <c r="D12" s="8">
        <f>D14</f>
        <v>794831</v>
      </c>
      <c r="E12" s="8"/>
      <c r="F12" s="8">
        <f>F14</f>
        <v>862391.635</v>
      </c>
      <c r="G12" s="8">
        <f>G14</f>
        <v>862391.635</v>
      </c>
      <c r="H12" s="8"/>
      <c r="I12" s="8">
        <f>I14</f>
        <v>921896.6578149999</v>
      </c>
      <c r="J12" s="8">
        <f>J14</f>
        <v>921896.6578149999</v>
      </c>
      <c r="K12" s="8"/>
      <c r="L12" s="7"/>
      <c r="M12" s="7"/>
      <c r="N12" s="7"/>
    </row>
    <row r="13" spans="1:14" s="6" customFormat="1" ht="51.75" customHeight="1" hidden="1">
      <c r="A13" s="9" t="s">
        <v>61</v>
      </c>
      <c r="B13" s="17"/>
      <c r="C13" s="8"/>
      <c r="D13" s="8"/>
      <c r="E13" s="8"/>
      <c r="F13" s="8"/>
      <c r="G13" s="8"/>
      <c r="H13" s="8"/>
      <c r="I13" s="8"/>
      <c r="J13" s="8"/>
      <c r="K13" s="8"/>
      <c r="L13" s="7"/>
      <c r="M13" s="7"/>
      <c r="N13" s="7"/>
    </row>
    <row r="14" spans="1:14" ht="49.5" customHeight="1" hidden="1">
      <c r="A14" s="9" t="s">
        <v>62</v>
      </c>
      <c r="B14" s="17"/>
      <c r="C14" s="8">
        <f>D14+E14</f>
        <v>794831</v>
      </c>
      <c r="D14" s="8">
        <v>794831</v>
      </c>
      <c r="E14" s="10"/>
      <c r="F14" s="8">
        <f>G14+H14</f>
        <v>862391.635</v>
      </c>
      <c r="G14" s="8">
        <f>D14*1.085</f>
        <v>862391.635</v>
      </c>
      <c r="H14" s="8"/>
      <c r="I14" s="8">
        <f>J14+K14</f>
        <v>921896.6578149999</v>
      </c>
      <c r="J14" s="8">
        <f>G14*1.069</f>
        <v>921896.6578149999</v>
      </c>
      <c r="K14" s="8"/>
      <c r="L14" s="7">
        <f>M14+N14</f>
        <v>979976.1472573449</v>
      </c>
      <c r="M14" s="7">
        <f>J14*1.063</f>
        <v>979976.1472573449</v>
      </c>
      <c r="N14" s="7"/>
    </row>
    <row r="15" spans="1:14" ht="12.75" hidden="1">
      <c r="A15" s="9" t="s">
        <v>5</v>
      </c>
      <c r="B15" s="17"/>
      <c r="C15" s="14"/>
      <c r="D15" s="14"/>
      <c r="E15" s="14"/>
      <c r="F15" s="14"/>
      <c r="G15" s="14"/>
      <c r="H15" s="14"/>
      <c r="I15" s="14"/>
      <c r="J15" s="14"/>
      <c r="K15" s="14"/>
      <c r="L15" s="2"/>
      <c r="M15" s="2"/>
      <c r="N15" s="2"/>
    </row>
    <row r="16" spans="1:14" ht="12.75" hidden="1">
      <c r="A16" s="4" t="s">
        <v>6</v>
      </c>
      <c r="B16" s="18"/>
      <c r="C16" s="10">
        <v>23</v>
      </c>
      <c r="D16" s="10">
        <v>23</v>
      </c>
      <c r="E16" s="10"/>
      <c r="F16" s="10">
        <v>23</v>
      </c>
      <c r="G16" s="10">
        <v>23</v>
      </c>
      <c r="H16" s="10"/>
      <c r="I16" s="10">
        <v>23</v>
      </c>
      <c r="J16" s="10">
        <v>23</v>
      </c>
      <c r="K16" s="10"/>
      <c r="L16" s="10">
        <v>23</v>
      </c>
      <c r="M16" s="10">
        <v>23</v>
      </c>
      <c r="N16" s="10"/>
    </row>
    <row r="17" spans="1:14" ht="12.75" hidden="1">
      <c r="A17" s="9" t="s">
        <v>7</v>
      </c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2"/>
      <c r="M17" s="2"/>
      <c r="N17" s="2"/>
    </row>
    <row r="18" spans="1:14" ht="24" hidden="1">
      <c r="A18" s="4" t="s">
        <v>57</v>
      </c>
      <c r="B18" s="18"/>
      <c r="C18" s="10">
        <v>6</v>
      </c>
      <c r="D18" s="10">
        <v>6</v>
      </c>
      <c r="E18" s="10"/>
      <c r="F18" s="10">
        <v>6</v>
      </c>
      <c r="G18" s="10">
        <v>6</v>
      </c>
      <c r="H18" s="10"/>
      <c r="I18" s="10">
        <v>6</v>
      </c>
      <c r="J18" s="10">
        <v>6</v>
      </c>
      <c r="K18" s="10"/>
      <c r="L18" s="10">
        <v>6</v>
      </c>
      <c r="M18" s="10">
        <v>6</v>
      </c>
      <c r="N18" s="2"/>
    </row>
    <row r="19" spans="1:14" ht="12.75" hidden="1">
      <c r="A19" s="4" t="s">
        <v>71</v>
      </c>
      <c r="B19" s="18"/>
      <c r="C19" s="10">
        <v>25</v>
      </c>
      <c r="D19" s="10">
        <v>25</v>
      </c>
      <c r="E19" s="10"/>
      <c r="F19" s="10">
        <v>25</v>
      </c>
      <c r="G19" s="10">
        <v>25</v>
      </c>
      <c r="H19" s="10"/>
      <c r="I19" s="10">
        <v>25</v>
      </c>
      <c r="J19" s="10">
        <v>25</v>
      </c>
      <c r="K19" s="10"/>
      <c r="L19" s="10">
        <v>25</v>
      </c>
      <c r="M19" s="10">
        <v>25</v>
      </c>
      <c r="N19" s="2"/>
    </row>
    <row r="20" spans="1:14" ht="24" hidden="1">
      <c r="A20" s="4" t="s">
        <v>73</v>
      </c>
      <c r="B20" s="18"/>
      <c r="C20" s="10">
        <v>100</v>
      </c>
      <c r="D20" s="10">
        <v>100</v>
      </c>
      <c r="E20" s="10"/>
      <c r="F20" s="10">
        <v>100</v>
      </c>
      <c r="G20" s="10">
        <v>100</v>
      </c>
      <c r="H20" s="10"/>
      <c r="I20" s="10">
        <v>100</v>
      </c>
      <c r="J20" s="10">
        <v>100</v>
      </c>
      <c r="K20" s="10"/>
      <c r="L20" s="10"/>
      <c r="M20" s="10"/>
      <c r="N20" s="10"/>
    </row>
    <row r="21" spans="1:14" ht="23.25" customHeight="1" hidden="1">
      <c r="A21" s="4" t="s">
        <v>72</v>
      </c>
      <c r="B21" s="18"/>
      <c r="C21" s="10">
        <v>12</v>
      </c>
      <c r="D21" s="10">
        <v>12</v>
      </c>
      <c r="E21" s="10"/>
      <c r="F21" s="10">
        <v>12</v>
      </c>
      <c r="G21" s="10">
        <v>12</v>
      </c>
      <c r="H21" s="10"/>
      <c r="I21" s="10">
        <v>12</v>
      </c>
      <c r="J21" s="10">
        <v>12</v>
      </c>
      <c r="K21" s="10"/>
      <c r="L21" s="10">
        <v>16</v>
      </c>
      <c r="M21" s="10">
        <v>16</v>
      </c>
      <c r="N21" s="10"/>
    </row>
    <row r="22" spans="1:14" ht="24" hidden="1">
      <c r="A22" s="4" t="s">
        <v>74</v>
      </c>
      <c r="B22" s="18"/>
      <c r="C22" s="10">
        <v>300</v>
      </c>
      <c r="D22" s="10">
        <v>300</v>
      </c>
      <c r="E22" s="10"/>
      <c r="F22" s="10">
        <v>300</v>
      </c>
      <c r="G22" s="10">
        <v>300</v>
      </c>
      <c r="H22" s="10"/>
      <c r="I22" s="10">
        <v>300</v>
      </c>
      <c r="J22" s="10">
        <v>300</v>
      </c>
      <c r="K22" s="10"/>
      <c r="L22" s="10">
        <v>300</v>
      </c>
      <c r="M22" s="10">
        <v>300</v>
      </c>
      <c r="N22" s="10"/>
    </row>
    <row r="23" spans="1:14" ht="12.75" hidden="1">
      <c r="A23" s="9" t="s">
        <v>8</v>
      </c>
      <c r="B23" s="17"/>
      <c r="C23" s="10"/>
      <c r="D23" s="10"/>
      <c r="E23" s="10"/>
      <c r="F23" s="10"/>
      <c r="G23" s="10"/>
      <c r="H23" s="10"/>
      <c r="I23" s="10"/>
      <c r="J23" s="10"/>
      <c r="K23" s="10"/>
      <c r="L23" s="2"/>
      <c r="M23" s="2"/>
      <c r="N23" s="2"/>
    </row>
    <row r="24" spans="1:14" ht="31.5" customHeight="1" hidden="1">
      <c r="A24" s="4" t="s">
        <v>56</v>
      </c>
      <c r="B24" s="18"/>
      <c r="C24" s="10">
        <v>100</v>
      </c>
      <c r="D24" s="10">
        <v>100</v>
      </c>
      <c r="E24" s="10"/>
      <c r="F24" s="10">
        <v>100</v>
      </c>
      <c r="G24" s="10">
        <v>100</v>
      </c>
      <c r="H24" s="10"/>
      <c r="I24" s="10">
        <v>100</v>
      </c>
      <c r="J24" s="10">
        <v>100</v>
      </c>
      <c r="K24" s="10"/>
      <c r="L24" s="10"/>
      <c r="M24" s="10"/>
      <c r="N24" s="10"/>
    </row>
    <row r="25" spans="1:14" ht="12.75" hidden="1">
      <c r="A25" s="4" t="s">
        <v>51</v>
      </c>
      <c r="B25" s="18"/>
      <c r="C25" s="10">
        <v>5</v>
      </c>
      <c r="D25" s="10">
        <v>5</v>
      </c>
      <c r="E25" s="10"/>
      <c r="F25" s="10">
        <v>5</v>
      </c>
      <c r="G25" s="10">
        <v>5</v>
      </c>
      <c r="H25" s="10"/>
      <c r="I25" s="10">
        <v>5</v>
      </c>
      <c r="J25" s="10">
        <v>5</v>
      </c>
      <c r="K25" s="10"/>
      <c r="L25" s="10"/>
      <c r="M25" s="10"/>
      <c r="N25" s="10"/>
    </row>
    <row r="26" spans="1:14" ht="12.75" hidden="1">
      <c r="A26" s="4" t="s">
        <v>75</v>
      </c>
      <c r="B26" s="18"/>
      <c r="C26" s="14">
        <v>100</v>
      </c>
      <c r="D26" s="14">
        <v>100</v>
      </c>
      <c r="E26" s="14"/>
      <c r="F26" s="14">
        <v>100</v>
      </c>
      <c r="G26" s="14">
        <v>100</v>
      </c>
      <c r="H26" s="14"/>
      <c r="I26" s="14">
        <v>100</v>
      </c>
      <c r="J26" s="14">
        <v>100</v>
      </c>
      <c r="K26" s="14"/>
      <c r="L26" s="10"/>
      <c r="M26" s="10"/>
      <c r="N26" s="10"/>
    </row>
    <row r="27" spans="1:15" s="6" customFormat="1" ht="12.75">
      <c r="A27" s="11" t="s">
        <v>52</v>
      </c>
      <c r="B27" s="8">
        <v>100203</v>
      </c>
      <c r="C27" s="8">
        <f>D27+E27</f>
        <v>30650000</v>
      </c>
      <c r="D27" s="8">
        <f>D29+D39+D53+D67+D81+D104+D122</f>
        <v>30050000</v>
      </c>
      <c r="E27" s="8">
        <v>600000</v>
      </c>
      <c r="F27" s="8">
        <f>G27+H27</f>
        <v>33255250</v>
      </c>
      <c r="G27" s="8">
        <f>D27*1.085</f>
        <v>32604250</v>
      </c>
      <c r="H27" s="8">
        <f>H29+H53</f>
        <v>651000</v>
      </c>
      <c r="I27" s="8">
        <f>J27+K27</f>
        <v>35549863.25</v>
      </c>
      <c r="J27" s="8">
        <f>G27*1.069</f>
        <v>34853943.25</v>
      </c>
      <c r="K27" s="8">
        <v>695920</v>
      </c>
      <c r="L27" s="7" t="e">
        <f>L39+L53+#REF!+L81+L104</f>
        <v>#REF!</v>
      </c>
      <c r="M27" s="7" t="e">
        <f>M39+M53+#REF!+M81+M104</f>
        <v>#REF!</v>
      </c>
      <c r="N27" s="7" t="e">
        <f>N39+N53+#REF!+N81+N104</f>
        <v>#REF!</v>
      </c>
      <c r="O27" s="38"/>
    </row>
    <row r="28" spans="1:14" ht="36">
      <c r="A28" s="9" t="s">
        <v>132</v>
      </c>
      <c r="B28" s="39"/>
      <c r="C28" s="40"/>
      <c r="D28" s="41"/>
      <c r="E28" s="41"/>
      <c r="F28" s="40"/>
      <c r="G28" s="42"/>
      <c r="H28" s="41"/>
      <c r="I28" s="41"/>
      <c r="J28" s="43"/>
      <c r="K28" s="41"/>
      <c r="L28" s="2"/>
      <c r="M28" s="2"/>
      <c r="N28" s="2"/>
    </row>
    <row r="29" spans="1:14" ht="12.75">
      <c r="A29" s="9" t="s">
        <v>110</v>
      </c>
      <c r="B29" s="17"/>
      <c r="C29" s="8">
        <f>D29+E29</f>
        <v>5695000</v>
      </c>
      <c r="D29" s="8">
        <v>5395000</v>
      </c>
      <c r="E29" s="8">
        <v>300000</v>
      </c>
      <c r="F29" s="8">
        <f>G29+H29</f>
        <v>6179075</v>
      </c>
      <c r="G29" s="8">
        <f>D29*1.085</f>
        <v>5853575</v>
      </c>
      <c r="H29" s="8">
        <v>325500</v>
      </c>
      <c r="I29" s="8">
        <f>J29+K29</f>
        <v>6605431.175</v>
      </c>
      <c r="J29" s="8">
        <f>G29*1.069</f>
        <v>6257471.675</v>
      </c>
      <c r="K29" s="8">
        <f>H29*1.069</f>
        <v>347959.5</v>
      </c>
      <c r="L29" s="2"/>
      <c r="M29" s="2"/>
      <c r="N29" s="2"/>
    </row>
    <row r="30" spans="1:14" ht="12.75">
      <c r="A30" s="9" t="s">
        <v>9</v>
      </c>
      <c r="B30" s="17"/>
      <c r="C30" s="10"/>
      <c r="D30" s="10"/>
      <c r="E30" s="10"/>
      <c r="F30" s="10"/>
      <c r="G30" s="10"/>
      <c r="H30" s="10"/>
      <c r="I30" s="10"/>
      <c r="J30" s="10"/>
      <c r="K30" s="10"/>
      <c r="L30" s="2"/>
      <c r="M30" s="2"/>
      <c r="N30" s="2"/>
    </row>
    <row r="31" spans="1:14" ht="14.25" customHeight="1">
      <c r="A31" s="4" t="s">
        <v>11</v>
      </c>
      <c r="B31" s="17"/>
      <c r="C31" s="14">
        <f>D31+E31</f>
        <v>535.214</v>
      </c>
      <c r="D31" s="14">
        <v>531.6</v>
      </c>
      <c r="E31" s="14">
        <v>3.614</v>
      </c>
      <c r="F31" s="14">
        <f>G31+H31</f>
        <v>535.21</v>
      </c>
      <c r="G31" s="14">
        <v>531.6</v>
      </c>
      <c r="H31" s="14">
        <v>3.61</v>
      </c>
      <c r="I31" s="14">
        <f>J31+K31</f>
        <v>535.21</v>
      </c>
      <c r="J31" s="14">
        <v>531.6</v>
      </c>
      <c r="K31" s="14">
        <v>3.61</v>
      </c>
      <c r="L31" s="2"/>
      <c r="M31" s="2"/>
      <c r="N31" s="2"/>
    </row>
    <row r="32" spans="1:14" ht="12.75">
      <c r="A32" s="9" t="s">
        <v>10</v>
      </c>
      <c r="B32" s="17"/>
      <c r="C32" s="21"/>
      <c r="D32" s="21"/>
      <c r="E32" s="21"/>
      <c r="F32" s="21"/>
      <c r="G32" s="21"/>
      <c r="H32" s="21"/>
      <c r="I32" s="21"/>
      <c r="J32" s="21"/>
      <c r="K32" s="21"/>
      <c r="L32" s="2"/>
      <c r="M32" s="2"/>
      <c r="N32" s="2"/>
    </row>
    <row r="33" spans="1:14" ht="13.5">
      <c r="A33" s="4" t="s">
        <v>111</v>
      </c>
      <c r="B33" s="17"/>
      <c r="C33" s="14">
        <f>D33+E33</f>
        <v>68.6146</v>
      </c>
      <c r="D33" s="14">
        <v>65</v>
      </c>
      <c r="E33" s="14">
        <v>3.6146</v>
      </c>
      <c r="F33" s="14">
        <f>G33+H33</f>
        <v>68.6144</v>
      </c>
      <c r="G33" s="14">
        <v>65</v>
      </c>
      <c r="H33" s="14">
        <v>3.6144</v>
      </c>
      <c r="I33" s="14">
        <f>J33+K33</f>
        <v>68.6146</v>
      </c>
      <c r="J33" s="14">
        <v>65</v>
      </c>
      <c r="K33" s="14">
        <v>3.6146</v>
      </c>
      <c r="L33" s="2"/>
      <c r="M33" s="2"/>
      <c r="N33" s="2"/>
    </row>
    <row r="34" spans="1:14" ht="12.75">
      <c r="A34" s="9" t="s">
        <v>12</v>
      </c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2"/>
      <c r="M34" s="2"/>
      <c r="N34" s="2"/>
    </row>
    <row r="35" spans="1:14" ht="13.5">
      <c r="A35" s="4" t="s">
        <v>23</v>
      </c>
      <c r="B35" s="17"/>
      <c r="C35" s="14">
        <f>D35</f>
        <v>83.00010205691065</v>
      </c>
      <c r="D35" s="14">
        <f>8946000/107783</f>
        <v>83.00010205691065</v>
      </c>
      <c r="E35" s="14">
        <f aca="true" t="shared" si="0" ref="E35:K35">E29/E33/1000</f>
        <v>82.99673546173851</v>
      </c>
      <c r="F35" s="14">
        <f t="shared" si="0"/>
        <v>90.05507590243447</v>
      </c>
      <c r="G35" s="14">
        <f t="shared" si="0"/>
        <v>90.055</v>
      </c>
      <c r="H35" s="14">
        <f t="shared" si="0"/>
        <v>90.05644090305445</v>
      </c>
      <c r="I35" s="14">
        <f t="shared" si="0"/>
        <v>96.26859553214622</v>
      </c>
      <c r="J35" s="14">
        <f t="shared" si="0"/>
        <v>96.268795</v>
      </c>
      <c r="K35" s="14">
        <f t="shared" si="0"/>
        <v>96.26500857632934</v>
      </c>
      <c r="L35" s="2"/>
      <c r="M35" s="2"/>
      <c r="N35" s="2"/>
    </row>
    <row r="36" spans="1:14" ht="12.75">
      <c r="A36" s="9" t="s">
        <v>13</v>
      </c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2"/>
      <c r="M36" s="2"/>
      <c r="N36" s="2"/>
    </row>
    <row r="37" spans="1:14" ht="12.75">
      <c r="A37" s="4" t="s">
        <v>63</v>
      </c>
      <c r="B37" s="17"/>
      <c r="C37" s="31">
        <f>C33/C31*100</f>
        <v>12.820030866158207</v>
      </c>
      <c r="D37" s="31">
        <f>D33/D31*100</f>
        <v>12.227238525206923</v>
      </c>
      <c r="E37" s="19">
        <f aca="true" t="shared" si="1" ref="E37:K37">E33/E31*100</f>
        <v>100.01660210293304</v>
      </c>
      <c r="F37" s="31">
        <f>F33/F31*100</f>
        <v>12.820089310737842</v>
      </c>
      <c r="G37" s="31">
        <f t="shared" si="1"/>
        <v>12.227238525206923</v>
      </c>
      <c r="H37" s="19">
        <f t="shared" si="1"/>
        <v>100.1218836565097</v>
      </c>
      <c r="I37" s="31">
        <f>I33/I31*100</f>
        <v>12.820126679247396</v>
      </c>
      <c r="J37" s="31">
        <f t="shared" si="1"/>
        <v>12.227238525206923</v>
      </c>
      <c r="K37" s="19">
        <f t="shared" si="1"/>
        <v>100.12742382271469</v>
      </c>
      <c r="L37" s="2"/>
      <c r="M37" s="2"/>
      <c r="N37" s="2"/>
    </row>
    <row r="38" spans="1:14" ht="12.75">
      <c r="A38" s="9"/>
      <c r="B38" s="17"/>
      <c r="C38" s="10"/>
      <c r="D38" s="10"/>
      <c r="E38" s="10"/>
      <c r="F38" s="10"/>
      <c r="G38" s="10"/>
      <c r="H38" s="10"/>
      <c r="I38" s="10"/>
      <c r="J38" s="10"/>
      <c r="K38" s="10"/>
      <c r="L38" s="2"/>
      <c r="M38" s="2"/>
      <c r="N38" s="2"/>
    </row>
    <row r="39" spans="1:14" s="6" customFormat="1" ht="26.25" customHeight="1">
      <c r="A39" s="9" t="s">
        <v>129</v>
      </c>
      <c r="B39" s="17"/>
      <c r="C39" s="8">
        <f>D39+E39</f>
        <v>9160000</v>
      </c>
      <c r="D39" s="8">
        <v>9160000</v>
      </c>
      <c r="E39" s="8"/>
      <c r="F39" s="8">
        <f>G39+H39</f>
        <v>9938600</v>
      </c>
      <c r="G39" s="8">
        <f>D39*1.085</f>
        <v>9938600</v>
      </c>
      <c r="H39" s="8"/>
      <c r="I39" s="8">
        <f>J39+K39</f>
        <v>10624363.4</v>
      </c>
      <c r="J39" s="8">
        <f>G39*1.069</f>
        <v>10624363.4</v>
      </c>
      <c r="K39" s="8"/>
      <c r="L39" s="7">
        <f>M39+N39</f>
        <v>11293698.2942</v>
      </c>
      <c r="M39" s="7">
        <f>J39*1.063</f>
        <v>11293698.2942</v>
      </c>
      <c r="N39" s="7">
        <f>K39*1.063</f>
        <v>0</v>
      </c>
    </row>
    <row r="40" spans="1:14" ht="12.75">
      <c r="A40" s="9" t="s">
        <v>9</v>
      </c>
      <c r="B40" s="17"/>
      <c r="C40" s="14"/>
      <c r="D40" s="14"/>
      <c r="E40" s="14"/>
      <c r="F40" s="14"/>
      <c r="G40" s="14"/>
      <c r="H40" s="14"/>
      <c r="I40" s="14"/>
      <c r="J40" s="14"/>
      <c r="K40" s="14"/>
      <c r="L40" s="2"/>
      <c r="M40" s="2"/>
      <c r="N40" s="2"/>
    </row>
    <row r="41" spans="1:14" ht="12.75" customHeight="1">
      <c r="A41" s="4" t="s">
        <v>30</v>
      </c>
      <c r="B41" s="18"/>
      <c r="C41" s="14">
        <v>7460.5</v>
      </c>
      <c r="D41" s="14">
        <v>7460.5</v>
      </c>
      <c r="E41" s="14"/>
      <c r="F41" s="14">
        <v>7460.5</v>
      </c>
      <c r="G41" s="14">
        <v>7460.5</v>
      </c>
      <c r="H41" s="14"/>
      <c r="I41" s="14">
        <v>7460.5</v>
      </c>
      <c r="J41" s="14">
        <v>7460.5</v>
      </c>
      <c r="K41" s="14"/>
      <c r="L41" s="2">
        <f>M41+N41</f>
        <v>4029575</v>
      </c>
      <c r="M41" s="2">
        <f>2127671+1901904</f>
        <v>4029575</v>
      </c>
      <c r="N41" s="2"/>
    </row>
    <row r="42" spans="1:14" ht="12.75">
      <c r="A42" s="4" t="s">
        <v>130</v>
      </c>
      <c r="B42" s="18"/>
      <c r="C42" s="10">
        <f>D42</f>
        <v>158740</v>
      </c>
      <c r="D42" s="10">
        <v>158740</v>
      </c>
      <c r="E42" s="10"/>
      <c r="F42" s="10">
        <f>G42</f>
        <v>158740</v>
      </c>
      <c r="G42" s="10">
        <v>158740</v>
      </c>
      <c r="H42" s="10"/>
      <c r="I42" s="10">
        <f>J42</f>
        <v>158740</v>
      </c>
      <c r="J42" s="10">
        <v>158740</v>
      </c>
      <c r="K42" s="10"/>
      <c r="L42" s="2">
        <f>M42</f>
        <v>124201</v>
      </c>
      <c r="M42" s="2">
        <v>124201</v>
      </c>
      <c r="N42" s="2"/>
    </row>
    <row r="43" spans="1:14" s="6" customFormat="1" ht="12.75">
      <c r="A43" s="9" t="s">
        <v>10</v>
      </c>
      <c r="B43" s="17"/>
      <c r="C43" s="21"/>
      <c r="D43" s="21"/>
      <c r="E43" s="21"/>
      <c r="F43" s="21"/>
      <c r="G43" s="21"/>
      <c r="H43" s="21"/>
      <c r="I43" s="21"/>
      <c r="J43" s="21"/>
      <c r="K43" s="21"/>
      <c r="L43" s="7"/>
      <c r="M43" s="7"/>
      <c r="N43" s="7"/>
    </row>
    <row r="44" spans="1:14" ht="12" customHeight="1">
      <c r="A44" s="4" t="s">
        <v>31</v>
      </c>
      <c r="B44" s="18"/>
      <c r="C44" s="14">
        <f>D44+E44</f>
        <v>4184.315</v>
      </c>
      <c r="D44" s="14">
        <v>4184.315</v>
      </c>
      <c r="E44" s="22"/>
      <c r="F44" s="14">
        <f>G44+H44</f>
        <v>4184.315</v>
      </c>
      <c r="G44" s="14">
        <v>4184.315</v>
      </c>
      <c r="H44" s="22"/>
      <c r="I44" s="14">
        <f>J44+K44</f>
        <v>4184.315</v>
      </c>
      <c r="J44" s="14">
        <v>4184.315</v>
      </c>
      <c r="K44" s="22"/>
      <c r="L44" s="2"/>
      <c r="M44" s="2"/>
      <c r="N44" s="2"/>
    </row>
    <row r="45" spans="1:14" ht="12" customHeight="1">
      <c r="A45" s="4" t="s">
        <v>112</v>
      </c>
      <c r="B45" s="18"/>
      <c r="C45" s="10">
        <f>D45</f>
        <v>158740</v>
      </c>
      <c r="D45" s="10">
        <v>158740</v>
      </c>
      <c r="E45" s="29"/>
      <c r="F45" s="10">
        <f>G45</f>
        <v>158740</v>
      </c>
      <c r="G45" s="10">
        <v>158740</v>
      </c>
      <c r="H45" s="29"/>
      <c r="I45" s="10">
        <f>J45</f>
        <v>158740</v>
      </c>
      <c r="J45" s="10">
        <v>158740</v>
      </c>
      <c r="K45" s="29"/>
      <c r="L45" s="2"/>
      <c r="M45" s="2"/>
      <c r="N45" s="2"/>
    </row>
    <row r="46" spans="1:14" ht="12.75">
      <c r="A46" s="9" t="s">
        <v>12</v>
      </c>
      <c r="B46" s="17"/>
      <c r="C46" s="14"/>
      <c r="D46" s="14"/>
      <c r="E46" s="22"/>
      <c r="F46" s="14"/>
      <c r="G46" s="14"/>
      <c r="H46" s="14"/>
      <c r="I46" s="14"/>
      <c r="J46" s="14"/>
      <c r="K46" s="14"/>
      <c r="L46" s="2"/>
      <c r="M46" s="2"/>
      <c r="N46" s="2"/>
    </row>
    <row r="47" spans="1:14" ht="13.5">
      <c r="A47" s="4" t="s">
        <v>24</v>
      </c>
      <c r="B47" s="37"/>
      <c r="C47" s="14">
        <f>D47</f>
        <v>2.07</v>
      </c>
      <c r="D47" s="14">
        <v>2.07</v>
      </c>
      <c r="E47" s="22"/>
      <c r="F47" s="14">
        <f>D47*1.085</f>
        <v>2.2459499999999997</v>
      </c>
      <c r="G47" s="14">
        <f>D47*1.085</f>
        <v>2.2459499999999997</v>
      </c>
      <c r="H47" s="14"/>
      <c r="I47" s="14">
        <f>J47</f>
        <v>2.4009205499999995</v>
      </c>
      <c r="J47" s="14">
        <f>G47*1.069</f>
        <v>2.4009205499999995</v>
      </c>
      <c r="K47" s="14"/>
      <c r="L47" s="2">
        <f>M47</f>
        <v>2.5521785446499994</v>
      </c>
      <c r="M47" s="2">
        <f>J47*1.063</f>
        <v>2.5521785446499994</v>
      </c>
      <c r="N47" s="2"/>
    </row>
    <row r="48" spans="1:14" ht="12.75">
      <c r="A48" s="4" t="s">
        <v>131</v>
      </c>
      <c r="B48" s="37"/>
      <c r="C48" s="14">
        <f>D48</f>
        <v>57.64985806979968</v>
      </c>
      <c r="D48" s="14">
        <f>9151338.47/D45</f>
        <v>57.64985806979968</v>
      </c>
      <c r="E48" s="22"/>
      <c r="F48" s="14">
        <f>D48*1.085</f>
        <v>62.55009600573265</v>
      </c>
      <c r="G48" s="14">
        <f>D48*1.085</f>
        <v>62.55009600573265</v>
      </c>
      <c r="H48" s="22"/>
      <c r="I48" s="14">
        <f>J48</f>
        <v>66.8660526301282</v>
      </c>
      <c r="J48" s="14">
        <f>G48*1.069</f>
        <v>66.8660526301282</v>
      </c>
      <c r="K48" s="22"/>
      <c r="L48" s="2">
        <f>M48</f>
        <v>71.07861394582626</v>
      </c>
      <c r="M48" s="2">
        <f>J48*1.063</f>
        <v>71.07861394582626</v>
      </c>
      <c r="N48" s="2"/>
    </row>
    <row r="49" spans="1:14" ht="12.75">
      <c r="A49" s="9" t="s">
        <v>13</v>
      </c>
      <c r="B49" s="36"/>
      <c r="C49" s="14"/>
      <c r="D49" s="14"/>
      <c r="E49" s="14"/>
      <c r="F49" s="14"/>
      <c r="G49" s="14"/>
      <c r="H49" s="14"/>
      <c r="I49" s="14"/>
      <c r="J49" s="14"/>
      <c r="K49" s="14"/>
      <c r="L49" s="2"/>
      <c r="M49" s="2"/>
      <c r="N49" s="2"/>
    </row>
    <row r="50" spans="1:14" ht="15.75" customHeight="1">
      <c r="A50" s="4" t="s">
        <v>66</v>
      </c>
      <c r="B50" s="35"/>
      <c r="C50" s="31">
        <f>D50</f>
        <v>56.08625427250183</v>
      </c>
      <c r="D50" s="31">
        <f>D44/D41*100</f>
        <v>56.08625427250183</v>
      </c>
      <c r="E50" s="19"/>
      <c r="F50" s="31">
        <f>F44/F41*100</f>
        <v>56.08625427250183</v>
      </c>
      <c r="G50" s="31">
        <f>G44/G41*100</f>
        <v>56.08625427250183</v>
      </c>
      <c r="H50" s="19"/>
      <c r="I50" s="31">
        <f>I44/I41*100</f>
        <v>56.08625427250183</v>
      </c>
      <c r="J50" s="31">
        <f>J44/J41*100</f>
        <v>56.08625427250183</v>
      </c>
      <c r="K50" s="19"/>
      <c r="L50" s="2"/>
      <c r="M50" s="2"/>
      <c r="N50" s="2"/>
    </row>
    <row r="51" spans="1:14" ht="12.75">
      <c r="A51" s="4" t="s">
        <v>115</v>
      </c>
      <c r="B51" s="35"/>
      <c r="C51" s="19">
        <f>1*100</f>
        <v>100</v>
      </c>
      <c r="D51" s="19">
        <f>1*100</f>
        <v>100</v>
      </c>
      <c r="E51" s="19"/>
      <c r="F51" s="19">
        <f>1*100</f>
        <v>100</v>
      </c>
      <c r="G51" s="19">
        <f>1*100</f>
        <v>100</v>
      </c>
      <c r="H51" s="19"/>
      <c r="I51" s="19">
        <f>1*100</f>
        <v>100</v>
      </c>
      <c r="J51" s="19">
        <f>1*100</f>
        <v>100</v>
      </c>
      <c r="K51" s="19"/>
      <c r="L51" s="2"/>
      <c r="M51" s="2"/>
      <c r="N51" s="2"/>
    </row>
    <row r="52" spans="1:14" ht="12.75">
      <c r="A52" s="4"/>
      <c r="B52" s="35"/>
      <c r="C52" s="14"/>
      <c r="D52" s="14"/>
      <c r="E52" s="14"/>
      <c r="F52" s="14"/>
      <c r="G52" s="14"/>
      <c r="H52" s="14"/>
      <c r="I52" s="14"/>
      <c r="J52" s="14"/>
      <c r="K52" s="14"/>
      <c r="L52" s="2"/>
      <c r="M52" s="2"/>
      <c r="N52" s="2"/>
    </row>
    <row r="53" spans="1:14" s="6" customFormat="1" ht="12.75">
      <c r="A53" s="9" t="s">
        <v>84</v>
      </c>
      <c r="B53" s="17"/>
      <c r="C53" s="8">
        <f>D53+E53</f>
        <v>6590000</v>
      </c>
      <c r="D53" s="8">
        <f>6190000+100000</f>
        <v>6290000</v>
      </c>
      <c r="E53" s="8">
        <v>300000</v>
      </c>
      <c r="F53" s="8">
        <f>G53+H53</f>
        <v>7150150</v>
      </c>
      <c r="G53" s="8">
        <f>D53*1.085</f>
        <v>6824650</v>
      </c>
      <c r="H53" s="8">
        <f>E53*1.085</f>
        <v>325500</v>
      </c>
      <c r="I53" s="8">
        <v>7643511</v>
      </c>
      <c r="J53" s="8">
        <f>G53*1.069</f>
        <v>7295550.85</v>
      </c>
      <c r="K53" s="8">
        <f>H53*1.069</f>
        <v>347959.5</v>
      </c>
      <c r="L53" s="7">
        <f>M53+N53</f>
        <v>8125051.502049999</v>
      </c>
      <c r="M53" s="7">
        <f>J53*1.063</f>
        <v>7755170.553549999</v>
      </c>
      <c r="N53" s="7">
        <f>K53*1.063</f>
        <v>369880.9485</v>
      </c>
    </row>
    <row r="54" spans="1:14" ht="12.75">
      <c r="A54" s="9" t="s">
        <v>9</v>
      </c>
      <c r="B54" s="17"/>
      <c r="C54" s="14"/>
      <c r="D54" s="14"/>
      <c r="E54" s="14"/>
      <c r="F54" s="14"/>
      <c r="G54" s="14"/>
      <c r="H54" s="14"/>
      <c r="I54" s="14"/>
      <c r="J54" s="14"/>
      <c r="K54" s="14"/>
      <c r="L54" s="2"/>
      <c r="M54" s="2"/>
      <c r="N54" s="2"/>
    </row>
    <row r="55" spans="1:14" ht="24">
      <c r="A55" s="4" t="s">
        <v>109</v>
      </c>
      <c r="B55" s="18"/>
      <c r="C55" s="14">
        <f>D55+E55</f>
        <v>390</v>
      </c>
      <c r="D55" s="14">
        <v>371.97</v>
      </c>
      <c r="E55" s="14">
        <v>18.03</v>
      </c>
      <c r="F55" s="14">
        <f>G55+H55</f>
        <v>390</v>
      </c>
      <c r="G55" s="14">
        <v>371.97</v>
      </c>
      <c r="H55" s="14">
        <v>18.03</v>
      </c>
      <c r="I55" s="14">
        <f>J55+K55</f>
        <v>390</v>
      </c>
      <c r="J55" s="14">
        <v>371.97</v>
      </c>
      <c r="K55" s="14">
        <v>18.03</v>
      </c>
      <c r="L55" s="2">
        <f>M55+N55</f>
        <v>3950000</v>
      </c>
      <c r="M55" s="2">
        <f>3950000-N55</f>
        <v>3780000</v>
      </c>
      <c r="N55" s="2">
        <v>170000</v>
      </c>
    </row>
    <row r="56" spans="1:15" ht="12.75">
      <c r="A56" s="4" t="s">
        <v>36</v>
      </c>
      <c r="B56" s="18"/>
      <c r="C56" s="10">
        <f>D56</f>
        <v>15100</v>
      </c>
      <c r="D56" s="10">
        <f>6900+6000+2200</f>
        <v>15100</v>
      </c>
      <c r="E56" s="10"/>
      <c r="F56" s="10">
        <f>G56</f>
        <v>15100</v>
      </c>
      <c r="G56" s="10">
        <f>6900+6000+2200</f>
        <v>15100</v>
      </c>
      <c r="H56" s="10"/>
      <c r="I56" s="10">
        <f>J56</f>
        <v>15100</v>
      </c>
      <c r="J56" s="10">
        <f>6900+6000+2200</f>
        <v>15100</v>
      </c>
      <c r="K56" s="10"/>
      <c r="L56" s="2">
        <f>M56</f>
        <v>12900</v>
      </c>
      <c r="M56" s="2">
        <f>6900+6000</f>
        <v>12900</v>
      </c>
      <c r="N56" s="2"/>
      <c r="O56" s="32"/>
    </row>
    <row r="57" spans="1:14" ht="12.75">
      <c r="A57" s="9" t="s">
        <v>10</v>
      </c>
      <c r="B57" s="17"/>
      <c r="C57" s="14"/>
      <c r="D57" s="14"/>
      <c r="E57" s="14"/>
      <c r="F57" s="14"/>
      <c r="G57" s="14"/>
      <c r="H57" s="14"/>
      <c r="I57" s="14"/>
      <c r="J57" s="14"/>
      <c r="K57" s="14"/>
      <c r="L57" s="2"/>
      <c r="M57" s="2"/>
      <c r="N57" s="2"/>
    </row>
    <row r="58" spans="1:14" ht="12.75" customHeight="1">
      <c r="A58" s="4" t="s">
        <v>78</v>
      </c>
      <c r="B58" s="27"/>
      <c r="C58" s="14">
        <f>D58+E58</f>
        <v>390</v>
      </c>
      <c r="D58" s="14">
        <v>371.97</v>
      </c>
      <c r="E58" s="14">
        <v>18.03</v>
      </c>
      <c r="F58" s="14">
        <f>G58+H58</f>
        <v>390</v>
      </c>
      <c r="G58" s="14">
        <v>371.97</v>
      </c>
      <c r="H58" s="14">
        <v>18.03</v>
      </c>
      <c r="I58" s="14">
        <f>J58+K58</f>
        <v>390</v>
      </c>
      <c r="J58" s="14">
        <v>371.97</v>
      </c>
      <c r="K58" s="14">
        <v>18.03</v>
      </c>
      <c r="L58" s="2"/>
      <c r="M58" s="2"/>
      <c r="N58" s="2"/>
    </row>
    <row r="59" spans="1:14" ht="12.75">
      <c r="A59" s="4" t="s">
        <v>37</v>
      </c>
      <c r="B59" s="18"/>
      <c r="C59" s="10">
        <f>D59</f>
        <v>976.94</v>
      </c>
      <c r="D59" s="10">
        <v>976.94</v>
      </c>
      <c r="E59" s="14"/>
      <c r="F59" s="10">
        <f>G59</f>
        <v>976.94</v>
      </c>
      <c r="G59" s="10">
        <v>976.94</v>
      </c>
      <c r="H59" s="14"/>
      <c r="I59" s="10">
        <f>J59</f>
        <v>976.94</v>
      </c>
      <c r="J59" s="10">
        <v>976.94</v>
      </c>
      <c r="K59" s="14"/>
      <c r="L59" s="2"/>
      <c r="M59" s="2"/>
      <c r="N59" s="2"/>
    </row>
    <row r="60" spans="1:14" ht="12.75">
      <c r="A60" s="9" t="s">
        <v>12</v>
      </c>
      <c r="B60" s="17"/>
      <c r="C60" s="22"/>
      <c r="D60" s="22"/>
      <c r="E60" s="14"/>
      <c r="F60" s="22"/>
      <c r="G60" s="22"/>
      <c r="H60" s="14"/>
      <c r="I60" s="22"/>
      <c r="J60" s="22"/>
      <c r="K60" s="14"/>
      <c r="L60" s="2"/>
      <c r="M60" s="2"/>
      <c r="N60" s="2"/>
    </row>
    <row r="61" spans="1:14" ht="12.75">
      <c r="A61" s="4" t="s">
        <v>79</v>
      </c>
      <c r="B61" s="18"/>
      <c r="C61" s="14">
        <f>6490000/C58</f>
        <v>16641.02564102564</v>
      </c>
      <c r="D61" s="14">
        <f>6190000/D58</f>
        <v>16641.126972605318</v>
      </c>
      <c r="E61" s="14">
        <f>E53/E58</f>
        <v>16638.935108153077</v>
      </c>
      <c r="F61" s="14">
        <v>18054.49</v>
      </c>
      <c r="G61" s="14">
        <v>18054.55</v>
      </c>
      <c r="H61" s="14">
        <f>H53/H58</f>
        <v>18053.244592346087</v>
      </c>
      <c r="I61" s="14">
        <v>19300.25</v>
      </c>
      <c r="J61" s="14">
        <f>G61*1.069</f>
        <v>19300.31395</v>
      </c>
      <c r="K61" s="14">
        <f>K53/K58</f>
        <v>19298.91846921797</v>
      </c>
      <c r="L61" s="2">
        <f>M61</f>
        <v>20632.03561255</v>
      </c>
      <c r="M61" s="2">
        <f>J61*1.069</f>
        <v>20632.03561255</v>
      </c>
      <c r="N61" s="2">
        <f>K61*1.069</f>
        <v>20630.54384359401</v>
      </c>
    </row>
    <row r="62" spans="1:14" ht="12.75">
      <c r="A62" s="4" t="s">
        <v>89</v>
      </c>
      <c r="B62" s="18"/>
      <c r="C62" s="14">
        <f>D62</f>
        <v>102.36</v>
      </c>
      <c r="D62" s="14">
        <v>102.36</v>
      </c>
      <c r="E62" s="22"/>
      <c r="F62" s="14">
        <f>G62</f>
        <v>111.47004</v>
      </c>
      <c r="G62" s="14">
        <f>D62*1.089</f>
        <v>111.47004</v>
      </c>
      <c r="H62" s="22"/>
      <c r="I62" s="14">
        <f>J62</f>
        <v>119.16147276</v>
      </c>
      <c r="J62" s="14">
        <f>G62*1.069</f>
        <v>119.16147276</v>
      </c>
      <c r="K62" s="22"/>
      <c r="L62" s="2">
        <f>M62</f>
        <v>127.38361438044</v>
      </c>
      <c r="M62" s="2">
        <f>J62*1.069</f>
        <v>127.38361438044</v>
      </c>
      <c r="N62" s="2"/>
    </row>
    <row r="63" spans="1:14" ht="12.75">
      <c r="A63" s="9" t="s">
        <v>13</v>
      </c>
      <c r="B63" s="17"/>
      <c r="C63" s="14"/>
      <c r="D63" s="14"/>
      <c r="E63" s="22"/>
      <c r="F63" s="14"/>
      <c r="G63" s="22"/>
      <c r="H63" s="22"/>
      <c r="I63" s="14"/>
      <c r="J63" s="14"/>
      <c r="K63" s="22"/>
      <c r="L63" s="2"/>
      <c r="M63" s="2"/>
      <c r="N63" s="2"/>
    </row>
    <row r="64" spans="1:14" ht="12.75">
      <c r="A64" s="4" t="s">
        <v>64</v>
      </c>
      <c r="B64" s="18"/>
      <c r="C64" s="19">
        <f aca="true" t="shared" si="2" ref="C64:K64">C58/C55*100</f>
        <v>100</v>
      </c>
      <c r="D64" s="19">
        <f t="shared" si="2"/>
        <v>100</v>
      </c>
      <c r="E64" s="19">
        <f t="shared" si="2"/>
        <v>100</v>
      </c>
      <c r="F64" s="19">
        <f t="shared" si="2"/>
        <v>100</v>
      </c>
      <c r="G64" s="19">
        <f t="shared" si="2"/>
        <v>100</v>
      </c>
      <c r="H64" s="19">
        <f t="shared" si="2"/>
        <v>100</v>
      </c>
      <c r="I64" s="19">
        <f t="shared" si="2"/>
        <v>100</v>
      </c>
      <c r="J64" s="19">
        <f t="shared" si="2"/>
        <v>100</v>
      </c>
      <c r="K64" s="19">
        <f t="shared" si="2"/>
        <v>100</v>
      </c>
      <c r="L64" s="2"/>
      <c r="M64" s="2"/>
      <c r="N64" s="2"/>
    </row>
    <row r="65" spans="1:14" ht="12.75">
      <c r="A65" s="4" t="s">
        <v>90</v>
      </c>
      <c r="B65" s="18"/>
      <c r="C65" s="31">
        <f>C59/C56*100</f>
        <v>6.469801324503312</v>
      </c>
      <c r="D65" s="31">
        <f>D59/D56*100</f>
        <v>6.469801324503312</v>
      </c>
      <c r="E65" s="31"/>
      <c r="F65" s="31">
        <f>F59/F56*100</f>
        <v>6.469801324503312</v>
      </c>
      <c r="G65" s="31">
        <f>G59/G56*100</f>
        <v>6.469801324503312</v>
      </c>
      <c r="H65" s="31"/>
      <c r="I65" s="31">
        <f>I59/I56*100</f>
        <v>6.469801324503312</v>
      </c>
      <c r="J65" s="31">
        <f>J59/J56*100</f>
        <v>6.469801324503312</v>
      </c>
      <c r="K65" s="31"/>
      <c r="L65" s="2"/>
      <c r="M65" s="2"/>
      <c r="N65" s="2"/>
    </row>
    <row r="66" spans="1:14" ht="12.75">
      <c r="A66" s="4"/>
      <c r="B66" s="17"/>
      <c r="C66" s="14"/>
      <c r="D66" s="14"/>
      <c r="E66" s="14"/>
      <c r="F66" s="14"/>
      <c r="G66" s="14"/>
      <c r="H66" s="14"/>
      <c r="I66" s="14"/>
      <c r="J66" s="14"/>
      <c r="K66" s="22"/>
      <c r="L66" s="7"/>
      <c r="M66" s="7"/>
      <c r="N66" s="7"/>
    </row>
    <row r="67" spans="1:14" ht="24">
      <c r="A67" s="11" t="s">
        <v>85</v>
      </c>
      <c r="B67" s="17"/>
      <c r="C67" s="8">
        <f>D67</f>
        <v>6000000</v>
      </c>
      <c r="D67" s="8">
        <f>2500000+3500000</f>
        <v>6000000</v>
      </c>
      <c r="E67" s="29"/>
      <c r="F67" s="8">
        <f>G67+H67</f>
        <v>6510000</v>
      </c>
      <c r="G67" s="8">
        <f>D67*1.085</f>
        <v>6510000</v>
      </c>
      <c r="H67" s="33"/>
      <c r="I67" s="8">
        <f>J67+K67</f>
        <v>6959190</v>
      </c>
      <c r="J67" s="8">
        <f>G67*1.069</f>
        <v>6959190</v>
      </c>
      <c r="K67" s="33"/>
      <c r="L67" s="7"/>
      <c r="M67" s="7"/>
      <c r="N67" s="7"/>
    </row>
    <row r="68" spans="1:14" ht="12.75">
      <c r="A68" s="9" t="s">
        <v>9</v>
      </c>
      <c r="B68" s="17"/>
      <c r="C68" s="14"/>
      <c r="D68" s="14"/>
      <c r="E68" s="22"/>
      <c r="F68" s="14"/>
      <c r="G68" s="14"/>
      <c r="H68" s="22"/>
      <c r="I68" s="14"/>
      <c r="J68" s="14"/>
      <c r="K68" s="22"/>
      <c r="L68" s="2"/>
      <c r="M68" s="2"/>
      <c r="N68" s="2"/>
    </row>
    <row r="69" spans="1:14" ht="12.75">
      <c r="A69" s="4" t="s">
        <v>33</v>
      </c>
      <c r="B69" s="18"/>
      <c r="C69" s="10">
        <v>39289</v>
      </c>
      <c r="D69" s="10">
        <f>C69</f>
        <v>39289</v>
      </c>
      <c r="E69" s="22"/>
      <c r="F69" s="10">
        <v>39289</v>
      </c>
      <c r="G69" s="10">
        <f>F69</f>
        <v>39289</v>
      </c>
      <c r="H69" s="22"/>
      <c r="I69" s="10">
        <v>39289</v>
      </c>
      <c r="J69" s="10">
        <f>I69</f>
        <v>39289</v>
      </c>
      <c r="K69" s="22"/>
      <c r="L69" s="2">
        <f>M69</f>
        <v>39736</v>
      </c>
      <c r="M69" s="2">
        <v>39736</v>
      </c>
      <c r="N69" s="2"/>
    </row>
    <row r="70" spans="1:14" ht="12.75">
      <c r="A70" s="4" t="s">
        <v>14</v>
      </c>
      <c r="B70" s="18"/>
      <c r="C70" s="10">
        <f>D70</f>
        <v>16023</v>
      </c>
      <c r="D70" s="10">
        <v>16023</v>
      </c>
      <c r="E70" s="22"/>
      <c r="F70" s="10">
        <f>G70</f>
        <v>16023</v>
      </c>
      <c r="G70" s="10">
        <v>16023</v>
      </c>
      <c r="H70" s="22"/>
      <c r="I70" s="10">
        <f>J70</f>
        <v>16023</v>
      </c>
      <c r="J70" s="10">
        <v>16023</v>
      </c>
      <c r="K70" s="22"/>
      <c r="L70" s="2">
        <f>M70</f>
        <v>16023</v>
      </c>
      <c r="M70" s="2">
        <v>16023</v>
      </c>
      <c r="N70" s="2"/>
    </row>
    <row r="71" spans="1:14" ht="12.75">
      <c r="A71" s="9" t="s">
        <v>10</v>
      </c>
      <c r="B71" s="17"/>
      <c r="C71" s="14"/>
      <c r="D71" s="14"/>
      <c r="E71" s="22"/>
      <c r="F71" s="10"/>
      <c r="G71" s="10"/>
      <c r="H71" s="22"/>
      <c r="I71" s="10"/>
      <c r="J71" s="10"/>
      <c r="K71" s="22"/>
      <c r="L71" s="2"/>
      <c r="M71" s="2"/>
      <c r="N71" s="2"/>
    </row>
    <row r="72" spans="1:14" ht="12.75">
      <c r="A72" s="4" t="s">
        <v>32</v>
      </c>
      <c r="B72" s="18"/>
      <c r="C72" s="10">
        <f>D72</f>
        <v>31977</v>
      </c>
      <c r="D72" s="10">
        <v>31977</v>
      </c>
      <c r="E72" s="22"/>
      <c r="F72" s="10">
        <f>G72</f>
        <v>31977</v>
      </c>
      <c r="G72" s="10">
        <v>31977</v>
      </c>
      <c r="H72" s="22"/>
      <c r="I72" s="10">
        <f>J72</f>
        <v>31977</v>
      </c>
      <c r="J72" s="10">
        <v>31977</v>
      </c>
      <c r="K72" s="22"/>
      <c r="L72" s="2"/>
      <c r="M72" s="2"/>
      <c r="N72" s="2"/>
    </row>
    <row r="73" spans="1:14" ht="12.75">
      <c r="A73" s="4" t="s">
        <v>14</v>
      </c>
      <c r="B73" s="18"/>
      <c r="C73" s="10">
        <f>D73</f>
        <v>16023</v>
      </c>
      <c r="D73" s="10">
        <v>16023</v>
      </c>
      <c r="E73" s="22"/>
      <c r="F73" s="10">
        <f>G73</f>
        <v>16023</v>
      </c>
      <c r="G73" s="10">
        <v>16023</v>
      </c>
      <c r="H73" s="22"/>
      <c r="I73" s="10">
        <f>J73</f>
        <v>16023</v>
      </c>
      <c r="J73" s="10">
        <v>16023</v>
      </c>
      <c r="K73" s="22"/>
      <c r="L73" s="2"/>
      <c r="M73" s="2"/>
      <c r="N73" s="2"/>
    </row>
    <row r="74" spans="1:14" ht="12.75">
      <c r="A74" s="9" t="s">
        <v>12</v>
      </c>
      <c r="B74" s="17"/>
      <c r="C74" s="14"/>
      <c r="D74" s="14"/>
      <c r="E74" s="22"/>
      <c r="F74" s="14"/>
      <c r="G74" s="14"/>
      <c r="H74" s="22"/>
      <c r="I74" s="14"/>
      <c r="J74" s="14"/>
      <c r="K74" s="22"/>
      <c r="L74" s="2"/>
      <c r="M74" s="2"/>
      <c r="N74" s="2"/>
    </row>
    <row r="75" spans="1:14" ht="12" customHeight="1">
      <c r="A75" s="4" t="s">
        <v>34</v>
      </c>
      <c r="B75" s="18"/>
      <c r="C75" s="14">
        <f>D75</f>
        <v>187.55</v>
      </c>
      <c r="D75" s="14">
        <v>187.55</v>
      </c>
      <c r="E75" s="22"/>
      <c r="F75" s="14">
        <f>G75</f>
        <v>203.5</v>
      </c>
      <c r="G75" s="14">
        <v>203.5</v>
      </c>
      <c r="H75" s="22"/>
      <c r="I75" s="14">
        <f>J75</f>
        <v>217.54</v>
      </c>
      <c r="J75" s="14">
        <v>217.54</v>
      </c>
      <c r="K75" s="22"/>
      <c r="L75" s="2">
        <f>M75</f>
        <v>231.24501999999998</v>
      </c>
      <c r="M75" s="2">
        <f>J75*1.063</f>
        <v>231.24501999999998</v>
      </c>
      <c r="N75" s="2"/>
    </row>
    <row r="76" spans="1:14" ht="12.75">
      <c r="A76" s="4" t="s">
        <v>25</v>
      </c>
      <c r="B76" s="18"/>
      <c r="C76" s="14">
        <f>D76</f>
        <v>0.1616488</v>
      </c>
      <c r="D76" s="14">
        <v>0.1616488</v>
      </c>
      <c r="E76" s="22"/>
      <c r="F76" s="14">
        <f>G76</f>
        <v>0.17</v>
      </c>
      <c r="G76" s="14">
        <v>0.17</v>
      </c>
      <c r="H76" s="22"/>
      <c r="I76" s="14">
        <f>J76</f>
        <v>0.19</v>
      </c>
      <c r="J76" s="14">
        <v>0.19</v>
      </c>
      <c r="K76" s="22"/>
      <c r="L76" s="2">
        <f>M76</f>
        <v>0.20196999999999998</v>
      </c>
      <c r="M76" s="2">
        <f>J76*1.063</f>
        <v>0.20196999999999998</v>
      </c>
      <c r="N76" s="2"/>
    </row>
    <row r="77" spans="1:14" ht="12.75">
      <c r="A77" s="9" t="s">
        <v>13</v>
      </c>
      <c r="B77" s="17"/>
      <c r="C77" s="14"/>
      <c r="D77" s="14"/>
      <c r="E77" s="22"/>
      <c r="F77" s="14"/>
      <c r="G77" s="14"/>
      <c r="H77" s="22"/>
      <c r="I77" s="14"/>
      <c r="J77" s="14"/>
      <c r="K77" s="14"/>
      <c r="L77" s="2"/>
      <c r="M77" s="2"/>
      <c r="N77" s="2"/>
    </row>
    <row r="78" spans="1:14" ht="12.75">
      <c r="A78" s="4" t="s">
        <v>138</v>
      </c>
      <c r="B78" s="18"/>
      <c r="C78" s="19">
        <f>C72/C69*100</f>
        <v>81.38919290386623</v>
      </c>
      <c r="D78" s="19">
        <f>D72/D69*100</f>
        <v>81.38919290386623</v>
      </c>
      <c r="E78" s="15"/>
      <c r="F78" s="19">
        <f>F72/F69*100</f>
        <v>81.38919290386623</v>
      </c>
      <c r="G78" s="19">
        <f>G72/G69*100</f>
        <v>81.38919290386623</v>
      </c>
      <c r="H78" s="34"/>
      <c r="I78" s="19">
        <f>I72/I69*100</f>
        <v>81.38919290386623</v>
      </c>
      <c r="J78" s="19">
        <f>J72/J69*100</f>
        <v>81.38919290386623</v>
      </c>
      <c r="K78" s="15"/>
      <c r="L78" s="2"/>
      <c r="M78" s="2"/>
      <c r="N78" s="2"/>
    </row>
    <row r="79" spans="1:14" ht="12.75">
      <c r="A79" s="4" t="s">
        <v>26</v>
      </c>
      <c r="B79" s="18"/>
      <c r="C79" s="19">
        <f>C73/C70*100</f>
        <v>100</v>
      </c>
      <c r="D79" s="19">
        <f>D73/D70*100</f>
        <v>100</v>
      </c>
      <c r="E79" s="15"/>
      <c r="F79" s="19">
        <f>F73/F70*100</f>
        <v>100</v>
      </c>
      <c r="G79" s="19">
        <f>G73/G70*100</f>
        <v>100</v>
      </c>
      <c r="H79" s="34"/>
      <c r="I79" s="19">
        <f>I73/I70*100</f>
        <v>100</v>
      </c>
      <c r="J79" s="19">
        <f>J73/J70*100</f>
        <v>100</v>
      </c>
      <c r="K79" s="15"/>
      <c r="L79" s="2"/>
      <c r="M79" s="2"/>
      <c r="N79" s="2"/>
    </row>
    <row r="80" spans="1:14" ht="12.75">
      <c r="A80" s="4"/>
      <c r="B80" s="18"/>
      <c r="C80" s="14"/>
      <c r="D80" s="14"/>
      <c r="E80" s="14"/>
      <c r="F80" s="14"/>
      <c r="G80" s="14"/>
      <c r="H80" s="14"/>
      <c r="I80" s="14"/>
      <c r="J80" s="14"/>
      <c r="K80" s="14"/>
      <c r="L80" s="2"/>
      <c r="M80" s="2"/>
      <c r="N80" s="2"/>
    </row>
    <row r="81" spans="1:14" s="6" customFormat="1" ht="17.25" customHeight="1">
      <c r="A81" s="9" t="s">
        <v>86</v>
      </c>
      <c r="B81" s="17"/>
      <c r="C81" s="8">
        <f>D81</f>
        <v>1965000</v>
      </c>
      <c r="D81" s="8">
        <f>200000+400000+1050000+150000+165000</f>
        <v>1965000</v>
      </c>
      <c r="E81" s="8"/>
      <c r="F81" s="8">
        <f>G81+H81</f>
        <v>2132025</v>
      </c>
      <c r="G81" s="8">
        <f>D81*1.085</f>
        <v>2132025</v>
      </c>
      <c r="H81" s="8"/>
      <c r="I81" s="8">
        <f>J81+K81</f>
        <v>2279134.725</v>
      </c>
      <c r="J81" s="8">
        <f>G81*1.069</f>
        <v>2279134.725</v>
      </c>
      <c r="K81" s="8"/>
      <c r="L81" s="7">
        <f>M81+N81</f>
        <v>2422720.212675</v>
      </c>
      <c r="M81" s="7">
        <f>J81*1.063</f>
        <v>2422720.212675</v>
      </c>
      <c r="N81" s="7"/>
    </row>
    <row r="82" spans="1:14" ht="12.75">
      <c r="A82" s="9" t="s">
        <v>9</v>
      </c>
      <c r="B82" s="17"/>
      <c r="C82" s="14"/>
      <c r="D82" s="14"/>
      <c r="E82" s="14"/>
      <c r="F82" s="14"/>
      <c r="G82" s="14"/>
      <c r="H82" s="14"/>
      <c r="I82" s="14"/>
      <c r="J82" s="14"/>
      <c r="K82" s="14"/>
      <c r="L82" s="2"/>
      <c r="M82" s="2"/>
      <c r="N82" s="2"/>
    </row>
    <row r="83" spans="1:14" ht="12.75">
      <c r="A83" s="4" t="s">
        <v>80</v>
      </c>
      <c r="B83" s="18"/>
      <c r="C83" s="2">
        <f>D83</f>
        <v>369.5</v>
      </c>
      <c r="D83" s="2">
        <v>369.5</v>
      </c>
      <c r="E83" s="2"/>
      <c r="F83" s="2">
        <f>G83</f>
        <v>369.5</v>
      </c>
      <c r="G83" s="2">
        <v>369.5</v>
      </c>
      <c r="H83" s="2"/>
      <c r="I83" s="2">
        <f>J83</f>
        <v>369.5</v>
      </c>
      <c r="J83" s="2">
        <v>369.5</v>
      </c>
      <c r="K83" s="2"/>
      <c r="L83" s="2">
        <f>M83</f>
        <v>369000</v>
      </c>
      <c r="M83" s="2">
        <v>369000</v>
      </c>
      <c r="N83" s="2"/>
    </row>
    <row r="84" spans="1:14" ht="12.75">
      <c r="A84" s="4" t="s">
        <v>96</v>
      </c>
      <c r="B84" s="18"/>
      <c r="C84" s="10">
        <f>D84</f>
        <v>9</v>
      </c>
      <c r="D84" s="10">
        <v>9</v>
      </c>
      <c r="E84" s="10"/>
      <c r="F84" s="10">
        <f>G84</f>
        <v>9</v>
      </c>
      <c r="G84" s="10">
        <v>9</v>
      </c>
      <c r="H84" s="10"/>
      <c r="I84" s="10">
        <f>J84</f>
        <v>9</v>
      </c>
      <c r="J84" s="10">
        <v>9</v>
      </c>
      <c r="K84" s="10"/>
      <c r="L84" s="2">
        <f>M84</f>
        <v>9</v>
      </c>
      <c r="M84" s="2">
        <v>9</v>
      </c>
      <c r="N84" s="2"/>
    </row>
    <row r="85" spans="1:14" s="28" customFormat="1" ht="12.75">
      <c r="A85" s="4" t="s">
        <v>113</v>
      </c>
      <c r="B85" s="18"/>
      <c r="C85" s="10">
        <f>D85</f>
        <v>2000</v>
      </c>
      <c r="D85" s="10">
        <v>2000</v>
      </c>
      <c r="E85" s="10"/>
      <c r="F85" s="10">
        <f>G85</f>
        <v>2000</v>
      </c>
      <c r="G85" s="10">
        <v>2000</v>
      </c>
      <c r="H85" s="10"/>
      <c r="I85" s="10">
        <f>J85</f>
        <v>2000</v>
      </c>
      <c r="J85" s="10">
        <v>2000</v>
      </c>
      <c r="K85" s="10"/>
      <c r="L85" s="2">
        <f>M85</f>
        <v>1</v>
      </c>
      <c r="M85" s="2">
        <v>1</v>
      </c>
      <c r="N85" s="2"/>
    </row>
    <row r="86" spans="1:14" ht="12.75">
      <c r="A86" s="4" t="s">
        <v>97</v>
      </c>
      <c r="B86" s="18"/>
      <c r="C86" s="10">
        <v>9</v>
      </c>
      <c r="D86" s="10">
        <v>9</v>
      </c>
      <c r="E86" s="10"/>
      <c r="F86" s="10">
        <v>9</v>
      </c>
      <c r="G86" s="10">
        <v>9</v>
      </c>
      <c r="H86" s="10"/>
      <c r="I86" s="10">
        <v>9</v>
      </c>
      <c r="J86" s="10">
        <v>9</v>
      </c>
      <c r="K86" s="10"/>
      <c r="L86" s="2"/>
      <c r="M86" s="2"/>
      <c r="N86" s="2"/>
    </row>
    <row r="87" spans="1:14" ht="12.75" customHeight="1">
      <c r="A87" s="4" t="s">
        <v>15</v>
      </c>
      <c r="B87" s="18"/>
      <c r="C87" s="10">
        <f>D87</f>
        <v>193</v>
      </c>
      <c r="D87" s="10">
        <v>193</v>
      </c>
      <c r="E87" s="10"/>
      <c r="F87" s="10">
        <f>G87</f>
        <v>193</v>
      </c>
      <c r="G87" s="10">
        <v>193</v>
      </c>
      <c r="H87" s="10"/>
      <c r="I87" s="10">
        <f>J87</f>
        <v>193</v>
      </c>
      <c r="J87" s="10">
        <v>193</v>
      </c>
      <c r="K87" s="10"/>
      <c r="L87" s="2">
        <f>M87</f>
        <v>193</v>
      </c>
      <c r="M87" s="2">
        <v>193</v>
      </c>
      <c r="N87" s="2"/>
    </row>
    <row r="88" spans="1:14" ht="12.75" customHeight="1">
      <c r="A88" s="9" t="s">
        <v>10</v>
      </c>
      <c r="B88" s="18"/>
      <c r="C88" s="10"/>
      <c r="D88" s="10"/>
      <c r="E88" s="10"/>
      <c r="F88" s="10"/>
      <c r="G88" s="10"/>
      <c r="H88" s="10"/>
      <c r="I88" s="10"/>
      <c r="J88" s="10"/>
      <c r="K88" s="10"/>
      <c r="L88" s="2"/>
      <c r="M88" s="2"/>
      <c r="N88" s="2"/>
    </row>
    <row r="89" spans="1:14" ht="12.75" customHeight="1">
      <c r="A89" s="4" t="s">
        <v>133</v>
      </c>
      <c r="B89" s="18"/>
      <c r="C89" s="2">
        <f>D89</f>
        <v>369.5</v>
      </c>
      <c r="D89" s="2">
        <v>369.5</v>
      </c>
      <c r="E89" s="2"/>
      <c r="F89" s="2">
        <f>G89</f>
        <v>369.5</v>
      </c>
      <c r="G89" s="2">
        <v>369.5</v>
      </c>
      <c r="H89" s="2"/>
      <c r="I89" s="2">
        <f>J89</f>
        <v>369.5</v>
      </c>
      <c r="J89" s="2">
        <v>369.5</v>
      </c>
      <c r="K89" s="2"/>
      <c r="L89" s="2"/>
      <c r="M89" s="2"/>
      <c r="N89" s="2"/>
    </row>
    <row r="90" spans="1:14" ht="12.75" customHeight="1">
      <c r="A90" s="4" t="s">
        <v>134</v>
      </c>
      <c r="B90" s="18"/>
      <c r="C90" s="10">
        <f>D90</f>
        <v>9</v>
      </c>
      <c r="D90" s="10">
        <v>9</v>
      </c>
      <c r="E90" s="10"/>
      <c r="F90" s="10">
        <f>G90</f>
        <v>9</v>
      </c>
      <c r="G90" s="10">
        <v>9</v>
      </c>
      <c r="H90" s="10"/>
      <c r="I90" s="10">
        <f>J90</f>
        <v>9</v>
      </c>
      <c r="J90" s="10">
        <v>9</v>
      </c>
      <c r="K90" s="10"/>
      <c r="L90" s="2"/>
      <c r="M90" s="2"/>
      <c r="N90" s="2"/>
    </row>
    <row r="91" spans="1:14" ht="12.75" customHeight="1">
      <c r="A91" s="4" t="s">
        <v>135</v>
      </c>
      <c r="B91" s="18"/>
      <c r="C91" s="10">
        <f>D91</f>
        <v>2000</v>
      </c>
      <c r="D91" s="10">
        <v>2000</v>
      </c>
      <c r="E91" s="10"/>
      <c r="F91" s="10">
        <f>G91</f>
        <v>2000</v>
      </c>
      <c r="G91" s="10">
        <v>2000</v>
      </c>
      <c r="H91" s="10"/>
      <c r="I91" s="10">
        <f>J91</f>
        <v>2000</v>
      </c>
      <c r="J91" s="10">
        <v>2000</v>
      </c>
      <c r="K91" s="10"/>
      <c r="L91" s="2"/>
      <c r="M91" s="2"/>
      <c r="N91" s="2"/>
    </row>
    <row r="92" spans="1:14" ht="12.75" customHeight="1">
      <c r="A92" s="4" t="s">
        <v>136</v>
      </c>
      <c r="B92" s="18"/>
      <c r="C92" s="10">
        <v>9</v>
      </c>
      <c r="D92" s="10">
        <v>9</v>
      </c>
      <c r="E92" s="10"/>
      <c r="F92" s="10">
        <v>9</v>
      </c>
      <c r="G92" s="10">
        <v>9</v>
      </c>
      <c r="H92" s="10"/>
      <c r="I92" s="10">
        <v>9</v>
      </c>
      <c r="J92" s="10">
        <v>9</v>
      </c>
      <c r="K92" s="10"/>
      <c r="L92" s="2"/>
      <c r="M92" s="2"/>
      <c r="N92" s="2"/>
    </row>
    <row r="93" spans="1:14" ht="12.75" customHeight="1">
      <c r="A93" s="4" t="s">
        <v>137</v>
      </c>
      <c r="B93" s="18"/>
      <c r="C93" s="10">
        <f>D93</f>
        <v>193</v>
      </c>
      <c r="D93" s="10">
        <v>193</v>
      </c>
      <c r="E93" s="10"/>
      <c r="F93" s="10">
        <f>G93</f>
        <v>193</v>
      </c>
      <c r="G93" s="10">
        <v>193</v>
      </c>
      <c r="H93" s="10"/>
      <c r="I93" s="10">
        <f>J93</f>
        <v>193</v>
      </c>
      <c r="J93" s="10">
        <v>193</v>
      </c>
      <c r="K93" s="10"/>
      <c r="L93" s="2"/>
      <c r="M93" s="2"/>
      <c r="N93" s="2"/>
    </row>
    <row r="94" spans="1:14" ht="12.75">
      <c r="A94" s="9" t="s">
        <v>12</v>
      </c>
      <c r="B94" s="17"/>
      <c r="C94" s="14"/>
      <c r="D94" s="14"/>
      <c r="E94" s="14"/>
      <c r="F94" s="14"/>
      <c r="G94" s="14"/>
      <c r="H94" s="14"/>
      <c r="I94" s="14"/>
      <c r="J94" s="14"/>
      <c r="K94" s="14"/>
      <c r="L94" s="2"/>
      <c r="M94" s="2"/>
      <c r="N94" s="2"/>
    </row>
    <row r="95" spans="1:14" ht="12.75">
      <c r="A95" s="4" t="s">
        <v>81</v>
      </c>
      <c r="B95" s="18"/>
      <c r="C95" s="14">
        <f>D95</f>
        <v>2841.6779431664413</v>
      </c>
      <c r="D95" s="14">
        <f>1050000/D83</f>
        <v>2841.6779431664413</v>
      </c>
      <c r="E95" s="14"/>
      <c r="F95" s="14">
        <f>G95</f>
        <v>3083.2205683355887</v>
      </c>
      <c r="G95" s="14">
        <f>D95*1.085</f>
        <v>3083.2205683355887</v>
      </c>
      <c r="H95" s="14"/>
      <c r="I95" s="14">
        <f>J95</f>
        <v>3295.962787550744</v>
      </c>
      <c r="J95" s="14">
        <f>G95*1.069</f>
        <v>3295.962787550744</v>
      </c>
      <c r="K95" s="14"/>
      <c r="L95" s="2">
        <f>M95</f>
        <v>3503.608443166441</v>
      </c>
      <c r="M95" s="2">
        <f>J95*1.063</f>
        <v>3503.608443166441</v>
      </c>
      <c r="N95" s="2"/>
    </row>
    <row r="96" spans="1:14" ht="12.75">
      <c r="A96" s="4" t="s">
        <v>95</v>
      </c>
      <c r="B96" s="18"/>
      <c r="C96" s="14">
        <f>D96</f>
        <v>25000</v>
      </c>
      <c r="D96" s="14">
        <v>25000</v>
      </c>
      <c r="E96" s="14"/>
      <c r="F96" s="14">
        <f>G96</f>
        <v>27125</v>
      </c>
      <c r="G96" s="14">
        <f>D96*1.085</f>
        <v>27125</v>
      </c>
      <c r="H96" s="14"/>
      <c r="I96" s="14">
        <f>J96</f>
        <v>28996.625</v>
      </c>
      <c r="J96" s="14">
        <f>G96*1.069</f>
        <v>28996.625</v>
      </c>
      <c r="K96" s="14"/>
      <c r="L96" s="2">
        <f>M96</f>
        <v>30823.412375</v>
      </c>
      <c r="M96" s="2">
        <f>J96*1.063</f>
        <v>30823.412375</v>
      </c>
      <c r="N96" s="2"/>
    </row>
    <row r="97" spans="1:14" s="28" customFormat="1" ht="12.75">
      <c r="A97" s="4" t="s">
        <v>114</v>
      </c>
      <c r="B97" s="18"/>
      <c r="C97" s="14">
        <f>D97</f>
        <v>250</v>
      </c>
      <c r="D97" s="14">
        <v>250</v>
      </c>
      <c r="E97" s="14"/>
      <c r="F97" s="14">
        <f>G97</f>
        <v>271.25</v>
      </c>
      <c r="G97" s="14">
        <f>D97*1.085</f>
        <v>271.25</v>
      </c>
      <c r="H97" s="14"/>
      <c r="I97" s="14">
        <f>J97</f>
        <v>289.96625</v>
      </c>
      <c r="J97" s="14">
        <f>G97*1.069</f>
        <v>289.96625</v>
      </c>
      <c r="K97" s="14"/>
      <c r="L97" s="2">
        <f>M97</f>
        <v>308.23412375</v>
      </c>
      <c r="M97" s="2">
        <f>J97*1.063</f>
        <v>308.23412375</v>
      </c>
      <c r="N97" s="2"/>
    </row>
    <row r="98" spans="1:14" ht="12.75">
      <c r="A98" s="4" t="s">
        <v>27</v>
      </c>
      <c r="B98" s="18"/>
      <c r="C98" s="14">
        <f>D98</f>
        <v>2777.777777777778</v>
      </c>
      <c r="D98" s="14">
        <f>25000/9</f>
        <v>2777.777777777778</v>
      </c>
      <c r="E98" s="14"/>
      <c r="F98" s="14">
        <f>G98</f>
        <v>3013.8888888888887</v>
      </c>
      <c r="G98" s="14">
        <f>D98*1.085</f>
        <v>3013.8888888888887</v>
      </c>
      <c r="H98" s="14"/>
      <c r="I98" s="14">
        <f>J98</f>
        <v>3221.8472222222217</v>
      </c>
      <c r="J98" s="14">
        <f>G98*1.069</f>
        <v>3221.8472222222217</v>
      </c>
      <c r="K98" s="14"/>
      <c r="L98" s="2">
        <f>M98</f>
        <v>3424.8235972222215</v>
      </c>
      <c r="M98" s="2">
        <f>J98*1.063</f>
        <v>3424.8235972222215</v>
      </c>
      <c r="N98" s="2"/>
    </row>
    <row r="99" spans="1:14" ht="12.75" customHeight="1">
      <c r="A99" s="4" t="s">
        <v>38</v>
      </c>
      <c r="B99" s="18"/>
      <c r="C99" s="14">
        <f>D99</f>
        <v>854.9222797927462</v>
      </c>
      <c r="D99" s="14">
        <f>165000/D87</f>
        <v>854.9222797927462</v>
      </c>
      <c r="E99" s="14"/>
      <c r="F99" s="14">
        <f>G99</f>
        <v>927.5906735751296</v>
      </c>
      <c r="G99" s="14">
        <f>D99*1.085</f>
        <v>927.5906735751296</v>
      </c>
      <c r="H99" s="14"/>
      <c r="I99" s="14">
        <f>J99</f>
        <v>991.5944300518134</v>
      </c>
      <c r="J99" s="14">
        <f>G99*1.069</f>
        <v>991.5944300518134</v>
      </c>
      <c r="K99" s="14"/>
      <c r="L99" s="2">
        <f>M99</f>
        <v>1054.0648791450776</v>
      </c>
      <c r="M99" s="2">
        <f>J99*1.063</f>
        <v>1054.0648791450776</v>
      </c>
      <c r="N99" s="2"/>
    </row>
    <row r="100" spans="1:14" ht="12.75">
      <c r="A100" s="9" t="s">
        <v>13</v>
      </c>
      <c r="B100" s="17"/>
      <c r="C100" s="14"/>
      <c r="D100" s="14"/>
      <c r="E100" s="14"/>
      <c r="F100" s="14"/>
      <c r="G100" s="14"/>
      <c r="H100" s="14"/>
      <c r="I100" s="14"/>
      <c r="J100" s="14"/>
      <c r="K100" s="14"/>
      <c r="L100" s="2"/>
      <c r="M100" s="2"/>
      <c r="N100" s="2"/>
    </row>
    <row r="101" spans="1:14" ht="12.75">
      <c r="A101" s="4" t="s">
        <v>67</v>
      </c>
      <c r="B101" s="18"/>
      <c r="C101" s="10">
        <f>D101</f>
        <v>100</v>
      </c>
      <c r="D101" s="10">
        <v>100</v>
      </c>
      <c r="E101" s="10"/>
      <c r="F101" s="10">
        <f>G101</f>
        <v>100</v>
      </c>
      <c r="G101" s="10">
        <v>100</v>
      </c>
      <c r="H101" s="10"/>
      <c r="I101" s="10">
        <f>J101</f>
        <v>100</v>
      </c>
      <c r="J101" s="10">
        <v>100</v>
      </c>
      <c r="K101" s="10"/>
      <c r="L101" s="2"/>
      <c r="M101" s="2"/>
      <c r="N101" s="2"/>
    </row>
    <row r="102" spans="1:14" ht="12.75">
      <c r="A102" s="4" t="s">
        <v>51</v>
      </c>
      <c r="B102" s="18"/>
      <c r="C102" s="10">
        <v>5</v>
      </c>
      <c r="D102" s="10">
        <v>5</v>
      </c>
      <c r="E102" s="10"/>
      <c r="F102" s="10">
        <v>5</v>
      </c>
      <c r="G102" s="10">
        <v>5</v>
      </c>
      <c r="H102" s="10"/>
      <c r="I102" s="10">
        <v>5</v>
      </c>
      <c r="J102" s="10">
        <v>5</v>
      </c>
      <c r="K102" s="10"/>
      <c r="L102" s="2"/>
      <c r="M102" s="2"/>
      <c r="N102" s="2"/>
    </row>
    <row r="103" spans="1:14" ht="12.75">
      <c r="A103" s="4"/>
      <c r="B103" s="18"/>
      <c r="C103" s="14"/>
      <c r="D103" s="14"/>
      <c r="E103" s="14"/>
      <c r="F103" s="14"/>
      <c r="G103" s="14"/>
      <c r="H103" s="14"/>
      <c r="I103" s="14"/>
      <c r="J103" s="14"/>
      <c r="K103" s="14"/>
      <c r="L103" s="2"/>
      <c r="M103" s="2"/>
      <c r="N103" s="2"/>
    </row>
    <row r="104" spans="1:14" s="6" customFormat="1" ht="14.25" customHeight="1">
      <c r="A104" s="9" t="s">
        <v>87</v>
      </c>
      <c r="B104" s="17"/>
      <c r="C104" s="8">
        <f>D104</f>
        <v>240000</v>
      </c>
      <c r="D104" s="8">
        <f>40000+110000+90000</f>
        <v>240000</v>
      </c>
      <c r="E104" s="8"/>
      <c r="F104" s="8">
        <f>G104+H104</f>
        <v>260400</v>
      </c>
      <c r="G104" s="8">
        <f>D104*1.085</f>
        <v>260400</v>
      </c>
      <c r="H104" s="8"/>
      <c r="I104" s="8">
        <f>J104+K104</f>
        <v>278367.6</v>
      </c>
      <c r="J104" s="8">
        <f>G104*1.069</f>
        <v>278367.6</v>
      </c>
      <c r="K104" s="33"/>
      <c r="L104" s="7">
        <f>M104+N104</f>
        <v>295904.75879999995</v>
      </c>
      <c r="M104" s="7">
        <f>J104*1.063</f>
        <v>295904.75879999995</v>
      </c>
      <c r="N104" s="7"/>
    </row>
    <row r="105" spans="1:14" ht="12.75">
      <c r="A105" s="9" t="s">
        <v>9</v>
      </c>
      <c r="B105" s="17"/>
      <c r="C105" s="14"/>
      <c r="D105" s="14"/>
      <c r="E105" s="14"/>
      <c r="F105" s="14"/>
      <c r="G105" s="14"/>
      <c r="H105" s="14"/>
      <c r="I105" s="14"/>
      <c r="J105" s="14"/>
      <c r="K105" s="22"/>
      <c r="L105" s="2"/>
      <c r="M105" s="2"/>
      <c r="N105" s="2"/>
    </row>
    <row r="106" spans="1:14" ht="12.75">
      <c r="A106" s="4" t="s">
        <v>82</v>
      </c>
      <c r="B106" s="18"/>
      <c r="C106" s="14">
        <v>20.2</v>
      </c>
      <c r="D106" s="14">
        <v>20.2</v>
      </c>
      <c r="E106" s="14"/>
      <c r="F106" s="14">
        <v>20.2</v>
      </c>
      <c r="G106" s="14">
        <v>20.2</v>
      </c>
      <c r="H106" s="14"/>
      <c r="I106" s="14">
        <v>20.2</v>
      </c>
      <c r="J106" s="14">
        <v>20.2</v>
      </c>
      <c r="K106" s="22"/>
      <c r="L106" s="2">
        <f>M106</f>
        <v>210866</v>
      </c>
      <c r="M106" s="2">
        <v>210866</v>
      </c>
      <c r="N106" s="2"/>
    </row>
    <row r="107" spans="1:14" ht="12.75">
      <c r="A107" s="4" t="s">
        <v>98</v>
      </c>
      <c r="B107" s="18"/>
      <c r="C107" s="10">
        <v>437</v>
      </c>
      <c r="D107" s="10">
        <v>437</v>
      </c>
      <c r="E107" s="14"/>
      <c r="F107" s="10">
        <v>437</v>
      </c>
      <c r="G107" s="10">
        <v>437</v>
      </c>
      <c r="H107" s="14"/>
      <c r="I107" s="10">
        <v>437</v>
      </c>
      <c r="J107" s="10">
        <v>437</v>
      </c>
      <c r="K107" s="22"/>
      <c r="L107" s="2">
        <f>M107</f>
        <v>331</v>
      </c>
      <c r="M107" s="2">
        <v>331</v>
      </c>
      <c r="N107" s="2"/>
    </row>
    <row r="108" spans="1:14" ht="12.75">
      <c r="A108" s="4" t="s">
        <v>16</v>
      </c>
      <c r="B108" s="18"/>
      <c r="C108" s="10">
        <f>D108</f>
        <v>7665</v>
      </c>
      <c r="D108" s="10">
        <v>7665</v>
      </c>
      <c r="E108" s="10"/>
      <c r="F108" s="10">
        <f>G108</f>
        <v>7665</v>
      </c>
      <c r="G108" s="10">
        <v>7665</v>
      </c>
      <c r="H108" s="10"/>
      <c r="I108" s="10">
        <f>J108</f>
        <v>7665</v>
      </c>
      <c r="J108" s="10">
        <v>7665</v>
      </c>
      <c r="K108" s="22"/>
      <c r="L108" s="2">
        <f>M108</f>
        <v>7665</v>
      </c>
      <c r="M108" s="2">
        <v>7665</v>
      </c>
      <c r="N108" s="2"/>
    </row>
    <row r="109" spans="1:14" ht="12.75">
      <c r="A109" s="9" t="s">
        <v>10</v>
      </c>
      <c r="B109" s="17"/>
      <c r="C109" s="14"/>
      <c r="D109" s="14"/>
      <c r="E109" s="14"/>
      <c r="F109" s="14"/>
      <c r="G109" s="14"/>
      <c r="H109" s="14"/>
      <c r="I109" s="14"/>
      <c r="J109" s="14"/>
      <c r="K109" s="22"/>
      <c r="L109" s="2"/>
      <c r="M109" s="2"/>
      <c r="N109" s="2"/>
    </row>
    <row r="110" spans="1:14" ht="12.75">
      <c r="A110" s="4" t="s">
        <v>83</v>
      </c>
      <c r="B110" s="18"/>
      <c r="C110" s="14">
        <f>D110</f>
        <v>20.2</v>
      </c>
      <c r="D110" s="14">
        <v>20.2</v>
      </c>
      <c r="E110" s="14"/>
      <c r="F110" s="14">
        <f>G110</f>
        <v>20.2</v>
      </c>
      <c r="G110" s="14">
        <v>20.2</v>
      </c>
      <c r="H110" s="14"/>
      <c r="I110" s="14">
        <f>J110</f>
        <v>20.2</v>
      </c>
      <c r="J110" s="14">
        <v>20.2</v>
      </c>
      <c r="K110" s="22"/>
      <c r="L110" s="2"/>
      <c r="M110" s="2"/>
      <c r="N110" s="2"/>
    </row>
    <row r="111" spans="1:14" ht="12.75">
      <c r="A111" s="4" t="s">
        <v>99</v>
      </c>
      <c r="B111" s="18"/>
      <c r="C111" s="10">
        <f>D111</f>
        <v>437</v>
      </c>
      <c r="D111" s="10">
        <v>437</v>
      </c>
      <c r="E111" s="10"/>
      <c r="F111" s="10">
        <f>G111</f>
        <v>437</v>
      </c>
      <c r="G111" s="10">
        <v>437</v>
      </c>
      <c r="H111" s="10"/>
      <c r="I111" s="10">
        <f>J111</f>
        <v>437</v>
      </c>
      <c r="J111" s="10">
        <v>437</v>
      </c>
      <c r="K111" s="29"/>
      <c r="L111" s="2"/>
      <c r="M111" s="2"/>
      <c r="N111" s="2"/>
    </row>
    <row r="112" spans="1:14" ht="12.75">
      <c r="A112" s="4" t="s">
        <v>17</v>
      </c>
      <c r="B112" s="18"/>
      <c r="C112" s="10">
        <f>D112</f>
        <v>7665</v>
      </c>
      <c r="D112" s="10">
        <v>7665</v>
      </c>
      <c r="E112" s="10"/>
      <c r="F112" s="10">
        <f>G112</f>
        <v>7665</v>
      </c>
      <c r="G112" s="10">
        <v>7665</v>
      </c>
      <c r="H112" s="10"/>
      <c r="I112" s="10">
        <f>J112</f>
        <v>7665</v>
      </c>
      <c r="J112" s="10">
        <v>7665</v>
      </c>
      <c r="K112" s="29"/>
      <c r="L112" s="2"/>
      <c r="M112" s="2"/>
      <c r="N112" s="2"/>
    </row>
    <row r="113" spans="1:14" ht="12.75">
      <c r="A113" s="9" t="s">
        <v>12</v>
      </c>
      <c r="B113" s="17"/>
      <c r="C113" s="14"/>
      <c r="D113" s="14"/>
      <c r="E113" s="14"/>
      <c r="F113" s="14"/>
      <c r="G113" s="14"/>
      <c r="H113" s="14"/>
      <c r="I113" s="14"/>
      <c r="J113" s="14"/>
      <c r="K113" s="22"/>
      <c r="L113" s="2"/>
      <c r="M113" s="2"/>
      <c r="N113" s="2"/>
    </row>
    <row r="114" spans="1:14" ht="12.75">
      <c r="A114" s="4" t="s">
        <v>128</v>
      </c>
      <c r="B114" s="18"/>
      <c r="C114" s="14">
        <f>D114</f>
        <v>4455.445544554455</v>
      </c>
      <c r="D114" s="14">
        <f>90/D110*1000</f>
        <v>4455.445544554455</v>
      </c>
      <c r="E114" s="14"/>
      <c r="F114" s="14">
        <f>G114</f>
        <v>4834.1584158415835</v>
      </c>
      <c r="G114" s="14">
        <f>D114*1.085</f>
        <v>4834.1584158415835</v>
      </c>
      <c r="H114" s="14"/>
      <c r="I114" s="14">
        <f>J114</f>
        <v>5167.715346534653</v>
      </c>
      <c r="J114" s="14">
        <f>G114*1.069</f>
        <v>5167.715346534653</v>
      </c>
      <c r="K114" s="22"/>
      <c r="L114" s="14">
        <f>M114</f>
        <v>5493.281413366336</v>
      </c>
      <c r="M114" s="14">
        <f>J114*1.063</f>
        <v>5493.281413366336</v>
      </c>
      <c r="N114" s="2"/>
    </row>
    <row r="115" spans="1:14" ht="12.75">
      <c r="A115" s="4" t="s">
        <v>100</v>
      </c>
      <c r="B115" s="18"/>
      <c r="C115" s="14">
        <f>D115</f>
        <v>91.53318077803203</v>
      </c>
      <c r="D115" s="14">
        <f>40/D111*1000</f>
        <v>91.53318077803203</v>
      </c>
      <c r="E115" s="14"/>
      <c r="F115" s="14">
        <f>G115</f>
        <v>99.31350114416475</v>
      </c>
      <c r="G115" s="14">
        <f>D115*1.085</f>
        <v>99.31350114416475</v>
      </c>
      <c r="H115" s="14"/>
      <c r="I115" s="14">
        <f>J115</f>
        <v>106.16613272311211</v>
      </c>
      <c r="J115" s="14">
        <f>G115*1.069</f>
        <v>106.16613272311211</v>
      </c>
      <c r="K115" s="22"/>
      <c r="L115" s="2">
        <f>M115</f>
        <v>112.85459908466817</v>
      </c>
      <c r="M115" s="2">
        <f>J115*1.063</f>
        <v>112.85459908466817</v>
      </c>
      <c r="N115" s="2"/>
    </row>
    <row r="116" spans="1:14" ht="12.75" customHeight="1">
      <c r="A116" s="4" t="s">
        <v>101</v>
      </c>
      <c r="B116" s="18"/>
      <c r="C116" s="14">
        <f>D116</f>
        <v>14.350945857795171</v>
      </c>
      <c r="D116" s="14">
        <f>110/D112*1000</f>
        <v>14.350945857795171</v>
      </c>
      <c r="E116" s="14"/>
      <c r="F116" s="14">
        <f>G116</f>
        <v>15.57077625570776</v>
      </c>
      <c r="G116" s="14">
        <f>D116*1.085</f>
        <v>15.57077625570776</v>
      </c>
      <c r="H116" s="14"/>
      <c r="I116" s="14">
        <f>J116</f>
        <v>16.645159817351594</v>
      </c>
      <c r="J116" s="14">
        <f>G116*1.069</f>
        <v>16.645159817351594</v>
      </c>
      <c r="K116" s="22"/>
      <c r="L116" s="2">
        <f>M116</f>
        <v>17.693804885844745</v>
      </c>
      <c r="M116" s="2">
        <f>J116*1.063</f>
        <v>17.693804885844745</v>
      </c>
      <c r="N116" s="2"/>
    </row>
    <row r="117" spans="1:14" ht="12.75">
      <c r="A117" s="9" t="s">
        <v>13</v>
      </c>
      <c r="B117" s="17"/>
      <c r="C117" s="14"/>
      <c r="D117" s="14"/>
      <c r="E117" s="14"/>
      <c r="F117" s="14"/>
      <c r="G117" s="14"/>
      <c r="H117" s="14"/>
      <c r="I117" s="14"/>
      <c r="J117" s="14"/>
      <c r="K117" s="14"/>
      <c r="L117" s="2"/>
      <c r="M117" s="2"/>
      <c r="N117" s="2"/>
    </row>
    <row r="118" spans="1:14" ht="12.75">
      <c r="A118" s="4" t="s">
        <v>59</v>
      </c>
      <c r="B118" s="18"/>
      <c r="C118" s="10">
        <f>D118</f>
        <v>100</v>
      </c>
      <c r="D118" s="10">
        <f>D106/D110*100</f>
        <v>100</v>
      </c>
      <c r="E118" s="10"/>
      <c r="F118" s="10">
        <f>G118</f>
        <v>100</v>
      </c>
      <c r="G118" s="10">
        <f>G106/G110*100</f>
        <v>100</v>
      </c>
      <c r="H118" s="10"/>
      <c r="I118" s="10">
        <f>J118</f>
        <v>100</v>
      </c>
      <c r="J118" s="10">
        <f>J106/J110*100</f>
        <v>100</v>
      </c>
      <c r="K118" s="10"/>
      <c r="L118" s="2"/>
      <c r="M118" s="2"/>
      <c r="N118" s="2"/>
    </row>
    <row r="119" spans="1:14" ht="12.75">
      <c r="A119" s="4" t="s">
        <v>118</v>
      </c>
      <c r="B119" s="18"/>
      <c r="C119" s="10">
        <f>D119</f>
        <v>100</v>
      </c>
      <c r="D119" s="10">
        <f>D107/D111*100</f>
        <v>100</v>
      </c>
      <c r="E119" s="10"/>
      <c r="F119" s="10">
        <f>G119</f>
        <v>100</v>
      </c>
      <c r="G119" s="10">
        <f>G107/G111*100</f>
        <v>100</v>
      </c>
      <c r="H119" s="10"/>
      <c r="I119" s="10">
        <f>J119</f>
        <v>100</v>
      </c>
      <c r="J119" s="10">
        <f>J107/J111*100</f>
        <v>100</v>
      </c>
      <c r="K119" s="10"/>
      <c r="L119" s="2"/>
      <c r="M119" s="2"/>
      <c r="N119" s="2"/>
    </row>
    <row r="120" spans="1:14" ht="12.75">
      <c r="A120" s="4" t="s">
        <v>51</v>
      </c>
      <c r="B120" s="18"/>
      <c r="C120" s="10">
        <v>5</v>
      </c>
      <c r="D120" s="10">
        <v>5</v>
      </c>
      <c r="E120" s="10"/>
      <c r="F120" s="10">
        <v>5</v>
      </c>
      <c r="G120" s="10">
        <v>5</v>
      </c>
      <c r="H120" s="10"/>
      <c r="I120" s="10">
        <v>5</v>
      </c>
      <c r="J120" s="10">
        <v>5</v>
      </c>
      <c r="K120" s="10"/>
      <c r="L120" s="2"/>
      <c r="M120" s="2"/>
      <c r="N120" s="2"/>
    </row>
    <row r="121" spans="1:14" ht="12.75">
      <c r="A121" s="4"/>
      <c r="B121" s="18"/>
      <c r="C121" s="14"/>
      <c r="D121" s="14"/>
      <c r="E121" s="14"/>
      <c r="F121" s="14"/>
      <c r="G121" s="14"/>
      <c r="H121" s="14"/>
      <c r="I121" s="14"/>
      <c r="J121" s="14"/>
      <c r="K121" s="14"/>
      <c r="L121" s="2"/>
      <c r="M121" s="2"/>
      <c r="N121" s="2"/>
    </row>
    <row r="122" spans="1:14" ht="24">
      <c r="A122" s="9" t="s">
        <v>53</v>
      </c>
      <c r="B122" s="29"/>
      <c r="C122" s="8">
        <f>D122+E122</f>
        <v>1000000</v>
      </c>
      <c r="D122" s="8">
        <v>1000000</v>
      </c>
      <c r="E122" s="33"/>
      <c r="F122" s="8">
        <f>G122+H122</f>
        <v>1085000</v>
      </c>
      <c r="G122" s="8">
        <f>D122*1.085</f>
        <v>1085000</v>
      </c>
      <c r="H122" s="8"/>
      <c r="I122" s="8">
        <f>K122+J122</f>
        <v>1159865</v>
      </c>
      <c r="J122" s="8">
        <f>G122*1.069</f>
        <v>1159865</v>
      </c>
      <c r="K122" s="8"/>
      <c r="L122" s="2"/>
      <c r="M122" s="2"/>
      <c r="N122" s="2"/>
    </row>
    <row r="123" spans="1:14" ht="12.75">
      <c r="A123" s="11" t="s">
        <v>9</v>
      </c>
      <c r="B123" s="18"/>
      <c r="C123" s="14"/>
      <c r="D123" s="14"/>
      <c r="E123" s="22"/>
      <c r="F123" s="14"/>
      <c r="G123" s="14"/>
      <c r="H123" s="14"/>
      <c r="I123" s="14"/>
      <c r="J123" s="14"/>
      <c r="K123" s="14"/>
      <c r="L123" s="2"/>
      <c r="M123" s="2"/>
      <c r="N123" s="2"/>
    </row>
    <row r="124" spans="1:14" ht="12.75">
      <c r="A124" s="4" t="s">
        <v>117</v>
      </c>
      <c r="B124" s="18"/>
      <c r="C124" s="10">
        <f>D124+E124</f>
        <v>26</v>
      </c>
      <c r="D124" s="10">
        <v>26</v>
      </c>
      <c r="E124" s="29"/>
      <c r="F124" s="10">
        <f>G124+H124</f>
        <v>26</v>
      </c>
      <c r="G124" s="10">
        <v>26</v>
      </c>
      <c r="H124" s="10"/>
      <c r="I124" s="10">
        <f>J124+K124</f>
        <v>26</v>
      </c>
      <c r="J124" s="10">
        <v>26</v>
      </c>
      <c r="K124" s="10"/>
      <c r="L124" s="2"/>
      <c r="M124" s="2"/>
      <c r="N124" s="2"/>
    </row>
    <row r="125" spans="1:14" ht="12.75">
      <c r="A125" s="4" t="s">
        <v>122</v>
      </c>
      <c r="B125" s="18"/>
      <c r="C125" s="10">
        <f>D125</f>
        <v>600000</v>
      </c>
      <c r="D125" s="10">
        <v>600000</v>
      </c>
      <c r="E125" s="29"/>
      <c r="F125" s="10">
        <f>G125</f>
        <v>600000</v>
      </c>
      <c r="G125" s="10">
        <v>600000</v>
      </c>
      <c r="H125" s="10"/>
      <c r="I125" s="10">
        <f>J125</f>
        <v>600000</v>
      </c>
      <c r="J125" s="10">
        <v>600000</v>
      </c>
      <c r="K125" s="10"/>
      <c r="L125" s="2"/>
      <c r="M125" s="2"/>
      <c r="N125" s="2"/>
    </row>
    <row r="126" spans="1:14" ht="13.5">
      <c r="A126" s="4" t="s">
        <v>123</v>
      </c>
      <c r="B126" s="18"/>
      <c r="C126" s="10">
        <f>D126</f>
        <v>120000</v>
      </c>
      <c r="D126" s="10">
        <v>120000</v>
      </c>
      <c r="E126" s="29"/>
      <c r="F126" s="10">
        <f>G126</f>
        <v>120000</v>
      </c>
      <c r="G126" s="10">
        <v>120000</v>
      </c>
      <c r="H126" s="10"/>
      <c r="I126" s="10">
        <f>J126</f>
        <v>120000</v>
      </c>
      <c r="J126" s="10">
        <v>120000</v>
      </c>
      <c r="K126" s="10"/>
      <c r="L126" s="2"/>
      <c r="M126" s="2"/>
      <c r="N126" s="2"/>
    </row>
    <row r="127" spans="1:14" ht="12.75">
      <c r="A127" s="11" t="s">
        <v>10</v>
      </c>
      <c r="B127" s="18"/>
      <c r="C127" s="10"/>
      <c r="D127" s="10"/>
      <c r="E127" s="29"/>
      <c r="F127" s="10"/>
      <c r="G127" s="10"/>
      <c r="H127" s="10"/>
      <c r="I127" s="10"/>
      <c r="J127" s="10"/>
      <c r="K127" s="10"/>
      <c r="L127" s="2"/>
      <c r="M127" s="2"/>
      <c r="N127" s="2"/>
    </row>
    <row r="128" spans="1:14" ht="12.75">
      <c r="A128" s="4" t="s">
        <v>126</v>
      </c>
      <c r="B128" s="18"/>
      <c r="C128" s="10">
        <v>26</v>
      </c>
      <c r="D128" s="10">
        <v>26</v>
      </c>
      <c r="E128" s="29"/>
      <c r="F128" s="10">
        <v>26</v>
      </c>
      <c r="G128" s="10">
        <v>26</v>
      </c>
      <c r="H128" s="10"/>
      <c r="I128" s="10">
        <v>26</v>
      </c>
      <c r="J128" s="10">
        <v>26</v>
      </c>
      <c r="K128" s="10"/>
      <c r="L128" s="2"/>
      <c r="M128" s="2"/>
      <c r="N128" s="2"/>
    </row>
    <row r="129" spans="1:14" ht="12.75">
      <c r="A129" s="4" t="s">
        <v>122</v>
      </c>
      <c r="B129" s="18"/>
      <c r="C129" s="10">
        <f>D129</f>
        <v>600000</v>
      </c>
      <c r="D129" s="10">
        <v>600000</v>
      </c>
      <c r="E129" s="29"/>
      <c r="F129" s="10">
        <f>G129</f>
        <v>600000</v>
      </c>
      <c r="G129" s="10">
        <v>600000</v>
      </c>
      <c r="H129" s="10"/>
      <c r="I129" s="10">
        <f>J129</f>
        <v>600000</v>
      </c>
      <c r="J129" s="10">
        <v>600000</v>
      </c>
      <c r="K129" s="10"/>
      <c r="L129" s="2"/>
      <c r="M129" s="2"/>
      <c r="N129" s="2"/>
    </row>
    <row r="130" spans="1:14" ht="13.5">
      <c r="A130" s="4" t="s">
        <v>123</v>
      </c>
      <c r="B130" s="18"/>
      <c r="C130" s="10">
        <f>D130</f>
        <v>120000</v>
      </c>
      <c r="D130" s="10">
        <v>120000</v>
      </c>
      <c r="E130" s="29"/>
      <c r="F130" s="10">
        <f>G130</f>
        <v>120000</v>
      </c>
      <c r="G130" s="10">
        <v>120000</v>
      </c>
      <c r="H130" s="10"/>
      <c r="I130" s="10">
        <f>J130</f>
        <v>120000</v>
      </c>
      <c r="J130" s="10">
        <v>120000</v>
      </c>
      <c r="K130" s="10"/>
      <c r="L130" s="2"/>
      <c r="M130" s="2"/>
      <c r="N130" s="2"/>
    </row>
    <row r="131" spans="1:14" ht="12.75">
      <c r="A131" s="11" t="s">
        <v>12</v>
      </c>
      <c r="B131" s="18"/>
      <c r="C131" s="14"/>
      <c r="D131" s="14"/>
      <c r="E131" s="22"/>
      <c r="F131" s="14"/>
      <c r="G131" s="14"/>
      <c r="H131" s="14"/>
      <c r="I131" s="14"/>
      <c r="J131" s="14"/>
      <c r="K131" s="14"/>
      <c r="L131" s="2"/>
      <c r="M131" s="2"/>
      <c r="N131" s="2"/>
    </row>
    <row r="132" spans="1:14" ht="15.75" customHeight="1">
      <c r="A132" s="4" t="s">
        <v>46</v>
      </c>
      <c r="B132" s="18"/>
      <c r="C132" s="14">
        <f>D132</f>
        <v>20087.69230769231</v>
      </c>
      <c r="D132" s="14">
        <f>522280/D128</f>
        <v>20087.69230769231</v>
      </c>
      <c r="E132" s="22"/>
      <c r="F132" s="14">
        <f>G132</f>
        <v>21795.146153846155</v>
      </c>
      <c r="G132" s="14">
        <f>D132*1.085</f>
        <v>21795.146153846155</v>
      </c>
      <c r="H132" s="22"/>
      <c r="I132" s="14">
        <f>J132</f>
        <v>23299.01123846154</v>
      </c>
      <c r="J132" s="14">
        <f>G132*1.069</f>
        <v>23299.01123846154</v>
      </c>
      <c r="K132" s="14"/>
      <c r="L132" s="2"/>
      <c r="M132" s="2"/>
      <c r="N132" s="2"/>
    </row>
    <row r="133" spans="1:14" ht="15.75" customHeight="1">
      <c r="A133" s="4" t="s">
        <v>124</v>
      </c>
      <c r="B133" s="18"/>
      <c r="C133" s="14">
        <f>D133</f>
        <v>0.3822</v>
      </c>
      <c r="D133" s="14">
        <f>229320/D129</f>
        <v>0.3822</v>
      </c>
      <c r="E133" s="22"/>
      <c r="F133" s="14">
        <f>G133</f>
        <v>0.414687</v>
      </c>
      <c r="G133" s="14">
        <f>D133*1.085</f>
        <v>0.414687</v>
      </c>
      <c r="H133" s="22"/>
      <c r="I133" s="14">
        <f>J133</f>
        <v>0.44330040299999995</v>
      </c>
      <c r="J133" s="14">
        <f>G133*1.069</f>
        <v>0.44330040299999995</v>
      </c>
      <c r="K133" s="14"/>
      <c r="L133" s="2"/>
      <c r="M133" s="2"/>
      <c r="N133" s="2"/>
    </row>
    <row r="134" spans="1:14" ht="13.5">
      <c r="A134" s="4" t="s">
        <v>125</v>
      </c>
      <c r="B134" s="18"/>
      <c r="C134" s="14">
        <f>D134</f>
        <v>2.07</v>
      </c>
      <c r="D134" s="14">
        <f>248400/D130</f>
        <v>2.07</v>
      </c>
      <c r="E134" s="22"/>
      <c r="F134" s="14">
        <f>G134</f>
        <v>2.2459499999999997</v>
      </c>
      <c r="G134" s="14">
        <f>D134*1.085</f>
        <v>2.2459499999999997</v>
      </c>
      <c r="H134" s="22"/>
      <c r="I134" s="14">
        <f>J134</f>
        <v>2.4009205499999995</v>
      </c>
      <c r="J134" s="14">
        <f>G134*1.069</f>
        <v>2.4009205499999995</v>
      </c>
      <c r="K134" s="14"/>
      <c r="L134" s="2"/>
      <c r="M134" s="2"/>
      <c r="N134" s="2"/>
    </row>
    <row r="135" spans="1:14" ht="12.75">
      <c r="A135" s="11" t="s">
        <v>13</v>
      </c>
      <c r="B135" s="18"/>
      <c r="C135" s="14"/>
      <c r="D135" s="14"/>
      <c r="E135" s="22"/>
      <c r="F135" s="14"/>
      <c r="G135" s="14"/>
      <c r="H135" s="14"/>
      <c r="I135" s="14"/>
      <c r="J135" s="14"/>
      <c r="K135" s="14"/>
      <c r="L135" s="2"/>
      <c r="M135" s="2"/>
      <c r="N135" s="2"/>
    </row>
    <row r="136" spans="1:14" ht="12.75">
      <c r="A136" s="4" t="s">
        <v>60</v>
      </c>
      <c r="B136" s="18"/>
      <c r="C136" s="10">
        <v>100</v>
      </c>
      <c r="D136" s="10">
        <v>100</v>
      </c>
      <c r="E136" s="29"/>
      <c r="F136" s="10">
        <v>100</v>
      </c>
      <c r="G136" s="10">
        <v>100</v>
      </c>
      <c r="H136" s="10"/>
      <c r="I136" s="10">
        <v>100</v>
      </c>
      <c r="J136" s="10">
        <v>100</v>
      </c>
      <c r="K136" s="10"/>
      <c r="L136" s="2"/>
      <c r="M136" s="2"/>
      <c r="N136" s="2"/>
    </row>
    <row r="137" spans="1:14" ht="12.75">
      <c r="A137" s="4"/>
      <c r="B137" s="18"/>
      <c r="C137" s="14"/>
      <c r="D137" s="14"/>
      <c r="E137" s="14"/>
      <c r="F137" s="14"/>
      <c r="G137" s="14"/>
      <c r="H137" s="14"/>
      <c r="I137" s="14"/>
      <c r="J137" s="14"/>
      <c r="K137" s="14"/>
      <c r="L137" s="2"/>
      <c r="M137" s="2"/>
      <c r="N137" s="2"/>
    </row>
    <row r="138" spans="1:14" s="6" customFormat="1" ht="24">
      <c r="A138" s="11" t="s">
        <v>54</v>
      </c>
      <c r="B138" s="8">
        <v>240900</v>
      </c>
      <c r="C138" s="8">
        <f>D138+E138</f>
        <v>8000000</v>
      </c>
      <c r="D138" s="8"/>
      <c r="E138" s="8">
        <f>E139+E156+E167+E178+E189</f>
        <v>8000000</v>
      </c>
      <c r="F138" s="8">
        <f>G138+H138</f>
        <v>8680000</v>
      </c>
      <c r="G138" s="8"/>
      <c r="H138" s="8">
        <f>H139+H156+H167+H178+H189</f>
        <v>8680000</v>
      </c>
      <c r="I138" s="8">
        <f>J138+K138</f>
        <v>9278922</v>
      </c>
      <c r="J138" s="8"/>
      <c r="K138" s="8">
        <v>9278922</v>
      </c>
      <c r="L138" s="7"/>
      <c r="M138" s="7"/>
      <c r="N138" s="7"/>
    </row>
    <row r="139" spans="1:14" ht="24">
      <c r="A139" s="9" t="s">
        <v>88</v>
      </c>
      <c r="B139" s="17"/>
      <c r="C139" s="8">
        <f>E139</f>
        <v>4000000</v>
      </c>
      <c r="D139" s="8"/>
      <c r="E139" s="8">
        <f>1500000+1500000+1000000</f>
        <v>4000000</v>
      </c>
      <c r="F139" s="8">
        <f>G139+H139</f>
        <v>4340000</v>
      </c>
      <c r="G139" s="8"/>
      <c r="H139" s="8">
        <f>E139*1.085</f>
        <v>4340000</v>
      </c>
      <c r="I139" s="8">
        <f>J139+K139</f>
        <v>4639460</v>
      </c>
      <c r="J139" s="8"/>
      <c r="K139" s="8">
        <f>H139*1.069</f>
        <v>4639460</v>
      </c>
      <c r="L139" s="2"/>
      <c r="M139" s="2"/>
      <c r="N139" s="2"/>
    </row>
    <row r="140" spans="1:14" ht="12.75">
      <c r="A140" s="11" t="s">
        <v>9</v>
      </c>
      <c r="B140" s="20"/>
      <c r="C140" s="14"/>
      <c r="D140" s="14"/>
      <c r="E140" s="14"/>
      <c r="F140" s="14"/>
      <c r="G140" s="14"/>
      <c r="H140" s="14"/>
      <c r="I140" s="14"/>
      <c r="J140" s="14"/>
      <c r="K140" s="14"/>
      <c r="L140" s="2"/>
      <c r="M140" s="2"/>
      <c r="N140" s="2"/>
    </row>
    <row r="141" spans="1:14" ht="13.5">
      <c r="A141" s="4" t="s">
        <v>102</v>
      </c>
      <c r="B141" s="18"/>
      <c r="C141" s="14">
        <f>1500/83</f>
        <v>18.072289156626507</v>
      </c>
      <c r="D141" s="14"/>
      <c r="E141" s="14">
        <f aca="true" t="shared" si="3" ref="E141:K141">1500/83</f>
        <v>18.072289156626507</v>
      </c>
      <c r="F141" s="14">
        <f t="shared" si="3"/>
        <v>18.072289156626507</v>
      </c>
      <c r="G141" s="14"/>
      <c r="H141" s="14">
        <f t="shared" si="3"/>
        <v>18.072289156626507</v>
      </c>
      <c r="I141" s="14">
        <f t="shared" si="3"/>
        <v>18.072289156626507</v>
      </c>
      <c r="J141" s="14"/>
      <c r="K141" s="14">
        <f t="shared" si="3"/>
        <v>18.072289156626507</v>
      </c>
      <c r="L141" s="2"/>
      <c r="M141" s="2"/>
      <c r="N141" s="2"/>
    </row>
    <row r="142" spans="1:14" ht="13.5">
      <c r="A142" s="4" t="s">
        <v>103</v>
      </c>
      <c r="B142" s="18"/>
      <c r="C142" s="14">
        <f>1500/156</f>
        <v>9.615384615384615</v>
      </c>
      <c r="D142" s="14"/>
      <c r="E142" s="14">
        <f aca="true" t="shared" si="4" ref="E142:K142">1500/156</f>
        <v>9.615384615384615</v>
      </c>
      <c r="F142" s="14">
        <f t="shared" si="4"/>
        <v>9.615384615384615</v>
      </c>
      <c r="G142" s="14"/>
      <c r="H142" s="14">
        <f t="shared" si="4"/>
        <v>9.615384615384615</v>
      </c>
      <c r="I142" s="14">
        <f t="shared" si="4"/>
        <v>9.615384615384615</v>
      </c>
      <c r="J142" s="14"/>
      <c r="K142" s="14">
        <f t="shared" si="4"/>
        <v>9.615384615384615</v>
      </c>
      <c r="L142" s="2"/>
      <c r="M142" s="2"/>
      <c r="N142" s="2"/>
    </row>
    <row r="143" spans="1:14" ht="13.5">
      <c r="A143" s="4" t="s">
        <v>104</v>
      </c>
      <c r="B143" s="18"/>
      <c r="C143" s="14">
        <f>1000/83</f>
        <v>12.048192771084338</v>
      </c>
      <c r="D143" s="14"/>
      <c r="E143" s="14">
        <f aca="true" t="shared" si="5" ref="E143:K143">1000/83</f>
        <v>12.048192771084338</v>
      </c>
      <c r="F143" s="14">
        <f t="shared" si="5"/>
        <v>12.048192771084338</v>
      </c>
      <c r="G143" s="14"/>
      <c r="H143" s="14">
        <f t="shared" si="5"/>
        <v>12.048192771084338</v>
      </c>
      <c r="I143" s="14">
        <f t="shared" si="5"/>
        <v>12.048192771084338</v>
      </c>
      <c r="J143" s="14"/>
      <c r="K143" s="14">
        <f t="shared" si="5"/>
        <v>12.048192771084338</v>
      </c>
      <c r="L143" s="2"/>
      <c r="M143" s="2"/>
      <c r="N143" s="2"/>
    </row>
    <row r="144" spans="1:14" ht="12.75">
      <c r="A144" s="9" t="s">
        <v>10</v>
      </c>
      <c r="B144" s="26"/>
      <c r="C144" s="14"/>
      <c r="D144" s="14"/>
      <c r="E144" s="14"/>
      <c r="F144" s="14"/>
      <c r="G144" s="14"/>
      <c r="H144" s="14"/>
      <c r="I144" s="14"/>
      <c r="J144" s="14"/>
      <c r="K144" s="14"/>
      <c r="L144" s="2"/>
      <c r="M144" s="2"/>
      <c r="N144" s="2"/>
    </row>
    <row r="145" spans="1:14" ht="12" customHeight="1">
      <c r="A145" s="4" t="s">
        <v>108</v>
      </c>
      <c r="B145" s="27"/>
      <c r="C145" s="14">
        <f>1500/83</f>
        <v>18.072289156626507</v>
      </c>
      <c r="D145" s="14"/>
      <c r="E145" s="14">
        <f aca="true" t="shared" si="6" ref="E145:K145">1500/83</f>
        <v>18.072289156626507</v>
      </c>
      <c r="F145" s="14">
        <f t="shared" si="6"/>
        <v>18.072289156626507</v>
      </c>
      <c r="G145" s="14"/>
      <c r="H145" s="14">
        <f t="shared" si="6"/>
        <v>18.072289156626507</v>
      </c>
      <c r="I145" s="14">
        <f t="shared" si="6"/>
        <v>18.072289156626507</v>
      </c>
      <c r="J145" s="14"/>
      <c r="K145" s="14">
        <f t="shared" si="6"/>
        <v>18.072289156626507</v>
      </c>
      <c r="L145" s="2"/>
      <c r="M145" s="2"/>
      <c r="N145" s="2"/>
    </row>
    <row r="146" spans="1:14" ht="12" customHeight="1">
      <c r="A146" s="4" t="s">
        <v>105</v>
      </c>
      <c r="B146" s="18"/>
      <c r="C146" s="14">
        <f>1500/156</f>
        <v>9.615384615384615</v>
      </c>
      <c r="D146" s="14"/>
      <c r="E146" s="14">
        <f aca="true" t="shared" si="7" ref="E146:K146">1500/156</f>
        <v>9.615384615384615</v>
      </c>
      <c r="F146" s="14">
        <f t="shared" si="7"/>
        <v>9.615384615384615</v>
      </c>
      <c r="G146" s="14"/>
      <c r="H146" s="14">
        <f t="shared" si="7"/>
        <v>9.615384615384615</v>
      </c>
      <c r="I146" s="14">
        <f t="shared" si="7"/>
        <v>9.615384615384615</v>
      </c>
      <c r="J146" s="14"/>
      <c r="K146" s="14">
        <f t="shared" si="7"/>
        <v>9.615384615384615</v>
      </c>
      <c r="L146" s="2"/>
      <c r="M146" s="2"/>
      <c r="N146" s="2"/>
    </row>
    <row r="147" spans="1:14" ht="12" customHeight="1">
      <c r="A147" s="4" t="s">
        <v>106</v>
      </c>
      <c r="B147" s="18"/>
      <c r="C147" s="14">
        <f>1000/83</f>
        <v>12.048192771084338</v>
      </c>
      <c r="D147" s="14"/>
      <c r="E147" s="14">
        <f aca="true" t="shared" si="8" ref="E147:K147">1000/83</f>
        <v>12.048192771084338</v>
      </c>
      <c r="F147" s="14">
        <f t="shared" si="8"/>
        <v>12.048192771084338</v>
      </c>
      <c r="G147" s="14"/>
      <c r="H147" s="14">
        <f t="shared" si="8"/>
        <v>12.048192771084338</v>
      </c>
      <c r="I147" s="14">
        <f t="shared" si="8"/>
        <v>12.048192771084338</v>
      </c>
      <c r="J147" s="14"/>
      <c r="K147" s="14">
        <f t="shared" si="8"/>
        <v>12.048192771084338</v>
      </c>
      <c r="L147" s="2"/>
      <c r="M147" s="2"/>
      <c r="N147" s="2"/>
    </row>
    <row r="148" spans="1:14" ht="12.75">
      <c r="A148" s="9" t="s">
        <v>12</v>
      </c>
      <c r="B148" s="17"/>
      <c r="C148" s="14"/>
      <c r="D148" s="14"/>
      <c r="E148" s="14"/>
      <c r="F148" s="14"/>
      <c r="G148" s="14"/>
      <c r="H148" s="14"/>
      <c r="I148" s="14"/>
      <c r="J148" s="14"/>
      <c r="K148" s="14"/>
      <c r="L148" s="2"/>
      <c r="M148" s="2"/>
      <c r="N148" s="2"/>
    </row>
    <row r="149" spans="1:14" ht="13.5">
      <c r="A149" s="4" t="s">
        <v>119</v>
      </c>
      <c r="B149" s="18"/>
      <c r="C149" s="14">
        <f>1500/C145</f>
        <v>83</v>
      </c>
      <c r="D149" s="14"/>
      <c r="E149" s="14">
        <v>83</v>
      </c>
      <c r="F149" s="14">
        <f>H149</f>
        <v>90.05499999999999</v>
      </c>
      <c r="G149" s="14"/>
      <c r="H149" s="14">
        <f>E149*1.085</f>
        <v>90.05499999999999</v>
      </c>
      <c r="I149" s="14">
        <f>K149</f>
        <v>96.26879499999998</v>
      </c>
      <c r="J149" s="14"/>
      <c r="K149" s="14">
        <f>H149*1.069</f>
        <v>96.26879499999998</v>
      </c>
      <c r="L149" s="12"/>
      <c r="M149" s="12"/>
      <c r="N149" s="12"/>
    </row>
    <row r="150" spans="1:14" ht="13.5">
      <c r="A150" s="4" t="s">
        <v>120</v>
      </c>
      <c r="B150" s="18"/>
      <c r="C150" s="14">
        <v>155.93</v>
      </c>
      <c r="D150" s="14"/>
      <c r="E150" s="14">
        <v>155.93</v>
      </c>
      <c r="F150" s="14">
        <f>H150</f>
        <v>169.18405</v>
      </c>
      <c r="G150" s="14"/>
      <c r="H150" s="14">
        <f>E150*1.085</f>
        <v>169.18405</v>
      </c>
      <c r="I150" s="14">
        <f>K150</f>
        <v>180.85774945</v>
      </c>
      <c r="J150" s="14"/>
      <c r="K150" s="14">
        <f>H150*1.069</f>
        <v>180.85774945</v>
      </c>
      <c r="L150" s="12"/>
      <c r="M150" s="12"/>
      <c r="N150" s="12"/>
    </row>
    <row r="151" spans="1:14" ht="13.5">
      <c r="A151" s="4" t="s">
        <v>121</v>
      </c>
      <c r="B151" s="18"/>
      <c r="C151" s="14">
        <v>82.99</v>
      </c>
      <c r="D151" s="14"/>
      <c r="E151" s="14">
        <v>82.99</v>
      </c>
      <c r="F151" s="14">
        <f>H151</f>
        <v>90.04414999999999</v>
      </c>
      <c r="G151" s="14"/>
      <c r="H151" s="14">
        <f>E151*1.085</f>
        <v>90.04414999999999</v>
      </c>
      <c r="I151" s="14">
        <f>K151</f>
        <v>96.25719634999999</v>
      </c>
      <c r="J151" s="14"/>
      <c r="K151" s="14">
        <f>H151*1.069</f>
        <v>96.25719634999999</v>
      </c>
      <c r="L151" s="12"/>
      <c r="M151" s="12"/>
      <c r="N151" s="12"/>
    </row>
    <row r="152" spans="1:14" ht="12.75">
      <c r="A152" s="9" t="s">
        <v>13</v>
      </c>
      <c r="B152" s="17"/>
      <c r="C152" s="14"/>
      <c r="D152" s="14"/>
      <c r="E152" s="14"/>
      <c r="F152" s="14"/>
      <c r="G152" s="14"/>
      <c r="H152" s="14"/>
      <c r="I152" s="14"/>
      <c r="J152" s="14"/>
      <c r="K152" s="14"/>
      <c r="L152" s="12"/>
      <c r="M152" s="12"/>
      <c r="N152" s="12"/>
    </row>
    <row r="153" spans="1:14" ht="12.75">
      <c r="A153" s="4" t="s">
        <v>47</v>
      </c>
      <c r="B153" s="18"/>
      <c r="C153" s="10">
        <v>100</v>
      </c>
      <c r="D153" s="10"/>
      <c r="E153" s="10">
        <v>100</v>
      </c>
      <c r="F153" s="10">
        <v>100</v>
      </c>
      <c r="G153" s="10"/>
      <c r="H153" s="10">
        <v>100</v>
      </c>
      <c r="I153" s="10">
        <v>100</v>
      </c>
      <c r="J153" s="10"/>
      <c r="K153" s="10">
        <v>100</v>
      </c>
      <c r="L153" s="12"/>
      <c r="M153" s="12"/>
      <c r="N153" s="12"/>
    </row>
    <row r="154" spans="1:14" ht="15.75" customHeight="1">
      <c r="A154" s="4" t="s">
        <v>51</v>
      </c>
      <c r="B154" s="18"/>
      <c r="C154" s="10">
        <v>5</v>
      </c>
      <c r="D154" s="10"/>
      <c r="E154" s="10">
        <v>5</v>
      </c>
      <c r="F154" s="10">
        <v>5</v>
      </c>
      <c r="G154" s="10"/>
      <c r="H154" s="10">
        <v>5</v>
      </c>
      <c r="I154" s="10">
        <v>5</v>
      </c>
      <c r="J154" s="10"/>
      <c r="K154" s="10">
        <v>5</v>
      </c>
      <c r="L154" s="12"/>
      <c r="M154" s="12"/>
      <c r="N154" s="12"/>
    </row>
    <row r="155" spans="1:14" ht="12.75">
      <c r="A155" s="4"/>
      <c r="B155" s="18"/>
      <c r="C155" s="14"/>
      <c r="D155" s="14"/>
      <c r="E155" s="14"/>
      <c r="F155" s="14"/>
      <c r="G155" s="14"/>
      <c r="H155" s="14"/>
      <c r="I155" s="14"/>
      <c r="J155" s="14"/>
      <c r="K155" s="14"/>
      <c r="L155" s="12"/>
      <c r="M155" s="12"/>
      <c r="N155" s="12"/>
    </row>
    <row r="156" spans="1:14" ht="12.75">
      <c r="A156" s="9" t="s">
        <v>91</v>
      </c>
      <c r="B156" s="17"/>
      <c r="C156" s="8">
        <f>D156+E156</f>
        <v>2500000</v>
      </c>
      <c r="D156" s="8"/>
      <c r="E156" s="8">
        <v>2500000</v>
      </c>
      <c r="F156" s="8">
        <f>G156+H156</f>
        <v>2712500</v>
      </c>
      <c r="G156" s="8"/>
      <c r="H156" s="8">
        <f>E156*1.085</f>
        <v>2712500</v>
      </c>
      <c r="I156" s="8">
        <f>J156+K156</f>
        <v>2899662.5</v>
      </c>
      <c r="J156" s="8"/>
      <c r="K156" s="8">
        <f>H156*1.069</f>
        <v>2899662.5</v>
      </c>
      <c r="L156" s="12"/>
      <c r="M156" s="12"/>
      <c r="N156" s="12"/>
    </row>
    <row r="157" spans="1:14" ht="12.75">
      <c r="A157" s="9" t="s">
        <v>9</v>
      </c>
      <c r="B157" s="17"/>
      <c r="C157" s="14"/>
      <c r="D157" s="14"/>
      <c r="E157" s="14"/>
      <c r="F157" s="14"/>
      <c r="G157" s="14"/>
      <c r="H157" s="14"/>
      <c r="I157" s="14"/>
      <c r="J157" s="14"/>
      <c r="K157" s="14"/>
      <c r="L157" s="12"/>
      <c r="M157" s="12"/>
      <c r="N157" s="12"/>
    </row>
    <row r="158" spans="1:14" ht="13.5">
      <c r="A158" s="4" t="s">
        <v>107</v>
      </c>
      <c r="B158" s="18"/>
      <c r="C158" s="14">
        <f>2500/2.2</f>
        <v>1136.3636363636363</v>
      </c>
      <c r="D158" s="14"/>
      <c r="E158" s="14">
        <f>E156/2.2/1000</f>
        <v>1136.3636363636363</v>
      </c>
      <c r="F158" s="14">
        <f>C158</f>
        <v>1136.3636363636363</v>
      </c>
      <c r="G158" s="14"/>
      <c r="H158" s="14">
        <f>E158</f>
        <v>1136.3636363636363</v>
      </c>
      <c r="I158" s="14">
        <f>F158</f>
        <v>1136.3636363636363</v>
      </c>
      <c r="J158" s="14"/>
      <c r="K158" s="14">
        <f>I158</f>
        <v>1136.3636363636363</v>
      </c>
      <c r="L158" s="12"/>
      <c r="M158" s="12"/>
      <c r="N158" s="12"/>
    </row>
    <row r="159" spans="1:14" ht="12.75">
      <c r="A159" s="9" t="s">
        <v>10</v>
      </c>
      <c r="B159" s="17"/>
      <c r="C159" s="14"/>
      <c r="D159" s="14"/>
      <c r="E159" s="14"/>
      <c r="F159" s="14"/>
      <c r="G159" s="14"/>
      <c r="H159" s="14"/>
      <c r="I159" s="14"/>
      <c r="J159" s="14"/>
      <c r="K159" s="14"/>
      <c r="L159" s="12"/>
      <c r="M159" s="12"/>
      <c r="N159" s="12"/>
    </row>
    <row r="160" spans="1:14" ht="13.5">
      <c r="A160" s="4" t="s">
        <v>31</v>
      </c>
      <c r="B160" s="18"/>
      <c r="C160" s="14">
        <f>C158</f>
        <v>1136.3636363636363</v>
      </c>
      <c r="D160" s="14"/>
      <c r="E160" s="14">
        <f aca="true" t="shared" si="9" ref="E160:K160">E158</f>
        <v>1136.3636363636363</v>
      </c>
      <c r="F160" s="14">
        <f t="shared" si="9"/>
        <v>1136.3636363636363</v>
      </c>
      <c r="G160" s="14"/>
      <c r="H160" s="14">
        <f t="shared" si="9"/>
        <v>1136.3636363636363</v>
      </c>
      <c r="I160" s="14">
        <f t="shared" si="9"/>
        <v>1136.3636363636363</v>
      </c>
      <c r="J160" s="14"/>
      <c r="K160" s="14">
        <f t="shared" si="9"/>
        <v>1136.3636363636363</v>
      </c>
      <c r="L160" s="12"/>
      <c r="M160" s="12"/>
      <c r="N160" s="12"/>
    </row>
    <row r="161" spans="1:14" ht="12.75">
      <c r="A161" s="9" t="s">
        <v>12</v>
      </c>
      <c r="B161" s="17"/>
      <c r="C161" s="14"/>
      <c r="D161" s="14"/>
      <c r="E161" s="14"/>
      <c r="F161" s="14"/>
      <c r="G161" s="14"/>
      <c r="H161" s="14"/>
      <c r="I161" s="14"/>
      <c r="J161" s="14"/>
      <c r="K161" s="14"/>
      <c r="L161" s="12"/>
      <c r="M161" s="12"/>
      <c r="N161" s="12"/>
    </row>
    <row r="162" spans="1:14" ht="13.5">
      <c r="A162" s="4" t="s">
        <v>92</v>
      </c>
      <c r="B162" s="18"/>
      <c r="C162" s="14">
        <v>2.2</v>
      </c>
      <c r="D162" s="14"/>
      <c r="E162" s="14">
        <v>2.2</v>
      </c>
      <c r="F162" s="14">
        <f>H162</f>
        <v>2.3</v>
      </c>
      <c r="G162" s="14"/>
      <c r="H162" s="14">
        <v>2.3</v>
      </c>
      <c r="I162" s="14">
        <f>K162</f>
        <v>2.55</v>
      </c>
      <c r="J162" s="14"/>
      <c r="K162" s="14">
        <v>2.55</v>
      </c>
      <c r="L162" s="12"/>
      <c r="M162" s="12"/>
      <c r="N162" s="12"/>
    </row>
    <row r="163" spans="1:14" ht="12.75">
      <c r="A163" s="9" t="s">
        <v>13</v>
      </c>
      <c r="B163" s="17"/>
      <c r="C163" s="14"/>
      <c r="D163" s="14"/>
      <c r="E163" s="14"/>
      <c r="F163" s="14"/>
      <c r="G163" s="14"/>
      <c r="H163" s="14"/>
      <c r="I163" s="14"/>
      <c r="J163" s="14"/>
      <c r="K163" s="14"/>
      <c r="L163" s="12"/>
      <c r="M163" s="12"/>
      <c r="N163" s="12"/>
    </row>
    <row r="164" spans="1:14" ht="12.75">
      <c r="A164" s="4" t="s">
        <v>47</v>
      </c>
      <c r="B164" s="18"/>
      <c r="C164" s="10">
        <v>100</v>
      </c>
      <c r="D164" s="10"/>
      <c r="E164" s="10">
        <v>100</v>
      </c>
      <c r="F164" s="10">
        <v>100</v>
      </c>
      <c r="G164" s="10"/>
      <c r="H164" s="10">
        <v>100</v>
      </c>
      <c r="I164" s="10">
        <v>100</v>
      </c>
      <c r="J164" s="10"/>
      <c r="K164" s="10">
        <v>100</v>
      </c>
      <c r="L164" s="12"/>
      <c r="M164" s="12"/>
      <c r="N164" s="12"/>
    </row>
    <row r="165" spans="1:14" ht="14.25" customHeight="1">
      <c r="A165" s="4" t="s">
        <v>51</v>
      </c>
      <c r="B165" s="18"/>
      <c r="C165" s="10">
        <v>5</v>
      </c>
      <c r="D165" s="10"/>
      <c r="E165" s="10">
        <v>5</v>
      </c>
      <c r="F165" s="10">
        <v>5</v>
      </c>
      <c r="G165" s="10"/>
      <c r="H165" s="10">
        <v>5</v>
      </c>
      <c r="I165" s="10">
        <v>5</v>
      </c>
      <c r="J165" s="10"/>
      <c r="K165" s="10">
        <v>5</v>
      </c>
      <c r="L165" s="12"/>
      <c r="M165" s="12"/>
      <c r="N165" s="12"/>
    </row>
    <row r="166" spans="1:14" ht="12.75">
      <c r="A166" s="4"/>
      <c r="B166" s="18"/>
      <c r="C166" s="14"/>
      <c r="D166" s="14"/>
      <c r="E166" s="14"/>
      <c r="F166" s="14"/>
      <c r="G166" s="14"/>
      <c r="H166" s="14"/>
      <c r="I166" s="14"/>
      <c r="J166" s="14"/>
      <c r="K166" s="14"/>
      <c r="L166" s="12"/>
      <c r="M166" s="12"/>
      <c r="N166" s="12"/>
    </row>
    <row r="167" spans="1:14" ht="18.75" customHeight="1">
      <c r="A167" s="9" t="s">
        <v>35</v>
      </c>
      <c r="B167" s="17"/>
      <c r="C167" s="8">
        <f>D167+E167</f>
        <v>500000</v>
      </c>
      <c r="D167" s="8"/>
      <c r="E167" s="8">
        <v>500000</v>
      </c>
      <c r="F167" s="8">
        <f>G167+H167</f>
        <v>542500</v>
      </c>
      <c r="G167" s="8"/>
      <c r="H167" s="8">
        <f>E167*1.085</f>
        <v>542500</v>
      </c>
      <c r="I167" s="8">
        <f>J167+K167</f>
        <v>579932.5</v>
      </c>
      <c r="J167" s="8"/>
      <c r="K167" s="8">
        <f>H167*1.069</f>
        <v>579932.5</v>
      </c>
      <c r="L167" s="12"/>
      <c r="M167" s="12"/>
      <c r="N167" s="12"/>
    </row>
    <row r="168" spans="1:14" ht="12.75">
      <c r="A168" s="9" t="s">
        <v>9</v>
      </c>
      <c r="B168" s="17"/>
      <c r="C168" s="14"/>
      <c r="D168" s="14"/>
      <c r="E168" s="14"/>
      <c r="F168" s="14"/>
      <c r="G168" s="14"/>
      <c r="H168" s="14"/>
      <c r="I168" s="14"/>
      <c r="J168" s="14"/>
      <c r="K168" s="14"/>
      <c r="L168" s="12"/>
      <c r="M168" s="12"/>
      <c r="N168" s="12"/>
    </row>
    <row r="169" spans="1:14" ht="12.75" customHeight="1">
      <c r="A169" s="4" t="s">
        <v>50</v>
      </c>
      <c r="B169" s="18"/>
      <c r="C169" s="10">
        <v>20</v>
      </c>
      <c r="D169" s="10"/>
      <c r="E169" s="10">
        <v>20</v>
      </c>
      <c r="F169" s="10">
        <v>20</v>
      </c>
      <c r="G169" s="10"/>
      <c r="H169" s="10">
        <v>20</v>
      </c>
      <c r="I169" s="10">
        <v>20</v>
      </c>
      <c r="J169" s="10"/>
      <c r="K169" s="10">
        <v>20</v>
      </c>
      <c r="L169" s="12"/>
      <c r="M169" s="12"/>
      <c r="N169" s="12"/>
    </row>
    <row r="170" spans="1:14" ht="12.75" customHeight="1">
      <c r="A170" s="9" t="s">
        <v>10</v>
      </c>
      <c r="B170" s="18"/>
      <c r="C170" s="10"/>
      <c r="D170" s="10"/>
      <c r="E170" s="10"/>
      <c r="F170" s="10"/>
      <c r="G170" s="10"/>
      <c r="H170" s="10"/>
      <c r="I170" s="10"/>
      <c r="J170" s="10"/>
      <c r="K170" s="10"/>
      <c r="L170" s="12"/>
      <c r="M170" s="12"/>
      <c r="N170" s="12"/>
    </row>
    <row r="171" spans="1:14" ht="12.75">
      <c r="A171" s="4" t="s">
        <v>49</v>
      </c>
      <c r="B171" s="17"/>
      <c r="C171" s="10">
        <v>20</v>
      </c>
      <c r="D171" s="10"/>
      <c r="E171" s="10">
        <v>20</v>
      </c>
      <c r="F171" s="10">
        <v>20</v>
      </c>
      <c r="G171" s="10"/>
      <c r="H171" s="10">
        <v>20</v>
      </c>
      <c r="I171" s="10">
        <v>20</v>
      </c>
      <c r="J171" s="10"/>
      <c r="K171" s="10">
        <v>20</v>
      </c>
      <c r="L171" s="12"/>
      <c r="M171" s="12"/>
      <c r="N171" s="12"/>
    </row>
    <row r="172" spans="1:14" ht="12.75">
      <c r="A172" s="9" t="s">
        <v>12</v>
      </c>
      <c r="B172" s="17"/>
      <c r="C172" s="14"/>
      <c r="D172" s="14"/>
      <c r="E172" s="14"/>
      <c r="F172" s="14"/>
      <c r="G172" s="14"/>
      <c r="H172" s="14"/>
      <c r="I172" s="14"/>
      <c r="J172" s="14"/>
      <c r="K172" s="14"/>
      <c r="L172" s="12"/>
      <c r="M172" s="12"/>
      <c r="N172" s="12"/>
    </row>
    <row r="173" spans="1:14" ht="12.75">
      <c r="A173" s="4" t="s">
        <v>48</v>
      </c>
      <c r="B173" s="18"/>
      <c r="C173" s="14">
        <f>E173</f>
        <v>25000</v>
      </c>
      <c r="D173" s="14"/>
      <c r="E173" s="14">
        <f>E167/E169</f>
        <v>25000</v>
      </c>
      <c r="F173" s="14">
        <f>H173</f>
        <v>27125</v>
      </c>
      <c r="G173" s="14"/>
      <c r="H173" s="14">
        <f>H167/H169</f>
        <v>27125</v>
      </c>
      <c r="I173" s="14">
        <f>K173</f>
        <v>28996.625</v>
      </c>
      <c r="J173" s="14"/>
      <c r="K173" s="14">
        <f>K167/K169</f>
        <v>28996.625</v>
      </c>
      <c r="L173" s="12"/>
      <c r="M173" s="12"/>
      <c r="N173" s="12"/>
    </row>
    <row r="174" spans="1:14" ht="12.75">
      <c r="A174" s="9" t="s">
        <v>13</v>
      </c>
      <c r="B174" s="18"/>
      <c r="C174" s="14"/>
      <c r="D174" s="14"/>
      <c r="E174" s="14"/>
      <c r="F174" s="14"/>
      <c r="G174" s="14"/>
      <c r="H174" s="14"/>
      <c r="I174" s="14"/>
      <c r="J174" s="14"/>
      <c r="K174" s="14"/>
      <c r="L174" s="12"/>
      <c r="M174" s="12"/>
      <c r="N174" s="12"/>
    </row>
    <row r="175" spans="1:14" ht="12.75">
      <c r="A175" s="4" t="s">
        <v>93</v>
      </c>
      <c r="B175" s="18"/>
      <c r="C175" s="10">
        <v>100</v>
      </c>
      <c r="D175" s="10"/>
      <c r="E175" s="10">
        <v>100</v>
      </c>
      <c r="F175" s="10">
        <v>100</v>
      </c>
      <c r="G175" s="10"/>
      <c r="H175" s="10">
        <v>100</v>
      </c>
      <c r="I175" s="10">
        <v>100</v>
      </c>
      <c r="J175" s="10"/>
      <c r="K175" s="10">
        <v>100</v>
      </c>
      <c r="L175" s="12"/>
      <c r="M175" s="12"/>
      <c r="N175" s="12"/>
    </row>
    <row r="176" spans="1:14" ht="12.75">
      <c r="A176" s="4" t="s">
        <v>51</v>
      </c>
      <c r="B176" s="18"/>
      <c r="C176" s="10">
        <v>5</v>
      </c>
      <c r="D176" s="10"/>
      <c r="E176" s="10">
        <v>5</v>
      </c>
      <c r="F176" s="10">
        <v>5</v>
      </c>
      <c r="G176" s="10"/>
      <c r="H176" s="10">
        <v>5</v>
      </c>
      <c r="I176" s="10">
        <v>5</v>
      </c>
      <c r="J176" s="10"/>
      <c r="K176" s="10">
        <v>5</v>
      </c>
      <c r="L176" s="12"/>
      <c r="M176" s="12"/>
      <c r="N176" s="12"/>
    </row>
    <row r="177" spans="1:14" ht="12.75">
      <c r="A177" s="4"/>
      <c r="B177" s="18"/>
      <c r="C177" s="14"/>
      <c r="D177" s="14"/>
      <c r="E177" s="14"/>
      <c r="F177" s="14"/>
      <c r="G177" s="14"/>
      <c r="H177" s="14"/>
      <c r="I177" s="14"/>
      <c r="J177" s="14"/>
      <c r="K177" s="14"/>
      <c r="L177" s="12"/>
      <c r="M177" s="12"/>
      <c r="N177" s="12"/>
    </row>
    <row r="178" spans="1:14" ht="12.75">
      <c r="A178" s="9" t="s">
        <v>0</v>
      </c>
      <c r="B178" s="17"/>
      <c r="C178" s="8">
        <f>D178+E178</f>
        <v>500000</v>
      </c>
      <c r="D178" s="8"/>
      <c r="E178" s="8">
        <v>500000</v>
      </c>
      <c r="F178" s="8">
        <f>G178+H178</f>
        <v>542500</v>
      </c>
      <c r="G178" s="8"/>
      <c r="H178" s="8">
        <f>E178*1.085</f>
        <v>542500</v>
      </c>
      <c r="I178" s="8">
        <f>J178+K178</f>
        <v>579932.5</v>
      </c>
      <c r="J178" s="8"/>
      <c r="K178" s="8">
        <f>H178*1.069</f>
        <v>579932.5</v>
      </c>
      <c r="L178" s="12"/>
      <c r="M178" s="12"/>
      <c r="N178" s="12"/>
    </row>
    <row r="179" spans="1:14" ht="12.75">
      <c r="A179" s="11" t="s">
        <v>9</v>
      </c>
      <c r="B179" s="20"/>
      <c r="C179" s="14"/>
      <c r="D179" s="14"/>
      <c r="E179" s="14"/>
      <c r="F179" s="14"/>
      <c r="G179" s="14"/>
      <c r="H179" s="14"/>
      <c r="I179" s="14"/>
      <c r="J179" s="14"/>
      <c r="K179" s="14"/>
      <c r="L179" s="12"/>
      <c r="M179" s="12"/>
      <c r="N179" s="12"/>
    </row>
    <row r="180" spans="1:14" ht="12.75">
      <c r="A180" s="4" t="s">
        <v>18</v>
      </c>
      <c r="B180" s="18"/>
      <c r="C180" s="10">
        <f>E180</f>
        <v>4880</v>
      </c>
      <c r="D180" s="10"/>
      <c r="E180" s="10">
        <v>4880</v>
      </c>
      <c r="F180" s="10">
        <f>H180</f>
        <v>4880</v>
      </c>
      <c r="G180" s="10"/>
      <c r="H180" s="10">
        <v>4880</v>
      </c>
      <c r="I180" s="10">
        <f>K180</f>
        <v>4880</v>
      </c>
      <c r="J180" s="10"/>
      <c r="K180" s="10">
        <v>4880</v>
      </c>
      <c r="L180" s="12"/>
      <c r="M180" s="12"/>
      <c r="N180" s="12"/>
    </row>
    <row r="181" spans="1:14" ht="12.75">
      <c r="A181" s="11" t="s">
        <v>10</v>
      </c>
      <c r="B181" s="20"/>
      <c r="C181" s="10"/>
      <c r="D181" s="10"/>
      <c r="E181" s="10"/>
      <c r="F181" s="10"/>
      <c r="G181" s="10"/>
      <c r="H181" s="10"/>
      <c r="I181" s="10"/>
      <c r="J181" s="10"/>
      <c r="K181" s="10"/>
      <c r="L181" s="12"/>
      <c r="M181" s="12"/>
      <c r="N181" s="12"/>
    </row>
    <row r="182" spans="1:14" ht="12.75">
      <c r="A182" s="4" t="s">
        <v>28</v>
      </c>
      <c r="B182" s="18"/>
      <c r="C182" s="10">
        <v>4880</v>
      </c>
      <c r="D182" s="10"/>
      <c r="E182" s="10">
        <v>4800</v>
      </c>
      <c r="F182" s="10">
        <v>4880</v>
      </c>
      <c r="G182" s="10"/>
      <c r="H182" s="10">
        <v>4880</v>
      </c>
      <c r="I182" s="10">
        <v>4880</v>
      </c>
      <c r="J182" s="10"/>
      <c r="K182" s="10">
        <v>4880</v>
      </c>
      <c r="L182" s="12"/>
      <c r="M182" s="12"/>
      <c r="N182" s="12"/>
    </row>
    <row r="183" spans="1:14" ht="12.75">
      <c r="A183" s="11" t="s">
        <v>12</v>
      </c>
      <c r="B183" s="20"/>
      <c r="C183" s="14"/>
      <c r="D183" s="14"/>
      <c r="E183" s="14"/>
      <c r="F183" s="14"/>
      <c r="G183" s="14"/>
      <c r="H183" s="14"/>
      <c r="I183" s="14"/>
      <c r="J183" s="14"/>
      <c r="K183" s="14"/>
      <c r="L183" s="12"/>
      <c r="M183" s="12"/>
      <c r="N183" s="12"/>
    </row>
    <row r="184" spans="1:14" ht="12.75">
      <c r="A184" s="4" t="s">
        <v>29</v>
      </c>
      <c r="B184" s="18"/>
      <c r="C184" s="14">
        <f>E184</f>
        <v>102.45901639344262</v>
      </c>
      <c r="D184" s="14"/>
      <c r="E184" s="14">
        <f>E178/E180</f>
        <v>102.45901639344262</v>
      </c>
      <c r="F184" s="14">
        <f>H184</f>
        <v>111.16803278688525</v>
      </c>
      <c r="G184" s="14"/>
      <c r="H184" s="14">
        <f>H178/H180</f>
        <v>111.16803278688525</v>
      </c>
      <c r="I184" s="14">
        <f>K184</f>
        <v>118.83862704918033</v>
      </c>
      <c r="J184" s="14"/>
      <c r="K184" s="14">
        <f>K178/K180</f>
        <v>118.83862704918033</v>
      </c>
      <c r="L184" s="12"/>
      <c r="M184" s="12"/>
      <c r="N184" s="12"/>
    </row>
    <row r="185" spans="1:14" ht="12.75">
      <c r="A185" s="11" t="s">
        <v>13</v>
      </c>
      <c r="B185" s="20"/>
      <c r="C185" s="14"/>
      <c r="D185" s="14"/>
      <c r="E185" s="14"/>
      <c r="F185" s="14"/>
      <c r="G185" s="14"/>
      <c r="H185" s="14"/>
      <c r="I185" s="14"/>
      <c r="J185" s="14"/>
      <c r="K185" s="14"/>
      <c r="L185" s="12"/>
      <c r="M185" s="12"/>
      <c r="N185" s="12"/>
    </row>
    <row r="186" spans="1:14" ht="12.75">
      <c r="A186" s="4" t="s">
        <v>116</v>
      </c>
      <c r="B186" s="18"/>
      <c r="C186" s="10">
        <v>100</v>
      </c>
      <c r="D186" s="10"/>
      <c r="E186" s="10">
        <v>100</v>
      </c>
      <c r="F186" s="10">
        <v>100</v>
      </c>
      <c r="G186" s="10"/>
      <c r="H186" s="10">
        <v>100</v>
      </c>
      <c r="I186" s="10">
        <v>100</v>
      </c>
      <c r="J186" s="10"/>
      <c r="K186" s="10">
        <v>100</v>
      </c>
      <c r="L186" s="12"/>
      <c r="M186" s="12"/>
      <c r="N186" s="12"/>
    </row>
    <row r="187" spans="1:14" ht="12.75">
      <c r="A187" s="4" t="s">
        <v>51</v>
      </c>
      <c r="B187" s="18"/>
      <c r="C187" s="10">
        <v>5</v>
      </c>
      <c r="D187" s="10"/>
      <c r="E187" s="10">
        <v>5</v>
      </c>
      <c r="F187" s="10">
        <v>5</v>
      </c>
      <c r="G187" s="10"/>
      <c r="H187" s="10">
        <v>5</v>
      </c>
      <c r="I187" s="10">
        <v>5</v>
      </c>
      <c r="J187" s="10"/>
      <c r="K187" s="10">
        <v>5</v>
      </c>
      <c r="L187" s="12"/>
      <c r="M187" s="12"/>
      <c r="N187" s="12"/>
    </row>
    <row r="188" spans="1:14" ht="12.75">
      <c r="A188" s="4"/>
      <c r="B188" s="18"/>
      <c r="C188" s="14"/>
      <c r="D188" s="14"/>
      <c r="E188" s="14"/>
      <c r="F188" s="14"/>
      <c r="G188" s="14"/>
      <c r="H188" s="14"/>
      <c r="I188" s="14"/>
      <c r="J188" s="14"/>
      <c r="K188" s="14"/>
      <c r="L188" s="12"/>
      <c r="M188" s="12"/>
      <c r="N188" s="12"/>
    </row>
    <row r="189" spans="1:14" ht="12.75">
      <c r="A189" s="9" t="s">
        <v>69</v>
      </c>
      <c r="B189" s="18"/>
      <c r="C189" s="8">
        <f>D189+E189</f>
        <v>500000</v>
      </c>
      <c r="D189" s="8"/>
      <c r="E189" s="8">
        <v>500000</v>
      </c>
      <c r="F189" s="8">
        <f>G189+H189</f>
        <v>542500</v>
      </c>
      <c r="G189" s="8"/>
      <c r="H189" s="8">
        <f>E189*1.085</f>
        <v>542500</v>
      </c>
      <c r="I189" s="8">
        <f>J189+K189</f>
        <v>579932.5</v>
      </c>
      <c r="J189" s="8"/>
      <c r="K189" s="8">
        <f>H189*1.069</f>
        <v>579932.5</v>
      </c>
      <c r="L189" s="12"/>
      <c r="M189" s="12"/>
      <c r="N189" s="12"/>
    </row>
    <row r="190" spans="1:14" ht="12.75">
      <c r="A190" s="11" t="s">
        <v>9</v>
      </c>
      <c r="B190" s="18"/>
      <c r="C190" s="14"/>
      <c r="D190" s="14"/>
      <c r="E190" s="14"/>
      <c r="F190" s="14"/>
      <c r="G190" s="14"/>
      <c r="H190" s="14"/>
      <c r="I190" s="14"/>
      <c r="J190" s="14"/>
      <c r="K190" s="14"/>
      <c r="L190" s="12"/>
      <c r="M190" s="12"/>
      <c r="N190" s="12"/>
    </row>
    <row r="191" spans="1:14" ht="12.75">
      <c r="A191" s="4" t="s">
        <v>43</v>
      </c>
      <c r="B191" s="18"/>
      <c r="C191" s="10">
        <f>D191+E191</f>
        <v>6</v>
      </c>
      <c r="D191" s="10"/>
      <c r="E191" s="10">
        <v>6</v>
      </c>
      <c r="F191" s="10">
        <f>G191+H191</f>
        <v>6</v>
      </c>
      <c r="G191" s="10"/>
      <c r="H191" s="10">
        <v>6</v>
      </c>
      <c r="I191" s="10">
        <f>J191+K191</f>
        <v>6</v>
      </c>
      <c r="J191" s="10"/>
      <c r="K191" s="10">
        <v>6</v>
      </c>
      <c r="L191" s="12"/>
      <c r="M191" s="12"/>
      <c r="N191" s="12"/>
    </row>
    <row r="192" spans="1:14" ht="12.75">
      <c r="A192" s="11" t="s">
        <v>10</v>
      </c>
      <c r="B192" s="18"/>
      <c r="C192" s="10"/>
      <c r="D192" s="10"/>
      <c r="E192" s="10"/>
      <c r="F192" s="10"/>
      <c r="G192" s="10"/>
      <c r="H192" s="10"/>
      <c r="I192" s="10"/>
      <c r="J192" s="10"/>
      <c r="K192" s="10"/>
      <c r="L192" s="12"/>
      <c r="M192" s="12"/>
      <c r="N192" s="12"/>
    </row>
    <row r="193" spans="1:14" ht="12.75">
      <c r="A193" s="4" t="s">
        <v>44</v>
      </c>
      <c r="B193" s="18"/>
      <c r="C193" s="10">
        <v>6</v>
      </c>
      <c r="D193" s="10"/>
      <c r="E193" s="10">
        <v>6</v>
      </c>
      <c r="F193" s="10">
        <v>6</v>
      </c>
      <c r="G193" s="10"/>
      <c r="H193" s="10">
        <v>6</v>
      </c>
      <c r="I193" s="10">
        <v>6</v>
      </c>
      <c r="J193" s="10"/>
      <c r="K193" s="10">
        <v>6</v>
      </c>
      <c r="L193" s="12"/>
      <c r="M193" s="12"/>
      <c r="N193" s="12"/>
    </row>
    <row r="194" spans="1:14" ht="12.75">
      <c r="A194" s="11" t="s">
        <v>12</v>
      </c>
      <c r="B194" s="18"/>
      <c r="C194" s="14"/>
      <c r="D194" s="14"/>
      <c r="E194" s="14"/>
      <c r="F194" s="14"/>
      <c r="G194" s="14"/>
      <c r="H194" s="14"/>
      <c r="I194" s="14"/>
      <c r="J194" s="14"/>
      <c r="K194" s="14"/>
      <c r="L194" s="12"/>
      <c r="M194" s="12"/>
      <c r="N194" s="12"/>
    </row>
    <row r="195" spans="1:14" ht="12.75">
      <c r="A195" s="4" t="s">
        <v>94</v>
      </c>
      <c r="B195" s="18"/>
      <c r="C195" s="14">
        <f>E195</f>
        <v>83333.33333333333</v>
      </c>
      <c r="D195" s="14"/>
      <c r="E195" s="14">
        <f>E189/E191</f>
        <v>83333.33333333333</v>
      </c>
      <c r="F195" s="14">
        <f>H195</f>
        <v>90416.66666666667</v>
      </c>
      <c r="G195" s="14"/>
      <c r="H195" s="14">
        <f>H189/H193</f>
        <v>90416.66666666667</v>
      </c>
      <c r="I195" s="14">
        <f>K195</f>
        <v>96655.41666666667</v>
      </c>
      <c r="J195" s="14"/>
      <c r="K195" s="14">
        <f>K189/K193</f>
        <v>96655.41666666667</v>
      </c>
      <c r="L195" s="12"/>
      <c r="M195" s="12"/>
      <c r="N195" s="12"/>
    </row>
    <row r="196" spans="1:14" ht="12.75">
      <c r="A196" s="11" t="s">
        <v>13</v>
      </c>
      <c r="B196" s="18"/>
      <c r="C196" s="14"/>
      <c r="D196" s="14"/>
      <c r="E196" s="14"/>
      <c r="F196" s="14"/>
      <c r="G196" s="14"/>
      <c r="H196" s="14"/>
      <c r="I196" s="14"/>
      <c r="J196" s="14"/>
      <c r="K196" s="14"/>
      <c r="L196" s="12"/>
      <c r="M196" s="12"/>
      <c r="N196" s="12"/>
    </row>
    <row r="197" spans="1:14" ht="12.75">
      <c r="A197" s="4" t="s">
        <v>45</v>
      </c>
      <c r="B197" s="18"/>
      <c r="C197" s="10">
        <v>100</v>
      </c>
      <c r="D197" s="10"/>
      <c r="E197" s="10">
        <v>100</v>
      </c>
      <c r="F197" s="10">
        <v>100</v>
      </c>
      <c r="G197" s="10"/>
      <c r="H197" s="10">
        <v>100</v>
      </c>
      <c r="I197" s="10">
        <v>100</v>
      </c>
      <c r="J197" s="10"/>
      <c r="K197" s="10">
        <v>100</v>
      </c>
      <c r="L197" s="12"/>
      <c r="M197" s="12"/>
      <c r="N197" s="12"/>
    </row>
    <row r="198" spans="1:14" ht="12.75">
      <c r="A198" s="4"/>
      <c r="B198" s="18"/>
      <c r="C198" s="14"/>
      <c r="D198" s="14"/>
      <c r="E198" s="14"/>
      <c r="F198" s="14"/>
      <c r="G198" s="14"/>
      <c r="H198" s="14"/>
      <c r="I198" s="14"/>
      <c r="J198" s="14"/>
      <c r="K198" s="14"/>
      <c r="L198" s="12"/>
      <c r="M198" s="12"/>
      <c r="N198" s="12"/>
    </row>
    <row r="199" spans="1:11" ht="12.75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 ht="12.75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">
      <c r="A202" s="51" t="s">
        <v>68</v>
      </c>
      <c r="B202" s="51"/>
      <c r="C202" s="51"/>
      <c r="D202" s="51"/>
      <c r="E202" s="51"/>
      <c r="F202" s="51"/>
      <c r="G202" s="51"/>
      <c r="H202" s="51"/>
      <c r="I202" s="51"/>
      <c r="J202" s="51"/>
      <c r="K202" s="5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</sheetData>
  <mergeCells count="382">
    <mergeCell ref="A202:K202"/>
    <mergeCell ref="I1:K1"/>
    <mergeCell ref="I2:K2"/>
    <mergeCell ref="A7:A9"/>
    <mergeCell ref="C8:C9"/>
    <mergeCell ref="B7:B9"/>
    <mergeCell ref="A4:K4"/>
    <mergeCell ref="A5:K5"/>
    <mergeCell ref="F7:H7"/>
    <mergeCell ref="E1:F1"/>
    <mergeCell ref="L7:N7"/>
    <mergeCell ref="L8:L9"/>
    <mergeCell ref="M8:N8"/>
    <mergeCell ref="D8:E8"/>
    <mergeCell ref="F8:F9"/>
    <mergeCell ref="G8:H8"/>
    <mergeCell ref="C7:E7"/>
    <mergeCell ref="I7:K7"/>
    <mergeCell ref="I8:I9"/>
    <mergeCell ref="J8:K8"/>
    <mergeCell ref="E2:F2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G1:IH1"/>
    <mergeCell ref="II1:IJ1"/>
    <mergeCell ref="IK1:IL1"/>
    <mergeCell ref="IM1:IN1"/>
    <mergeCell ref="IO1:IP1"/>
    <mergeCell ref="IQ1:IR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FY2:FZ2"/>
    <mergeCell ref="GA2:GB2"/>
    <mergeCell ref="GC2:GD2"/>
    <mergeCell ref="GE2:GF2"/>
    <mergeCell ref="GG2:GH2"/>
    <mergeCell ref="GI2:GJ2"/>
    <mergeCell ref="GK2:GL2"/>
    <mergeCell ref="GM2:GN2"/>
    <mergeCell ref="GO2:GP2"/>
    <mergeCell ref="GQ2:GR2"/>
    <mergeCell ref="GS2:GT2"/>
    <mergeCell ref="GU2:GV2"/>
    <mergeCell ref="GW2:GX2"/>
    <mergeCell ref="GY2:GZ2"/>
    <mergeCell ref="HA2:HB2"/>
    <mergeCell ref="HC2:HD2"/>
    <mergeCell ref="HE2:HF2"/>
    <mergeCell ref="HG2:HH2"/>
    <mergeCell ref="HI2:HJ2"/>
    <mergeCell ref="HK2:HL2"/>
    <mergeCell ref="HM2:HN2"/>
    <mergeCell ref="HO2:HP2"/>
    <mergeCell ref="HQ2:HR2"/>
    <mergeCell ref="HS2:HT2"/>
    <mergeCell ref="HU2:HV2"/>
    <mergeCell ref="HW2:HX2"/>
    <mergeCell ref="HY2:HZ2"/>
    <mergeCell ref="IA2:IB2"/>
    <mergeCell ref="IC2:ID2"/>
    <mergeCell ref="IE2:IF2"/>
    <mergeCell ref="IG2:IH2"/>
    <mergeCell ref="II2:IJ2"/>
    <mergeCell ref="IK2:IL2"/>
    <mergeCell ref="IM2:IN2"/>
    <mergeCell ref="IO2:IP2"/>
    <mergeCell ref="IQ2:IR2"/>
    <mergeCell ref="H3:I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GU3:GV3"/>
    <mergeCell ref="GW3:GX3"/>
    <mergeCell ref="GY3:GZ3"/>
    <mergeCell ref="HA3:HB3"/>
    <mergeCell ref="HC3:HD3"/>
    <mergeCell ref="HE3:HF3"/>
    <mergeCell ref="HG3:HH3"/>
    <mergeCell ref="HI3:HJ3"/>
    <mergeCell ref="HK3:HL3"/>
    <mergeCell ref="HM3:HN3"/>
    <mergeCell ref="HO3:HP3"/>
    <mergeCell ref="HQ3:HR3"/>
    <mergeCell ref="HS3:HT3"/>
    <mergeCell ref="HU3:HV3"/>
    <mergeCell ref="HW3:HX3"/>
    <mergeCell ref="HY3:HZ3"/>
    <mergeCell ref="IA3:IB3"/>
    <mergeCell ref="IC3:ID3"/>
    <mergeCell ref="IM3:IN3"/>
    <mergeCell ref="IO3:IP3"/>
    <mergeCell ref="IQ3:IR3"/>
    <mergeCell ref="IE3:IF3"/>
    <mergeCell ref="IG3:IH3"/>
    <mergeCell ref="II3:IJ3"/>
    <mergeCell ref="IK3:IL3"/>
  </mergeCell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ЛИДА</cp:lastModifiedBy>
  <cp:lastPrinted>2007-04-26T08:04:06Z</cp:lastPrinted>
  <dcterms:created xsi:type="dcterms:W3CDTF">2006-10-17T09:18:33Z</dcterms:created>
  <dcterms:modified xsi:type="dcterms:W3CDTF">2007-05-22T12:02:17Z</dcterms:modified>
  <cp:category/>
  <cp:version/>
  <cp:contentType/>
  <cp:contentStatus/>
</cp:coreProperties>
</file>