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Додаток 3" sheetId="1" r:id="rId1"/>
    <sheet name="Лист1" sheetId="2" r:id="rId2"/>
  </sheets>
  <definedNames>
    <definedName name="_xlnm.Print_Titles" localSheetId="0">'Додаток 3'!$10:$10</definedName>
    <definedName name="_xlnm.Print_Area" localSheetId="0">'Додаток 3'!$A$1:$G$126</definedName>
  </definedNames>
  <calcPr fullCalcOnLoad="1"/>
</workbook>
</file>

<file path=xl/sharedStrings.xml><?xml version="1.0" encoding="utf-8"?>
<sst xmlns="http://schemas.openxmlformats.org/spreadsheetml/2006/main" count="308" uniqueCount="140">
  <si>
    <t>Додаток 3</t>
  </si>
  <si>
    <t>до Програми соціально-економічного і культурного розвитку м. Запоріжжя на 2007 рік</t>
  </si>
  <si>
    <t xml:space="preserve">Перелік об'єктів, видатки на які у 2007 році </t>
  </si>
  <si>
    <t xml:space="preserve">планується проводити за рахунок коштів бюджету розвитку </t>
  </si>
  <si>
    <t>грн.</t>
  </si>
  <si>
    <t>КВК</t>
  </si>
  <si>
    <t>Назва головного розпорядника коштів</t>
  </si>
  <si>
    <t>Назва об'єктів відповідно до проектно-кошторисної документації, тощо</t>
  </si>
  <si>
    <t>Загальний обсяг фінансування будівництва (інших капітальних видатків)</t>
  </si>
  <si>
    <t>Відсоток завершеності будівництва об'єктів на майбутні роки</t>
  </si>
  <si>
    <t>Всього видатків на завершення будівництва, освоєння об'єктів на майбутні роки</t>
  </si>
  <si>
    <t>КТКВ</t>
  </si>
  <si>
    <t>Погашення основної суми боргу за запозичення у формі V випуску облігацій внутрішньої місцевої позики</t>
  </si>
  <si>
    <t>230</t>
  </si>
  <si>
    <t>Головне економічне управління міської ради</t>
  </si>
  <si>
    <t>150101</t>
  </si>
  <si>
    <t>Капітальні вкладення</t>
  </si>
  <si>
    <t xml:space="preserve">Будівництво автотранспортної магістралі через річку Дніпро у м.Запоріжжя </t>
  </si>
  <si>
    <t>в тому числі за рахунок</t>
  </si>
  <si>
    <t>субвенції з державного бюджету</t>
  </si>
  <si>
    <t>коштів бюджету міста</t>
  </si>
  <si>
    <t xml:space="preserve">Реконструкція стадіону по вул. Валерія Лобановського </t>
  </si>
  <si>
    <t>Реконструкція будівлі по площі Пушкіна,2 (проектні та будівельні роботи)</t>
  </si>
  <si>
    <t>Реконструкція та розширення центральних очисних споруд каналізації Правобережної частини м.Запоріжжя. 1 етап. Реконструкція споруд по обробці осаду центральних очисних споруд № 2 (ЦОС-2) м.Запоріжжя</t>
  </si>
  <si>
    <t>Головний каналізаційний колектор Лівобережної частини м.Запоріжжя (проектні роботи)</t>
  </si>
  <si>
    <t>Реконструкція зливової каналізації на ділянці Набережної магістралі біля залізничного переїзду (проектні роботи)</t>
  </si>
  <si>
    <t>Реконструкція водогону Д-800мм в балці "Панська" у районі кладовища „Бугайова”, м. Запоріжжя</t>
  </si>
  <si>
    <t>Будівництво мережі  електрозабезпечення селища Мостозагін-7</t>
  </si>
  <si>
    <t>Реконструкція фасаду будівлі Ленінської районної адміністрації за адресою вул.Бородінська, 1-А</t>
  </si>
  <si>
    <t>Будівництво 2-х житлових будинків у сел. Павло-Кічкас, м. Запоріжжя (проектні роботи)</t>
  </si>
  <si>
    <t>Реконструкція центральної районної лікарні №1 м.Запоріжжя (Жовтневий район)</t>
  </si>
  <si>
    <t xml:space="preserve">Капітальні вкладення 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</si>
  <si>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</si>
  <si>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</si>
  <si>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 xml:space="preserve">Котельня по вул. Хакаська, 4, м.Запоріжжя - реконструкція вузла гарячого водопостачання із заміною баків-акумуляторів  </t>
  </si>
  <si>
    <t>Магістральна теплова мережа по вул. Артема, м.Запоріжжя - реконструкція</t>
  </si>
  <si>
    <t xml:space="preserve">Магістральна теплова мережа по вул. Героїв Сталінграда, м.Запоріжжя - реконструкція </t>
  </si>
  <si>
    <t xml:space="preserve">Магістральна мережа теплопостачання по вул. Новокузнецькій житлового масиву Південний, м.Запоріжжя - реконструкція (другий пусковий комплекс) - співфінансування за рахунок коштів бюджету міста </t>
  </si>
  <si>
    <t xml:space="preserve">Теплова мережа від теплофікаційної камери №6 до №8 по Південному шосе, м.Запоріжжя - реконструкція з улаштуванням дренажної каналізації з теплофікаційної камери №7 - співфінансування за рахунок коштів бюджету міста </t>
  </si>
  <si>
    <t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теплофікаційної камери №7 - співфінансування за рахунок коштів бюджету міста</t>
  </si>
  <si>
    <t>Теплова мережа для підключення житлового масиву Північний до магістральних мереж котельні по вул. Карпенко-Карого, 23, м.Запоріжжя - будівництво - співфінансування за рахунок коштів бюджету міста</t>
  </si>
  <si>
    <t>150122</t>
  </si>
  <si>
    <t>Інвестиційні проекти</t>
  </si>
  <si>
    <t>Системи теплопостачання Орджонікідзевського, Жовтневого  районів, м. Запоріжжя - реконструкція теплових мереж по вул. Гагаріна, Яценка, Героїв Сталінграду (перший пусковий комплекс) - співфінансування за рахунок коштів бюджету міста</t>
  </si>
  <si>
    <t>Системи теплопостачання Орджонікідзевського, Жовтневого  районів м. Запоріжжя - реконструкція теплових мереж по вул. Гагаріна, Яценка, Героїв Сталінграда (другий пусковий комплекс)</t>
  </si>
  <si>
    <t>Котельні м.Запоріжжя - реконструкція фільтрів хімводоочищення із заміною обмінного матеріалу на високоефективний катіоніт - співфінансування за рахунок коштів бюджету міста</t>
  </si>
  <si>
    <t>Два 44-квартирних житлових будинків у с-щі Павло-Кічкас, м.Запоріжжя - будівництво</t>
  </si>
  <si>
    <t>Газифікація м.Запоріжжя Всього</t>
  </si>
  <si>
    <t>в тому числі</t>
  </si>
  <si>
    <t>Газифікація сел. Грабарі</t>
  </si>
  <si>
    <t xml:space="preserve">Газифікація сел. Скворцово </t>
  </si>
  <si>
    <t>Газифікація с/з "Дніпровський"</t>
  </si>
  <si>
    <t>Газифікація сел. Креміно</t>
  </si>
  <si>
    <t>Газифікація сел. Кринички (проектні та будівельні роботи)</t>
  </si>
  <si>
    <t>083</t>
  </si>
  <si>
    <t>Управління комунального господарства міської ради</t>
  </si>
  <si>
    <t xml:space="preserve">Реконструкція мереж зовнішнього освітлення згідно з Програмою "Світло - 2007-2009" </t>
  </si>
  <si>
    <t xml:space="preserve">Реконструкція пр. Леніна від вул. Кірова до залізничної станції „Запоріжжя-1” (проектні роботи та будівництво) </t>
  </si>
  <si>
    <t>Реконструкція території в районі пам'ятника Т.Г.Шевченко в Шевченківському районі (проектні та будівельні роботи)</t>
  </si>
  <si>
    <t>Реконструкція вул. Червоної (проектні та будівельні роботи)</t>
  </si>
  <si>
    <t>Реконструкція парку ім. Академіка В.Я.Клімова в Шевченківському районі (проектні та будівельні роботи)</t>
  </si>
  <si>
    <t>Будівництво 1 черги та введення в експлуатацію Кушугумського кладовища (проектні та будівельні роботи)</t>
  </si>
  <si>
    <t>Реконструкція автодорожнього переїзду по спорудах греблі ДніпроГЕС у м.Запоріжжя. Ліквідація аварійного стану</t>
  </si>
  <si>
    <t>Реконструкція вул. 8 Березня від вул. Іванова до трамвайного переїзду через залізницю (проектні та будівельні роботи)</t>
  </si>
  <si>
    <t>Будівництво крематорію в м.Запоріжжя (проектні роботи)</t>
  </si>
  <si>
    <t>006</t>
  </si>
  <si>
    <t>Виконавчий комітет міської ради</t>
  </si>
  <si>
    <t xml:space="preserve">Придбання квартир для працівників Запорізького учбово-виробничого підприємства сліпих та Запорізького виробничого підприємства "НЕОН" УТОГ </t>
  </si>
  <si>
    <t>150107</t>
  </si>
  <si>
    <t>Житлове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</si>
  <si>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080</t>
  </si>
  <si>
    <t>Управління житлового господарства міської ради</t>
  </si>
  <si>
    <t>Установка індивідуальних газових котлів в житлових будинках №92, 94 по вул. Українській в м.Запоріжжя</t>
  </si>
  <si>
    <t>Житловий будинок по вул. Радгоспній,32, м.Запоріжжя - реконструкція - співфінансування за рахунок коштів бюджету міста</t>
  </si>
  <si>
    <t>Житловий будинок по вул. Дослідна станція, 80, м.Запоріжжя - реконструкція  з улаштуванням водовідведення - співфінансування за рахунок коштів бюджету міста</t>
  </si>
  <si>
    <t>Житловий будинок по вул. Лікарняній, 13, м.Запоріжжя - реконструкція - співфінансування за рахунок коштів бюджету міста</t>
  </si>
  <si>
    <t>Житловий будинок по вул. Лікарняній, 11, м.Запоріжжя - реконструкція - співфінансування за рахунок коштів бюджету міста</t>
  </si>
  <si>
    <t>Житловий будинок по вул. Жовтневій, 13, м.Запоріжжя - реконструкція - співфінансування за рахунок коштів бюджету міста</t>
  </si>
  <si>
    <t>Житловий будинок по вул. 8 Березня, 54, м.Запоріжжя - реконструкція - співфінансування за рахунок коштів бюджету міста</t>
  </si>
  <si>
    <t>Житловий будинок по вул. 8 Березня, 58, м.Запоріжжя - реконструкція - співфінансування за рахунок коштів бюджету міста</t>
  </si>
  <si>
    <t>Житловий будинок по вул. Авраменко, 14, м.Запоріжжя - реконструкція - співфінансування за рахунок коштів бюджету міста</t>
  </si>
  <si>
    <t>Житловий будинок по вул. Гудименко, 16а, м.Запоріжжя - реконструкція - співфінансування за рахунок коштів бюджету міста</t>
  </si>
  <si>
    <t>Житловий будинок по бул. Будівельників, 21, м.Запоріжжя - реконструкція - співфінансування за рахунок коштів бюджету міста</t>
  </si>
  <si>
    <t>Житловий будинок по вул. Республіканська, 90, м.Запоріжжя - реконструкція - співфінансування за рахунок коштів бюджету міста</t>
  </si>
  <si>
    <t>Житловий будинок по вул. Ніжинській, 74, м.Запоріжжя - реконструкція - співфінансування за рахунок коштів бюджету міста</t>
  </si>
  <si>
    <t>160</t>
  </si>
  <si>
    <t>Управління транспорту та зв'язку міської ради</t>
  </si>
  <si>
    <t>180409</t>
  </si>
  <si>
    <t>Внески органів місцевого самоврядування у статутні фонди суб'єктів підприємницької діяльності</t>
  </si>
  <si>
    <t>Придбання вагонів для комунального електротранспорту (тролейбусів і трамваїв) - за рахунок коштів бюджету міста</t>
  </si>
  <si>
    <t xml:space="preserve"> - придбання автобусів</t>
  </si>
  <si>
    <t>020</t>
  </si>
  <si>
    <t>Управління освіти і науки міської ради</t>
  </si>
  <si>
    <t>Реконструкція будівлі під дитячо-юнацьку спортивну школу по вул.Фундаментальна,9</t>
  </si>
  <si>
    <t>Реконструкція будівлі Міського Палацу дитячої та юнацької творчості по пл. Леніна,1</t>
  </si>
  <si>
    <t>Реконструкція Запорізької гімназії № 46 Запорізької міської ради Запорізької області (проектні та будівельні роботи)</t>
  </si>
  <si>
    <t>Реконструкція внутрішньої опалювальної системи в навчальному комплексі "Запорізька Січ", о. Хортиця з підключенням до існуючої теплової мережі</t>
  </si>
  <si>
    <t>Реконструкція малого спортивного залу загальноосвітньої школи №32 по вул. 14 Жовтня, 13 м.Запоріжжя</t>
  </si>
  <si>
    <t>Реконструкція навчально-виховного комплексу №110 Запорізької міської ради Запорізької області</t>
  </si>
  <si>
    <t>030</t>
  </si>
  <si>
    <t>Управління охорони здоров’я міської ради</t>
  </si>
  <si>
    <t>Реконструкція комунальної установи "Запорізька міська багатопрофільна дитяча лікарня № 5"</t>
  </si>
  <si>
    <t>Реконструкція комунальної установи "Запорізька міська багатопрофільна клінічна лікарня № 9" (проектні роботи)</t>
  </si>
  <si>
    <t xml:space="preserve">Міська багатопрофільна клінічна лікарня №9, м.Запоріжжя  - реконструкція терапевтичного корпусу та аптеки із заміною обладнання </t>
  </si>
  <si>
    <t xml:space="preserve">Реконструкція комунальної установи "Міська клінічна лікарня екстреної  та швидкої медичної  допомоги, м.Запоріжжя" </t>
  </si>
  <si>
    <t>110</t>
  </si>
  <si>
    <t>Управління культури міської ради</t>
  </si>
  <si>
    <t>Реконструкція будівлі комунального підприємства Палац культури "Орбіта"</t>
  </si>
  <si>
    <t>Всього</t>
  </si>
  <si>
    <t>Секретар ради</t>
  </si>
  <si>
    <t>Розроблення проектно-кошторисної документації та будівництво тротуару по вул. Новокузнецькій, 36а</t>
  </si>
  <si>
    <t xml:space="preserve">Пропонуємі видатки на поточний рік </t>
  </si>
  <si>
    <t>Ю.В. Каптюх</t>
  </si>
  <si>
    <t>Реконструкція, переобладнання та перепланування гуртожитків, які є об"єктами комунальної власності міста Запоріжжя</t>
  </si>
  <si>
    <r>
      <t>Магістральна мережа теплопостачання по вул. Новокузнецькій житлового масиву Південний, м.Запоріжжя - реконструкція (другий пусковий комплекс) -</t>
    </r>
    <r>
      <rPr>
        <b/>
        <sz val="14"/>
        <rFont val="Times New Roman"/>
        <family val="1"/>
      </rPr>
      <t xml:space="preserve"> субвенція з державного бюджету</t>
    </r>
  </si>
  <si>
    <r>
      <t xml:space="preserve">Теплова мережа від теплофікаційної камери №6 до №8 по Південному шосе, м.Запоріжжя - реконструкція з улаштуванням дренажної каналізації з теплофікаційної камери №7 -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</si>
  <si>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теплофікаційної камери №7 -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</si>
  <si>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Теплова мережа для підключення житлового масиву Північний до магістральних мереж котельні по вул. Карпенко-Карого, 23, м.Запоріжжя - будівництво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</si>
  <si>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Системи теплопостачання Орджонікідзевського, Жовтневого  районів, м. Запоріжжя - реконструкція теплових мереж по вул. Гагаріна, Яценка, Героїв Сталінграду (перший пусковий комплекс)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</si>
  <si>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Котельні м.Запоріжжя - реконструкція фільтрів хімводоочищення із заміною обмінного матеріалу на високоефективний катіоніт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</si>
  <si>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Два 44-квартирних житлових будинків у с-щі Павло-Кічкас, м.Запоріжжя - будівництво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</si>
  <si>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Житлове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 - </t>
    </r>
    <r>
      <rPr>
        <b/>
        <sz val="14"/>
        <rFont val="Times New Roman"/>
        <family val="1"/>
      </rPr>
      <t>за рахунок коштів субвенції з державного бюджету</t>
    </r>
  </si>
  <si>
    <r>
      <t>Житловий будинок по вул. Радгоспній,32, м.Запоріжжя - реконструкція -</t>
    </r>
    <r>
      <rPr>
        <b/>
        <sz val="14"/>
        <rFont val="Times New Roman"/>
        <family val="1"/>
      </rPr>
      <t xml:space="preserve"> субвенція з державного бюджету</t>
    </r>
  </si>
  <si>
    <r>
      <t xml:space="preserve">Житловий будинок по вул. Дослідна станція, 80, м.Запоріжжя - реконструкція  з улаштуванням водовідведення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</si>
  <si>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Житловий будинок по вул. Лікарняній, 13, м.Запоріжжя - реконструкція - </t>
    </r>
    <r>
      <rPr>
        <b/>
        <sz val="14"/>
        <rFont val="Times New Roman"/>
        <family val="1"/>
      </rPr>
      <t>субвенція з державного бюджету</t>
    </r>
  </si>
  <si>
    <r>
      <t>Житловий будинок по вул. Лікарняній, 11, м.Запоріжжя - реконструкція -</t>
    </r>
    <r>
      <rPr>
        <b/>
        <sz val="14"/>
        <rFont val="Times New Roman"/>
        <family val="1"/>
      </rPr>
      <t xml:space="preserve"> субвенція з державного бюджету</t>
    </r>
  </si>
  <si>
    <r>
      <t xml:space="preserve">Житловий будинок по вул. Жовтневій, 13, м.Запоріжжя - реконструкція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</si>
  <si>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Житловий будинок по вул. 8 Березня, 54, м.Запоріжжя - реконструкція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</si>
  <si>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Житловий будинок по вул. 8 Березня, 58, м.Запоріжжя - реконструкція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</si>
  <si>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Житловий будинок по вул. Авраменко, 14, м.Запоріжжя - реконструкція - </t>
    </r>
    <r>
      <rPr>
        <b/>
        <sz val="14"/>
        <rFont val="Times New Roman"/>
        <family val="1"/>
      </rPr>
      <t>субвенція з державного бюджету</t>
    </r>
  </si>
  <si>
    <r>
      <t xml:space="preserve">Житловий будинок по вул. Гудименко, 16а, м.Запоріжжя - реконструкція </t>
    </r>
    <r>
      <rPr>
        <b/>
        <sz val="14"/>
        <rFont val="Times New Roman"/>
        <family val="1"/>
      </rPr>
      <t>- субвенція з державного бюджету</t>
    </r>
  </si>
  <si>
    <r>
      <t>Житловий будинок по бул. Будівельників, 21, м.Запоріжжя - реконструкція</t>
    </r>
    <r>
      <rPr>
        <b/>
        <sz val="14"/>
        <rFont val="Times New Roman"/>
        <family val="1"/>
      </rPr>
      <t xml:space="preserve"> - субвенція з державного бюджету</t>
    </r>
  </si>
  <si>
    <r>
      <t>Житловий будинок по вул. Республіканська, 90, м.Запоріжжя - реконструкція</t>
    </r>
    <r>
      <rPr>
        <b/>
        <sz val="14"/>
        <rFont val="Times New Roman"/>
        <family val="1"/>
      </rPr>
      <t xml:space="preserve"> - субвенція з державного бюджету</t>
    </r>
  </si>
  <si>
    <r>
      <t xml:space="preserve">Житловий будинок по вул. Ніжинській, 74, м.Запоріжжя - реконструкція </t>
    </r>
    <r>
      <rPr>
        <b/>
        <sz val="14"/>
        <rFont val="Times New Roman"/>
        <family val="1"/>
      </rPr>
      <t>- субвенція з державного бюджету</t>
    </r>
  </si>
  <si>
    <r>
      <t>Придбання вагонів для комунального електротранспорту (тролейбусів і трамваїв) -</t>
    </r>
    <r>
      <rPr>
        <b/>
        <sz val="14"/>
        <rFont val="Times New Roman"/>
        <family val="1"/>
      </rPr>
      <t xml:space="preserve"> субвенція з державного бюджету</t>
    </r>
  </si>
  <si>
    <t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теплофікаційної камери №7 - субвенція з обласного бюджету</t>
  </si>
  <si>
    <t xml:space="preserve">Розширення та реконструкція центральних каналізаційних очисних споруд Лівого берега (ЦОС-1) м. Запоріжжя </t>
  </si>
  <si>
    <t xml:space="preserve">  в тому числі:                                                                                                                        Перший пусковий комплекс (перша та друга технологічні лінії очищення стічних вод)</t>
  </si>
  <si>
    <t>співфінансування за рахунок коштів бюджету міста</t>
  </si>
  <si>
    <t>Другий пусковий комплекс (станція зневоднення осаду та хлораторна)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</si>
</sst>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73" fontId="2" fillId="0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" fontId="1" fillId="0" borderId="14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3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right" vertical="center" wrapText="1"/>
    </xf>
    <xf numFmtId="2" fontId="1" fillId="0" borderId="14" xfId="0" applyNumberFormat="1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horizontal="right" vertical="center" wrapText="1"/>
    </xf>
    <xf numFmtId="1" fontId="2" fillId="0" borderId="14" xfId="0" applyNumberFormat="1" applyFont="1" applyFill="1" applyBorder="1" applyAlignment="1">
      <alignment horizontal="right" vertical="center" wrapText="1"/>
    </xf>
    <xf numFmtId="1" fontId="2" fillId="0" borderId="16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" fontId="2" fillId="0" borderId="16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172" fontId="1" fillId="0" borderId="14" xfId="0" applyNumberFormat="1" applyFont="1" applyFill="1" applyBorder="1" applyAlignment="1">
      <alignment horizontal="right" vertical="center" wrapText="1"/>
    </xf>
    <xf numFmtId="1" fontId="1" fillId="0" borderId="16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1" fontId="1" fillId="0" borderId="15" xfId="0" applyNumberFormat="1" applyFont="1" applyFill="1" applyBorder="1" applyAlignment="1">
      <alignment horizontal="right" vertical="center" wrapText="1"/>
    </xf>
    <xf numFmtId="1" fontId="1" fillId="0" borderId="18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="75" zoomScaleNormal="75" zoomScaleSheetLayoutView="75" zoomScalePageLayoutView="0" workbookViewId="0" topLeftCell="A1">
      <selection activeCell="C70" sqref="C70"/>
    </sheetView>
  </sheetViews>
  <sheetFormatPr defaultColWidth="9.00390625" defaultRowHeight="12.75"/>
  <cols>
    <col min="1" max="1" width="9.75390625" style="18" customWidth="1"/>
    <col min="2" max="2" width="34.00390625" style="18" customWidth="1"/>
    <col min="3" max="3" width="84.375" style="18" customWidth="1"/>
    <col min="4" max="4" width="17.125" style="18" customWidth="1"/>
    <col min="5" max="5" width="14.25390625" style="18" customWidth="1"/>
    <col min="6" max="6" width="17.25390625" style="18" customWidth="1"/>
    <col min="7" max="7" width="15.625" style="18" customWidth="1"/>
    <col min="8" max="8" width="9.875" style="18" bestFit="1" customWidth="1"/>
    <col min="9" max="16384" width="9.125" style="18" customWidth="1"/>
  </cols>
  <sheetData>
    <row r="1" ht="18.75">
      <c r="E1" s="18" t="s">
        <v>0</v>
      </c>
    </row>
    <row r="2" spans="3:7" ht="54.75" customHeight="1">
      <c r="C2" s="17"/>
      <c r="E2" s="69" t="s">
        <v>1</v>
      </c>
      <c r="F2" s="70"/>
      <c r="G2" s="70"/>
    </row>
    <row r="3" spans="1:6" ht="18.75">
      <c r="A3" s="71" t="s">
        <v>2</v>
      </c>
      <c r="B3" s="71"/>
      <c r="C3" s="71"/>
      <c r="D3" s="71"/>
      <c r="E3" s="71"/>
      <c r="F3" s="71"/>
    </row>
    <row r="4" spans="1:6" ht="18.75">
      <c r="A4" s="71" t="s">
        <v>3</v>
      </c>
      <c r="B4" s="71"/>
      <c r="C4" s="71"/>
      <c r="D4" s="71"/>
      <c r="E4" s="71"/>
      <c r="F4" s="71"/>
    </row>
    <row r="5" spans="1:7" ht="19.5" thickBot="1">
      <c r="A5" s="20"/>
      <c r="B5" s="20"/>
      <c r="C5" s="20"/>
      <c r="D5" s="20"/>
      <c r="E5" s="20"/>
      <c r="F5" s="20"/>
      <c r="G5" s="18" t="s">
        <v>4</v>
      </c>
    </row>
    <row r="6" spans="1:6" ht="19.5" hidden="1" thickBot="1">
      <c r="A6" s="20"/>
      <c r="B6" s="20"/>
      <c r="C6" s="20"/>
      <c r="D6" s="20"/>
      <c r="E6" s="20"/>
      <c r="F6" s="20"/>
    </row>
    <row r="7" spans="1:6" ht="19.5" hidden="1" thickBot="1">
      <c r="A7" s="20"/>
      <c r="B7" s="20"/>
      <c r="C7" s="20"/>
      <c r="D7" s="20"/>
      <c r="E7" s="20"/>
      <c r="F7" s="20"/>
    </row>
    <row r="8" spans="1:7" ht="77.25" customHeight="1">
      <c r="A8" s="1" t="s">
        <v>5</v>
      </c>
      <c r="B8" s="6" t="s">
        <v>6</v>
      </c>
      <c r="C8" s="72" t="s">
        <v>7</v>
      </c>
      <c r="D8" s="74" t="s">
        <v>8</v>
      </c>
      <c r="E8" s="74" t="s">
        <v>9</v>
      </c>
      <c r="F8" s="74" t="s">
        <v>10</v>
      </c>
      <c r="G8" s="67" t="s">
        <v>111</v>
      </c>
    </row>
    <row r="9" spans="1:7" ht="36.75" customHeight="1">
      <c r="A9" s="15" t="s">
        <v>11</v>
      </c>
      <c r="B9" s="14" t="s">
        <v>11</v>
      </c>
      <c r="C9" s="73"/>
      <c r="D9" s="75"/>
      <c r="E9" s="75"/>
      <c r="F9" s="75"/>
      <c r="G9" s="68"/>
    </row>
    <row r="10" spans="1:7" ht="20.25" customHeight="1">
      <c r="A10" s="15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6">
        <v>7</v>
      </c>
    </row>
    <row r="11" spans="1:7" s="24" customFormat="1" ht="37.5">
      <c r="A11" s="3"/>
      <c r="B11" s="8"/>
      <c r="C11" s="8" t="s">
        <v>12</v>
      </c>
      <c r="D11" s="21">
        <v>75000000</v>
      </c>
      <c r="E11" s="22">
        <f>100-(F11/D11)*100</f>
        <v>33.33333333333334</v>
      </c>
      <c r="F11" s="21">
        <v>50000000</v>
      </c>
      <c r="G11" s="23">
        <v>25000000</v>
      </c>
    </row>
    <row r="12" spans="1:7" s="24" customFormat="1" ht="37.5">
      <c r="A12" s="3" t="s">
        <v>13</v>
      </c>
      <c r="B12" s="8" t="s">
        <v>14</v>
      </c>
      <c r="C12" s="25"/>
      <c r="D12" s="26">
        <f>SUM(D13:D51)-D44</f>
        <v>2308213228</v>
      </c>
      <c r="E12" s="27"/>
      <c r="F12" s="26">
        <f>SUM(F13:F51)-F44</f>
        <v>1544755840</v>
      </c>
      <c r="G12" s="28">
        <f>SUM(G14:G51)-G44-G45</f>
        <v>293512091</v>
      </c>
    </row>
    <row r="13" spans="1:7" s="24" customFormat="1" ht="40.5" customHeight="1">
      <c r="A13" s="60" t="s">
        <v>15</v>
      </c>
      <c r="B13" s="57" t="s">
        <v>16</v>
      </c>
      <c r="C13" s="12" t="s">
        <v>17</v>
      </c>
      <c r="D13" s="29">
        <v>1903612550</v>
      </c>
      <c r="E13" s="22">
        <f>100-(F13/D13)*100</f>
        <v>26.723956983788526</v>
      </c>
      <c r="F13" s="29">
        <f>D13-G13-253880884-3839715</f>
        <v>1394891951</v>
      </c>
      <c r="G13" s="30">
        <f>SUM(G15:G16)</f>
        <v>251000000</v>
      </c>
    </row>
    <row r="14" spans="1:7" s="24" customFormat="1" ht="19.5" customHeight="1">
      <c r="A14" s="61"/>
      <c r="B14" s="58"/>
      <c r="C14" s="12" t="s">
        <v>18</v>
      </c>
      <c r="D14" s="29"/>
      <c r="E14" s="31"/>
      <c r="F14" s="29"/>
      <c r="G14" s="30"/>
    </row>
    <row r="15" spans="1:7" s="24" customFormat="1" ht="20.25" customHeight="1">
      <c r="A15" s="61"/>
      <c r="B15" s="58"/>
      <c r="C15" s="25" t="s">
        <v>19</v>
      </c>
      <c r="D15" s="29"/>
      <c r="E15" s="22"/>
      <c r="F15" s="29"/>
      <c r="G15" s="30">
        <v>250000000</v>
      </c>
    </row>
    <row r="16" spans="1:7" s="24" customFormat="1" ht="20.25" customHeight="1">
      <c r="A16" s="62"/>
      <c r="B16" s="59"/>
      <c r="C16" s="12" t="s">
        <v>20</v>
      </c>
      <c r="D16" s="29"/>
      <c r="E16" s="22"/>
      <c r="F16" s="29"/>
      <c r="G16" s="30">
        <v>1000000</v>
      </c>
    </row>
    <row r="17" spans="1:7" ht="24.75" customHeight="1">
      <c r="A17" s="2" t="s">
        <v>15</v>
      </c>
      <c r="B17" s="7" t="s">
        <v>16</v>
      </c>
      <c r="C17" s="12" t="s">
        <v>21</v>
      </c>
      <c r="D17" s="29">
        <v>111871779</v>
      </c>
      <c r="E17" s="22">
        <v>100</v>
      </c>
      <c r="F17" s="29">
        <v>10473395</v>
      </c>
      <c r="G17" s="32">
        <f>13829991-10473395</f>
        <v>3356596</v>
      </c>
    </row>
    <row r="18" spans="1:7" ht="37.5" customHeight="1">
      <c r="A18" s="2" t="s">
        <v>15</v>
      </c>
      <c r="B18" s="7" t="s">
        <v>16</v>
      </c>
      <c r="C18" s="12" t="s">
        <v>22</v>
      </c>
      <c r="D18" s="29">
        <f>4357551+7947</f>
        <v>4365498</v>
      </c>
      <c r="E18" s="22">
        <f>100-(F18/D18)*100</f>
        <v>42.32277737843426</v>
      </c>
      <c r="F18" s="29">
        <f>D18-G18-647600</f>
        <v>2517898</v>
      </c>
      <c r="G18" s="32">
        <f>1000000+200000</f>
        <v>1200000</v>
      </c>
    </row>
    <row r="19" spans="1:7" ht="67.5" customHeight="1">
      <c r="A19" s="2" t="s">
        <v>15</v>
      </c>
      <c r="B19" s="7" t="s">
        <v>16</v>
      </c>
      <c r="C19" s="12" t="s">
        <v>23</v>
      </c>
      <c r="D19" s="29">
        <f>5670396+4212991</f>
        <v>9883387</v>
      </c>
      <c r="E19" s="22">
        <f>100-(F19/D19)*100</f>
        <v>26.728883529502596</v>
      </c>
      <c r="F19" s="29">
        <f>D19-G19-1550000</f>
        <v>7241668</v>
      </c>
      <c r="G19" s="32">
        <f>1071719+20000</f>
        <v>1091719</v>
      </c>
    </row>
    <row r="20" spans="1:7" ht="41.25" customHeight="1">
      <c r="A20" s="2" t="s">
        <v>15</v>
      </c>
      <c r="B20" s="7" t="s">
        <v>16</v>
      </c>
      <c r="C20" s="10" t="s">
        <v>24</v>
      </c>
      <c r="D20" s="33">
        <f>400000+2098000</f>
        <v>2498000</v>
      </c>
      <c r="E20" s="22">
        <f>100-(F20/D20)*100</f>
        <v>25.220176140912727</v>
      </c>
      <c r="F20" s="29">
        <f>2168000-300000</f>
        <v>1868000</v>
      </c>
      <c r="G20" s="32">
        <f>300000+300000</f>
        <v>600000</v>
      </c>
    </row>
    <row r="21" spans="1:7" ht="42" customHeight="1">
      <c r="A21" s="2" t="s">
        <v>15</v>
      </c>
      <c r="B21" s="7" t="s">
        <v>16</v>
      </c>
      <c r="C21" s="10" t="s">
        <v>25</v>
      </c>
      <c r="D21" s="33">
        <v>200000</v>
      </c>
      <c r="E21" s="22">
        <f>100-(F21/D21)*100</f>
        <v>25</v>
      </c>
      <c r="F21" s="29">
        <f>62400+87600</f>
        <v>150000</v>
      </c>
      <c r="G21" s="32">
        <f>137600-87600</f>
        <v>50000</v>
      </c>
    </row>
    <row r="22" spans="1:7" ht="45" customHeight="1">
      <c r="A22" s="2" t="s">
        <v>15</v>
      </c>
      <c r="B22" s="7" t="s">
        <v>16</v>
      </c>
      <c r="C22" s="10" t="s">
        <v>26</v>
      </c>
      <c r="D22" s="33">
        <v>2263099</v>
      </c>
      <c r="E22" s="22">
        <v>100</v>
      </c>
      <c r="F22" s="29">
        <v>0</v>
      </c>
      <c r="G22" s="32">
        <v>1588109</v>
      </c>
    </row>
    <row r="23" spans="1:7" ht="30.75" customHeight="1">
      <c r="A23" s="2" t="s">
        <v>15</v>
      </c>
      <c r="B23" s="7" t="s">
        <v>16</v>
      </c>
      <c r="C23" s="10" t="s">
        <v>27</v>
      </c>
      <c r="D23" s="33">
        <v>340000</v>
      </c>
      <c r="E23" s="22">
        <v>100</v>
      </c>
      <c r="F23" s="29">
        <v>0</v>
      </c>
      <c r="G23" s="32">
        <f>340000-4231</f>
        <v>335769</v>
      </c>
    </row>
    <row r="24" spans="1:7" ht="37.5">
      <c r="A24" s="2" t="s">
        <v>15</v>
      </c>
      <c r="B24" s="7" t="s">
        <v>16</v>
      </c>
      <c r="C24" s="10" t="s">
        <v>28</v>
      </c>
      <c r="D24" s="33">
        <f>985000+805947</f>
        <v>1790947</v>
      </c>
      <c r="E24" s="22">
        <f aca="true" t="shared" si="0" ref="E24:E30">100-(F24/D24)*100</f>
        <v>17.390855229105057</v>
      </c>
      <c r="F24" s="29">
        <f>D24-G24</f>
        <v>1479486</v>
      </c>
      <c r="G24" s="32">
        <f>985000-673539</f>
        <v>311461</v>
      </c>
    </row>
    <row r="25" spans="1:7" ht="43.5" customHeight="1">
      <c r="A25" s="2" t="s">
        <v>15</v>
      </c>
      <c r="B25" s="7" t="s">
        <v>16</v>
      </c>
      <c r="C25" s="10" t="s">
        <v>29</v>
      </c>
      <c r="D25" s="33">
        <f>300000+200000</f>
        <v>500000</v>
      </c>
      <c r="E25" s="22">
        <f t="shared" si="0"/>
        <v>0.3100000000000023</v>
      </c>
      <c r="F25" s="29">
        <f>D25-G25</f>
        <v>498450</v>
      </c>
      <c r="G25" s="32">
        <f>300000-298450</f>
        <v>1550</v>
      </c>
    </row>
    <row r="26" spans="1:7" ht="39.75" customHeight="1">
      <c r="A26" s="2" t="s">
        <v>15</v>
      </c>
      <c r="B26" s="7" t="s">
        <v>16</v>
      </c>
      <c r="C26" s="10" t="s">
        <v>30</v>
      </c>
      <c r="D26" s="33">
        <v>1455500</v>
      </c>
      <c r="E26" s="22">
        <f t="shared" si="0"/>
        <v>100</v>
      </c>
      <c r="F26" s="29">
        <v>0</v>
      </c>
      <c r="G26" s="32">
        <f>81000-500</f>
        <v>80500</v>
      </c>
    </row>
    <row r="27" spans="1:7" ht="108.75" customHeight="1">
      <c r="A27" s="2" t="s">
        <v>32</v>
      </c>
      <c r="B27" s="7" t="s">
        <v>33</v>
      </c>
      <c r="C27" s="9" t="s">
        <v>34</v>
      </c>
      <c r="D27" s="29">
        <f>3247132+748678</f>
        <v>3995810</v>
      </c>
      <c r="E27" s="22">
        <f t="shared" si="0"/>
        <v>100</v>
      </c>
      <c r="F27" s="29">
        <v>0</v>
      </c>
      <c r="G27" s="34">
        <f>349162+1-151459</f>
        <v>197704</v>
      </c>
    </row>
    <row r="28" spans="1:7" ht="111" customHeight="1">
      <c r="A28" s="2" t="s">
        <v>32</v>
      </c>
      <c r="B28" s="7" t="s">
        <v>33</v>
      </c>
      <c r="C28" s="9" t="s">
        <v>35</v>
      </c>
      <c r="D28" s="29">
        <f>3244600+1528540</f>
        <v>4773140</v>
      </c>
      <c r="E28" s="22">
        <f t="shared" si="0"/>
        <v>100</v>
      </c>
      <c r="F28" s="29">
        <v>0</v>
      </c>
      <c r="G28" s="34">
        <f>429548+2-1200</f>
        <v>428350</v>
      </c>
    </row>
    <row r="29" spans="1:7" ht="111" customHeight="1">
      <c r="A29" s="2" t="s">
        <v>32</v>
      </c>
      <c r="B29" s="7" t="s">
        <v>33</v>
      </c>
      <c r="C29" s="10" t="s">
        <v>36</v>
      </c>
      <c r="D29" s="29">
        <f>4108300+1060244</f>
        <v>5168544</v>
      </c>
      <c r="E29" s="22">
        <f t="shared" si="0"/>
        <v>100</v>
      </c>
      <c r="F29" s="29">
        <v>0</v>
      </c>
      <c r="G29" s="34">
        <f>707585-436056</f>
        <v>271529</v>
      </c>
    </row>
    <row r="30" spans="1:7" ht="112.5" customHeight="1">
      <c r="A30" s="2" t="s">
        <v>32</v>
      </c>
      <c r="B30" s="7" t="s">
        <v>33</v>
      </c>
      <c r="C30" s="10" t="s">
        <v>37</v>
      </c>
      <c r="D30" s="29">
        <v>9895800</v>
      </c>
      <c r="E30" s="22">
        <f t="shared" si="0"/>
        <v>36.587188504213906</v>
      </c>
      <c r="F30" s="29">
        <f>D30-314600-629200-G30-G31</f>
        <v>6275205</v>
      </c>
      <c r="G30" s="34">
        <v>605895</v>
      </c>
    </row>
    <row r="31" spans="1:7" ht="112.5" customHeight="1">
      <c r="A31" s="2" t="s">
        <v>32</v>
      </c>
      <c r="B31" s="7" t="s">
        <v>33</v>
      </c>
      <c r="C31" s="10" t="s">
        <v>114</v>
      </c>
      <c r="D31" s="29"/>
      <c r="E31" s="22"/>
      <c r="F31" s="29"/>
      <c r="G31" s="34">
        <v>2070900</v>
      </c>
    </row>
    <row r="32" spans="1:7" ht="113.25" customHeight="1">
      <c r="A32" s="2" t="s">
        <v>32</v>
      </c>
      <c r="B32" s="7" t="s">
        <v>33</v>
      </c>
      <c r="C32" s="10" t="s">
        <v>38</v>
      </c>
      <c r="D32" s="29">
        <f>669470+1875000+4467806</f>
        <v>7012276</v>
      </c>
      <c r="E32" s="22">
        <f>100-(F32/D32)*100</f>
        <v>64.80761738414175</v>
      </c>
      <c r="F32" s="29">
        <f>D32-273170-446300-G32-G33-G35-G34-G36</f>
        <v>2467787</v>
      </c>
      <c r="G32" s="34">
        <v>167059</v>
      </c>
    </row>
    <row r="33" spans="1:7" ht="111" customHeight="1">
      <c r="A33" s="2" t="s">
        <v>32</v>
      </c>
      <c r="B33" s="7" t="s">
        <v>33</v>
      </c>
      <c r="C33" s="10" t="s">
        <v>115</v>
      </c>
      <c r="D33" s="29"/>
      <c r="E33" s="22"/>
      <c r="F33" s="29"/>
      <c r="G33" s="34">
        <v>668200</v>
      </c>
    </row>
    <row r="34" spans="1:7" ht="111" customHeight="1">
      <c r="A34" s="2" t="s">
        <v>32</v>
      </c>
      <c r="B34" s="7" t="s">
        <v>33</v>
      </c>
      <c r="C34" s="10" t="s">
        <v>39</v>
      </c>
      <c r="D34" s="29"/>
      <c r="E34" s="22"/>
      <c r="F34" s="29"/>
      <c r="G34" s="34">
        <v>1698000</v>
      </c>
    </row>
    <row r="35" spans="1:7" ht="110.25" customHeight="1">
      <c r="A35" s="2" t="s">
        <v>32</v>
      </c>
      <c r="B35" s="7" t="s">
        <v>33</v>
      </c>
      <c r="C35" s="10" t="s">
        <v>116</v>
      </c>
      <c r="D35" s="29"/>
      <c r="E35" s="22"/>
      <c r="F35" s="29"/>
      <c r="G35" s="34">
        <v>791760</v>
      </c>
    </row>
    <row r="36" spans="1:9" ht="113.25" customHeight="1">
      <c r="A36" s="2" t="s">
        <v>32</v>
      </c>
      <c r="B36" s="7" t="s">
        <v>33</v>
      </c>
      <c r="C36" s="10" t="s">
        <v>135</v>
      </c>
      <c r="D36" s="29"/>
      <c r="E36" s="22"/>
      <c r="F36" s="29"/>
      <c r="G36" s="34">
        <v>500000</v>
      </c>
      <c r="H36" s="35"/>
      <c r="I36" s="36"/>
    </row>
    <row r="37" spans="1:7" ht="112.5" customHeight="1">
      <c r="A37" s="2" t="s">
        <v>32</v>
      </c>
      <c r="B37" s="7" t="s">
        <v>33</v>
      </c>
      <c r="C37" s="10" t="s">
        <v>40</v>
      </c>
      <c r="D37" s="29">
        <f>3526100+1476700</f>
        <v>5002800</v>
      </c>
      <c r="E37" s="22">
        <f>100-(F37/D37)*100</f>
        <v>100</v>
      </c>
      <c r="F37" s="29">
        <v>0</v>
      </c>
      <c r="G37" s="34">
        <v>295410</v>
      </c>
    </row>
    <row r="38" spans="1:7" ht="114" customHeight="1">
      <c r="A38" s="2" t="s">
        <v>32</v>
      </c>
      <c r="B38" s="7" t="s">
        <v>33</v>
      </c>
      <c r="C38" s="10" t="s">
        <v>117</v>
      </c>
      <c r="D38" s="29"/>
      <c r="E38" s="22"/>
      <c r="F38" s="29"/>
      <c r="G38" s="34">
        <v>1181600</v>
      </c>
    </row>
    <row r="39" spans="1:7" ht="82.5" customHeight="1">
      <c r="A39" s="2" t="s">
        <v>41</v>
      </c>
      <c r="B39" s="7" t="s">
        <v>42</v>
      </c>
      <c r="C39" s="10" t="s">
        <v>43</v>
      </c>
      <c r="D39" s="29">
        <f>2513430+1605361</f>
        <v>4118791</v>
      </c>
      <c r="E39" s="22">
        <f>100-(F39/D39)*100</f>
        <v>61.02348965995119</v>
      </c>
      <c r="F39" s="29">
        <v>1605361</v>
      </c>
      <c r="G39" s="34">
        <v>508150</v>
      </c>
    </row>
    <row r="40" spans="1:7" ht="87" customHeight="1">
      <c r="A40" s="2" t="s">
        <v>41</v>
      </c>
      <c r="B40" s="7" t="s">
        <v>42</v>
      </c>
      <c r="C40" s="10" t="s">
        <v>118</v>
      </c>
      <c r="D40" s="29"/>
      <c r="E40" s="22"/>
      <c r="F40" s="29"/>
      <c r="G40" s="34">
        <v>2002950</v>
      </c>
    </row>
    <row r="41" spans="1:7" ht="57.75" customHeight="1">
      <c r="A41" s="2" t="s">
        <v>41</v>
      </c>
      <c r="B41" s="7" t="s">
        <v>42</v>
      </c>
      <c r="C41" s="10" t="s">
        <v>44</v>
      </c>
      <c r="D41" s="29">
        <f>7466640+1434640</f>
        <v>8901280</v>
      </c>
      <c r="E41" s="22">
        <f>100-(F41/D41)*100</f>
        <v>83.88276742221343</v>
      </c>
      <c r="F41" s="29">
        <v>1434640</v>
      </c>
      <c r="G41" s="34">
        <f>1487860+4-1475885</f>
        <v>11979</v>
      </c>
    </row>
    <row r="42" spans="1:7" ht="60.75" customHeight="1">
      <c r="A42" s="2" t="s">
        <v>41</v>
      </c>
      <c r="B42" s="7" t="s">
        <v>42</v>
      </c>
      <c r="C42" s="10" t="s">
        <v>45</v>
      </c>
      <c r="D42" s="29">
        <v>1363406</v>
      </c>
      <c r="E42" s="22">
        <f>100-(F42/D42)*100</f>
        <v>48.98174131549956</v>
      </c>
      <c r="F42" s="29">
        <f>SUM(D42-G42-G43)</f>
        <v>695586</v>
      </c>
      <c r="G42" s="34">
        <f>133564+138756</f>
        <v>272320</v>
      </c>
    </row>
    <row r="43" spans="1:7" ht="65.25" customHeight="1">
      <c r="A43" s="2" t="s">
        <v>41</v>
      </c>
      <c r="B43" s="7" t="s">
        <v>42</v>
      </c>
      <c r="C43" s="10" t="s">
        <v>119</v>
      </c>
      <c r="D43" s="29"/>
      <c r="E43" s="22"/>
      <c r="F43" s="29"/>
      <c r="G43" s="34">
        <v>395500</v>
      </c>
    </row>
    <row r="44" spans="1:7" ht="37.5" customHeight="1">
      <c r="A44" s="63" t="s">
        <v>41</v>
      </c>
      <c r="B44" s="65" t="s">
        <v>42</v>
      </c>
      <c r="C44" s="10" t="s">
        <v>136</v>
      </c>
      <c r="D44" s="29">
        <v>189900006</v>
      </c>
      <c r="E44" s="22">
        <f>100-(F44/D44)*100</f>
        <v>45.20334401674532</v>
      </c>
      <c r="F44" s="29">
        <v>104058853</v>
      </c>
      <c r="G44" s="34">
        <v>12345040</v>
      </c>
    </row>
    <row r="45" spans="1:7" ht="52.5" customHeight="1">
      <c r="A45" s="64"/>
      <c r="B45" s="66"/>
      <c r="C45" s="10" t="s">
        <v>137</v>
      </c>
      <c r="D45" s="29">
        <v>171860901</v>
      </c>
      <c r="E45" s="22">
        <v>49.9</v>
      </c>
      <c r="F45" s="29">
        <v>86019748</v>
      </c>
      <c r="G45" s="34">
        <v>12345040</v>
      </c>
    </row>
    <row r="46" spans="1:7" ht="22.5" customHeight="1">
      <c r="A46" s="64"/>
      <c r="B46" s="66"/>
      <c r="C46" s="37" t="s">
        <v>138</v>
      </c>
      <c r="D46" s="29"/>
      <c r="E46" s="22"/>
      <c r="F46" s="29"/>
      <c r="G46" s="34">
        <v>6250000</v>
      </c>
    </row>
    <row r="47" spans="1:7" ht="22.5" customHeight="1">
      <c r="A47" s="64"/>
      <c r="B47" s="66"/>
      <c r="C47" s="10" t="s">
        <v>19</v>
      </c>
      <c r="D47" s="29"/>
      <c r="E47" s="22"/>
      <c r="F47" s="29"/>
      <c r="G47" s="34">
        <v>6095040</v>
      </c>
    </row>
    <row r="48" spans="1:7" ht="21" customHeight="1">
      <c r="A48" s="64"/>
      <c r="B48" s="66"/>
      <c r="C48" s="10" t="s">
        <v>139</v>
      </c>
      <c r="D48" s="29">
        <v>18039105</v>
      </c>
      <c r="E48" s="22">
        <v>0</v>
      </c>
      <c r="F48" s="29">
        <v>18039105</v>
      </c>
      <c r="G48" s="34"/>
    </row>
    <row r="49" spans="1:7" ht="39.75" customHeight="1">
      <c r="A49" s="2" t="s">
        <v>41</v>
      </c>
      <c r="B49" s="7" t="s">
        <v>42</v>
      </c>
      <c r="C49" s="12" t="s">
        <v>46</v>
      </c>
      <c r="D49" s="29">
        <v>24383920</v>
      </c>
      <c r="E49" s="22">
        <f>100-(F49/D49)*100</f>
        <v>69.16726678893303</v>
      </c>
      <c r="F49" s="29">
        <v>7518229</v>
      </c>
      <c r="G49" s="32">
        <f>1407724+1</f>
        <v>1407725</v>
      </c>
    </row>
    <row r="50" spans="1:7" ht="37.5">
      <c r="A50" s="2" t="s">
        <v>41</v>
      </c>
      <c r="B50" s="7" t="s">
        <v>42</v>
      </c>
      <c r="C50" s="12" t="s">
        <v>120</v>
      </c>
      <c r="D50" s="29"/>
      <c r="E50" s="22"/>
      <c r="F50" s="29"/>
      <c r="G50" s="32">
        <v>5630900</v>
      </c>
    </row>
    <row r="51" spans="1:7" ht="27.75" customHeight="1">
      <c r="A51" s="2"/>
      <c r="B51" s="7"/>
      <c r="C51" s="10" t="s">
        <v>47</v>
      </c>
      <c r="D51" s="29">
        <f>SUM(D53:D57)</f>
        <v>4916695</v>
      </c>
      <c r="E51" s="29"/>
      <c r="F51" s="29">
        <f>SUM(F53:F57)</f>
        <v>1579331</v>
      </c>
      <c r="G51" s="30">
        <f>SUM(G53:G57)</f>
        <v>2445416</v>
      </c>
    </row>
    <row r="52" spans="1:7" ht="26.25" customHeight="1">
      <c r="A52" s="2"/>
      <c r="B52" s="7"/>
      <c r="C52" s="10" t="s">
        <v>48</v>
      </c>
      <c r="D52" s="29"/>
      <c r="E52" s="22"/>
      <c r="F52" s="29"/>
      <c r="G52" s="32"/>
    </row>
    <row r="53" spans="1:7" ht="30" customHeight="1">
      <c r="A53" s="2" t="s">
        <v>15</v>
      </c>
      <c r="B53" s="7" t="s">
        <v>16</v>
      </c>
      <c r="C53" s="12" t="s">
        <v>49</v>
      </c>
      <c r="D53" s="29">
        <f>349583+5000</f>
        <v>354583</v>
      </c>
      <c r="E53" s="22">
        <v>100</v>
      </c>
      <c r="F53" s="29">
        <v>0</v>
      </c>
      <c r="G53" s="32">
        <v>312675</v>
      </c>
    </row>
    <row r="54" spans="1:7" ht="28.5" customHeight="1">
      <c r="A54" s="2" t="s">
        <v>15</v>
      </c>
      <c r="B54" s="7" t="s">
        <v>16</v>
      </c>
      <c r="C54" s="12" t="s">
        <v>50</v>
      </c>
      <c r="D54" s="29">
        <v>1890377</v>
      </c>
      <c r="E54" s="22">
        <v>100</v>
      </c>
      <c r="F54" s="29">
        <v>0</v>
      </c>
      <c r="G54" s="32">
        <f>1390337-250000-100000</f>
        <v>1040337</v>
      </c>
    </row>
    <row r="55" spans="1:7" ht="28.5" customHeight="1">
      <c r="A55" s="2" t="s">
        <v>15</v>
      </c>
      <c r="B55" s="7" t="s">
        <v>16</v>
      </c>
      <c r="C55" s="12" t="s">
        <v>51</v>
      </c>
      <c r="D55" s="29">
        <v>339312</v>
      </c>
      <c r="E55" s="22">
        <v>100</v>
      </c>
      <c r="F55" s="29">
        <v>0</v>
      </c>
      <c r="G55" s="32">
        <v>339312</v>
      </c>
    </row>
    <row r="56" spans="1:7" ht="29.25" customHeight="1">
      <c r="A56" s="2" t="s">
        <v>15</v>
      </c>
      <c r="B56" s="7" t="s">
        <v>16</v>
      </c>
      <c r="C56" s="12" t="s">
        <v>52</v>
      </c>
      <c r="D56" s="29">
        <f>600000+47423</f>
        <v>647423</v>
      </c>
      <c r="E56" s="22">
        <f>100-(F56/D56)*100</f>
        <v>87.74665095308632</v>
      </c>
      <c r="F56" s="29">
        <f>D56-G56</f>
        <v>79331</v>
      </c>
      <c r="G56" s="32">
        <v>568092</v>
      </c>
    </row>
    <row r="57" spans="1:7" ht="28.5" customHeight="1">
      <c r="A57" s="2" t="s">
        <v>15</v>
      </c>
      <c r="B57" s="7" t="s">
        <v>16</v>
      </c>
      <c r="C57" s="12" t="s">
        <v>53</v>
      </c>
      <c r="D57" s="29">
        <v>1685000</v>
      </c>
      <c r="E57" s="22">
        <f>100-(F57/D57)*100</f>
        <v>10.979228486646889</v>
      </c>
      <c r="F57" s="29">
        <f>D57-G57</f>
        <v>1500000</v>
      </c>
      <c r="G57" s="32">
        <v>185000</v>
      </c>
    </row>
    <row r="58" spans="1:7" s="24" customFormat="1" ht="36" customHeight="1">
      <c r="A58" s="3" t="s">
        <v>54</v>
      </c>
      <c r="B58" s="38" t="s">
        <v>55</v>
      </c>
      <c r="C58" s="11"/>
      <c r="D58" s="26">
        <f>SUM(D59:D68)</f>
        <v>63940619</v>
      </c>
      <c r="E58" s="39"/>
      <c r="F58" s="26">
        <f>SUM(F59:F68)</f>
        <v>42830743</v>
      </c>
      <c r="G58" s="28">
        <f>SUM(G59:G68)</f>
        <v>9973047</v>
      </c>
    </row>
    <row r="59" spans="1:7" ht="41.25" customHeight="1">
      <c r="A59" s="2" t="s">
        <v>15</v>
      </c>
      <c r="B59" s="7" t="s">
        <v>16</v>
      </c>
      <c r="C59" s="12" t="s">
        <v>56</v>
      </c>
      <c r="D59" s="36">
        <v>6489730</v>
      </c>
      <c r="E59" s="22">
        <f>100-(F59/D59)*100</f>
        <v>30.81792308770936</v>
      </c>
      <c r="F59" s="36">
        <f>D59-G59</f>
        <v>4489730</v>
      </c>
      <c r="G59" s="32">
        <v>2000000</v>
      </c>
    </row>
    <row r="60" spans="1:7" ht="37.5">
      <c r="A60" s="2" t="s">
        <v>15</v>
      </c>
      <c r="B60" s="7" t="s">
        <v>16</v>
      </c>
      <c r="C60" s="10" t="s">
        <v>57</v>
      </c>
      <c r="D60" s="36">
        <v>28122370</v>
      </c>
      <c r="E60" s="22">
        <f>100-(F60/D60)*100</f>
        <v>0.6331152033061187</v>
      </c>
      <c r="F60" s="36">
        <f>SUM(D60-G60)</f>
        <v>27944323</v>
      </c>
      <c r="G60" s="32">
        <f>2734348-2556301</f>
        <v>178047</v>
      </c>
    </row>
    <row r="61" spans="1:7" ht="37.5">
      <c r="A61" s="2" t="s">
        <v>15</v>
      </c>
      <c r="B61" s="7" t="s">
        <v>16</v>
      </c>
      <c r="C61" s="10" t="s">
        <v>58</v>
      </c>
      <c r="D61" s="36">
        <v>1000000</v>
      </c>
      <c r="E61" s="22">
        <v>100</v>
      </c>
      <c r="F61" s="36">
        <v>0</v>
      </c>
      <c r="G61" s="32">
        <v>1000000</v>
      </c>
    </row>
    <row r="62" spans="1:7" ht="29.25" customHeight="1">
      <c r="A62" s="2" t="s">
        <v>15</v>
      </c>
      <c r="B62" s="7" t="s">
        <v>31</v>
      </c>
      <c r="C62" s="10" t="s">
        <v>59</v>
      </c>
      <c r="D62" s="36">
        <v>3288517</v>
      </c>
      <c r="E62" s="22">
        <f>100-(F62/D62)*100</f>
        <v>100</v>
      </c>
      <c r="F62" s="36">
        <v>0</v>
      </c>
      <c r="G62" s="32">
        <f>3288517-858517</f>
        <v>2430000</v>
      </c>
    </row>
    <row r="63" spans="1:7" ht="37.5">
      <c r="A63" s="2" t="s">
        <v>15</v>
      </c>
      <c r="B63" s="7" t="s">
        <v>31</v>
      </c>
      <c r="C63" s="10" t="s">
        <v>60</v>
      </c>
      <c r="D63" s="36">
        <v>3661135</v>
      </c>
      <c r="E63" s="22">
        <f>100-(F63/D63)*100</f>
        <v>100</v>
      </c>
      <c r="F63" s="36">
        <v>0</v>
      </c>
      <c r="G63" s="32">
        <f>3661135-771135</f>
        <v>2890000</v>
      </c>
    </row>
    <row r="64" spans="1:7" ht="37.5">
      <c r="A64" s="2" t="s">
        <v>15</v>
      </c>
      <c r="B64" s="7" t="s">
        <v>16</v>
      </c>
      <c r="C64" s="10" t="s">
        <v>110</v>
      </c>
      <c r="D64" s="36">
        <v>25000</v>
      </c>
      <c r="E64" s="22">
        <v>100</v>
      </c>
      <c r="F64" s="36">
        <v>0</v>
      </c>
      <c r="G64" s="32">
        <v>25000</v>
      </c>
    </row>
    <row r="65" spans="1:7" ht="37.5">
      <c r="A65" s="2" t="s">
        <v>15</v>
      </c>
      <c r="B65" s="7" t="s">
        <v>31</v>
      </c>
      <c r="C65" s="10" t="s">
        <v>61</v>
      </c>
      <c r="D65" s="36">
        <v>4022000</v>
      </c>
      <c r="E65" s="22">
        <f>100-(F65/D65)*100</f>
        <v>12.431626056688216</v>
      </c>
      <c r="F65" s="36">
        <f>D65-G65</f>
        <v>3522000</v>
      </c>
      <c r="G65" s="32">
        <v>500000</v>
      </c>
    </row>
    <row r="66" spans="1:7" ht="37.5">
      <c r="A66" s="2" t="s">
        <v>15</v>
      </c>
      <c r="B66" s="7" t="s">
        <v>16</v>
      </c>
      <c r="C66" s="10" t="s">
        <v>62</v>
      </c>
      <c r="D66" s="33">
        <f>11119030+5462837</f>
        <v>16581867</v>
      </c>
      <c r="E66" s="22">
        <f>100-(F66/D66)*100</f>
        <v>60.3501222148266</v>
      </c>
      <c r="F66" s="29">
        <f>D66-533571-8973579-G66-27</f>
        <v>6574690</v>
      </c>
      <c r="G66" s="32">
        <v>500000</v>
      </c>
    </row>
    <row r="67" spans="1:7" ht="41.25" customHeight="1">
      <c r="A67" s="2" t="s">
        <v>15</v>
      </c>
      <c r="B67" s="7" t="s">
        <v>16</v>
      </c>
      <c r="C67" s="10" t="s">
        <v>63</v>
      </c>
      <c r="D67" s="33">
        <v>600000</v>
      </c>
      <c r="E67" s="22">
        <f>100-(F67/D67)*100</f>
        <v>50</v>
      </c>
      <c r="F67" s="29">
        <f>SUM(D67-G67)</f>
        <v>300000</v>
      </c>
      <c r="G67" s="32">
        <f>600000-300000</f>
        <v>300000</v>
      </c>
    </row>
    <row r="68" spans="1:7" ht="32.25" customHeight="1">
      <c r="A68" s="2" t="s">
        <v>15</v>
      </c>
      <c r="B68" s="7" t="s">
        <v>16</v>
      </c>
      <c r="C68" s="10" t="s">
        <v>64</v>
      </c>
      <c r="D68" s="33">
        <v>150000</v>
      </c>
      <c r="E68" s="22">
        <v>100</v>
      </c>
      <c r="F68" s="29">
        <v>0</v>
      </c>
      <c r="G68" s="32">
        <v>150000</v>
      </c>
    </row>
    <row r="69" spans="1:7" s="24" customFormat="1" ht="37.5">
      <c r="A69" s="3" t="s">
        <v>65</v>
      </c>
      <c r="B69" s="8" t="s">
        <v>66</v>
      </c>
      <c r="C69" s="38"/>
      <c r="D69" s="21">
        <f>SUM(D70:D72)</f>
        <v>924500</v>
      </c>
      <c r="E69" s="21"/>
      <c r="F69" s="21">
        <f>SUM(F70:F72)</f>
        <v>0</v>
      </c>
      <c r="G69" s="40">
        <f>SUM(G70:G72)</f>
        <v>924500</v>
      </c>
    </row>
    <row r="70" spans="1:7" ht="56.25">
      <c r="A70" s="2" t="s">
        <v>15</v>
      </c>
      <c r="B70" s="7" t="s">
        <v>16</v>
      </c>
      <c r="C70" s="7" t="s">
        <v>67</v>
      </c>
      <c r="D70" s="29">
        <v>573500</v>
      </c>
      <c r="E70" s="22">
        <v>100</v>
      </c>
      <c r="F70" s="29">
        <v>0</v>
      </c>
      <c r="G70" s="30">
        <v>573500</v>
      </c>
    </row>
    <row r="71" spans="1:7" s="24" customFormat="1" ht="137.25" customHeight="1">
      <c r="A71" s="2" t="s">
        <v>15</v>
      </c>
      <c r="B71" s="7" t="s">
        <v>16</v>
      </c>
      <c r="C71" s="7" t="s">
        <v>69</v>
      </c>
      <c r="D71" s="29">
        <v>100000</v>
      </c>
      <c r="E71" s="22">
        <v>100</v>
      </c>
      <c r="F71" s="29">
        <v>0</v>
      </c>
      <c r="G71" s="30">
        <v>100000</v>
      </c>
    </row>
    <row r="72" spans="1:7" s="24" customFormat="1" ht="323.25" customHeight="1">
      <c r="A72" s="2" t="s">
        <v>68</v>
      </c>
      <c r="B72" s="7" t="s">
        <v>69</v>
      </c>
      <c r="C72" s="7" t="s">
        <v>121</v>
      </c>
      <c r="D72" s="29">
        <v>251000</v>
      </c>
      <c r="E72" s="22">
        <v>100</v>
      </c>
      <c r="F72" s="29">
        <v>0</v>
      </c>
      <c r="G72" s="30">
        <v>251000</v>
      </c>
    </row>
    <row r="73" spans="1:7" s="24" customFormat="1" ht="39.75" customHeight="1">
      <c r="A73" s="3" t="s">
        <v>70</v>
      </c>
      <c r="B73" s="8" t="s">
        <v>71</v>
      </c>
      <c r="C73" s="11"/>
      <c r="D73" s="26">
        <f>SUM(D74:D99)</f>
        <v>8078562</v>
      </c>
      <c r="E73" s="39"/>
      <c r="F73" s="26">
        <f>SUM(F74:F99)</f>
        <v>0</v>
      </c>
      <c r="G73" s="28">
        <f>SUM(G74:G99)</f>
        <v>7291092</v>
      </c>
    </row>
    <row r="74" spans="1:7" ht="37.5">
      <c r="A74" s="2" t="s">
        <v>15</v>
      </c>
      <c r="B74" s="7" t="s">
        <v>16</v>
      </c>
      <c r="C74" s="10" t="s">
        <v>72</v>
      </c>
      <c r="D74" s="33">
        <f>120000+79852</f>
        <v>199852</v>
      </c>
      <c r="E74" s="22">
        <v>100</v>
      </c>
      <c r="F74" s="29">
        <v>0</v>
      </c>
      <c r="G74" s="32">
        <f>120000+79852</f>
        <v>199852</v>
      </c>
    </row>
    <row r="75" spans="1:7" ht="42" customHeight="1">
      <c r="A75" s="2" t="s">
        <v>41</v>
      </c>
      <c r="B75" s="7" t="s">
        <v>42</v>
      </c>
      <c r="C75" s="10" t="s">
        <v>73</v>
      </c>
      <c r="D75" s="29">
        <v>511700</v>
      </c>
      <c r="E75" s="22">
        <f>100-(F75/D75)*100</f>
        <v>100</v>
      </c>
      <c r="F75" s="29">
        <v>0</v>
      </c>
      <c r="G75" s="32">
        <f>40340+10</f>
        <v>40350</v>
      </c>
    </row>
    <row r="76" spans="1:7" ht="42" customHeight="1">
      <c r="A76" s="2" t="s">
        <v>41</v>
      </c>
      <c r="B76" s="7" t="s">
        <v>42</v>
      </c>
      <c r="C76" s="10" t="s">
        <v>122</v>
      </c>
      <c r="D76" s="29"/>
      <c r="E76" s="22"/>
      <c r="F76" s="29"/>
      <c r="G76" s="32">
        <v>161400</v>
      </c>
    </row>
    <row r="77" spans="1:7" ht="56.25">
      <c r="A77" s="2" t="s">
        <v>41</v>
      </c>
      <c r="B77" s="7" t="s">
        <v>42</v>
      </c>
      <c r="C77" s="10" t="s">
        <v>74</v>
      </c>
      <c r="D77" s="29">
        <v>530600</v>
      </c>
      <c r="E77" s="22">
        <f>100-(F77/D77)*100</f>
        <v>100</v>
      </c>
      <c r="F77" s="29">
        <v>0</v>
      </c>
      <c r="G77" s="32">
        <f>56120+5</f>
        <v>56125</v>
      </c>
    </row>
    <row r="78" spans="1:7" ht="56.25">
      <c r="A78" s="2" t="s">
        <v>41</v>
      </c>
      <c r="B78" s="7" t="s">
        <v>42</v>
      </c>
      <c r="C78" s="10" t="s">
        <v>123</v>
      </c>
      <c r="D78" s="29"/>
      <c r="E78" s="22"/>
      <c r="F78" s="29"/>
      <c r="G78" s="32">
        <v>224500</v>
      </c>
    </row>
    <row r="79" spans="1:7" ht="43.5" customHeight="1">
      <c r="A79" s="2" t="s">
        <v>41</v>
      </c>
      <c r="B79" s="7" t="s">
        <v>42</v>
      </c>
      <c r="C79" s="10" t="s">
        <v>75</v>
      </c>
      <c r="D79" s="29">
        <v>600600</v>
      </c>
      <c r="E79" s="22">
        <f>100-(F79/D79)*100</f>
        <v>100</v>
      </c>
      <c r="F79" s="29">
        <v>0</v>
      </c>
      <c r="G79" s="32">
        <f>112360+40</f>
        <v>112400</v>
      </c>
    </row>
    <row r="80" spans="1:7" ht="42" customHeight="1">
      <c r="A80" s="2" t="s">
        <v>41</v>
      </c>
      <c r="B80" s="7" t="s">
        <v>42</v>
      </c>
      <c r="C80" s="10" t="s">
        <v>124</v>
      </c>
      <c r="D80" s="29"/>
      <c r="E80" s="22"/>
      <c r="F80" s="29"/>
      <c r="G80" s="32">
        <v>449400</v>
      </c>
    </row>
    <row r="81" spans="1:7" ht="43.5" customHeight="1">
      <c r="A81" s="2" t="s">
        <v>41</v>
      </c>
      <c r="B81" s="7" t="s">
        <v>42</v>
      </c>
      <c r="C81" s="10" t="s">
        <v>76</v>
      </c>
      <c r="D81" s="29">
        <v>606300</v>
      </c>
      <c r="E81" s="22">
        <f>100-(F81/D81)*100</f>
        <v>100</v>
      </c>
      <c r="F81" s="29">
        <v>0</v>
      </c>
      <c r="G81" s="32">
        <f>113240+10</f>
        <v>113250</v>
      </c>
    </row>
    <row r="82" spans="1:7" ht="42" customHeight="1">
      <c r="A82" s="2" t="s">
        <v>41</v>
      </c>
      <c r="B82" s="7" t="s">
        <v>42</v>
      </c>
      <c r="C82" s="10" t="s">
        <v>125</v>
      </c>
      <c r="D82" s="29"/>
      <c r="E82" s="22"/>
      <c r="F82" s="29"/>
      <c r="G82" s="32">
        <v>453000</v>
      </c>
    </row>
    <row r="83" spans="1:7" ht="43.5" customHeight="1">
      <c r="A83" s="2" t="s">
        <v>41</v>
      </c>
      <c r="B83" s="7" t="s">
        <v>42</v>
      </c>
      <c r="C83" s="10" t="s">
        <v>77</v>
      </c>
      <c r="D83" s="29">
        <v>637240</v>
      </c>
      <c r="E83" s="22">
        <f>100-(F83/D83)*100</f>
        <v>100</v>
      </c>
      <c r="F83" s="29">
        <v>0</v>
      </c>
      <c r="G83" s="32">
        <f>97720+5</f>
        <v>97725</v>
      </c>
    </row>
    <row r="84" spans="1:7" ht="39.75" customHeight="1">
      <c r="A84" s="2" t="s">
        <v>41</v>
      </c>
      <c r="B84" s="7" t="s">
        <v>42</v>
      </c>
      <c r="C84" s="10" t="s">
        <v>126</v>
      </c>
      <c r="D84" s="29"/>
      <c r="E84" s="22"/>
      <c r="F84" s="29"/>
      <c r="G84" s="32">
        <v>390900</v>
      </c>
    </row>
    <row r="85" spans="1:7" ht="39.75" customHeight="1">
      <c r="A85" s="2" t="s">
        <v>41</v>
      </c>
      <c r="B85" s="7" t="s">
        <v>42</v>
      </c>
      <c r="C85" s="10" t="s">
        <v>78</v>
      </c>
      <c r="D85" s="29">
        <v>620000</v>
      </c>
      <c r="E85" s="22">
        <f>100-(F85/D85)*100</f>
        <v>100</v>
      </c>
      <c r="F85" s="29">
        <v>0</v>
      </c>
      <c r="G85" s="32">
        <v>124000</v>
      </c>
    </row>
    <row r="86" spans="1:7" ht="39.75" customHeight="1">
      <c r="A86" s="2" t="s">
        <v>41</v>
      </c>
      <c r="B86" s="7" t="s">
        <v>42</v>
      </c>
      <c r="C86" s="10" t="s">
        <v>127</v>
      </c>
      <c r="D86" s="29"/>
      <c r="E86" s="22"/>
      <c r="F86" s="29"/>
      <c r="G86" s="32">
        <v>496000</v>
      </c>
    </row>
    <row r="87" spans="1:7" ht="41.25" customHeight="1">
      <c r="A87" s="2" t="s">
        <v>41</v>
      </c>
      <c r="B87" s="7" t="s">
        <v>42</v>
      </c>
      <c r="C87" s="10" t="s">
        <v>79</v>
      </c>
      <c r="D87" s="29">
        <v>580000</v>
      </c>
      <c r="E87" s="22">
        <f>100-(F87/D87)*100</f>
        <v>100</v>
      </c>
      <c r="F87" s="29">
        <v>0</v>
      </c>
      <c r="G87" s="32">
        <v>116000</v>
      </c>
    </row>
    <row r="88" spans="1:7" ht="42.75" customHeight="1">
      <c r="A88" s="2" t="s">
        <v>41</v>
      </c>
      <c r="B88" s="7" t="s">
        <v>42</v>
      </c>
      <c r="C88" s="10" t="s">
        <v>128</v>
      </c>
      <c r="D88" s="29"/>
      <c r="E88" s="22"/>
      <c r="F88" s="29"/>
      <c r="G88" s="32">
        <v>464000</v>
      </c>
    </row>
    <row r="89" spans="1:7" ht="39.75" customHeight="1">
      <c r="A89" s="2" t="s">
        <v>41</v>
      </c>
      <c r="B89" s="7" t="s">
        <v>42</v>
      </c>
      <c r="C89" s="10" t="s">
        <v>80</v>
      </c>
      <c r="D89" s="29">
        <v>855000</v>
      </c>
      <c r="E89" s="22">
        <f>100-(F89/D89)*100</f>
        <v>100</v>
      </c>
      <c r="F89" s="29">
        <v>0</v>
      </c>
      <c r="G89" s="32">
        <v>171000</v>
      </c>
    </row>
    <row r="90" spans="1:7" ht="36.75" customHeight="1">
      <c r="A90" s="2" t="s">
        <v>41</v>
      </c>
      <c r="B90" s="7" t="s">
        <v>42</v>
      </c>
      <c r="C90" s="10" t="s">
        <v>129</v>
      </c>
      <c r="D90" s="29"/>
      <c r="E90" s="22"/>
      <c r="F90" s="29"/>
      <c r="G90" s="32">
        <v>684000</v>
      </c>
    </row>
    <row r="91" spans="1:7" ht="38.25" customHeight="1">
      <c r="A91" s="2" t="s">
        <v>41</v>
      </c>
      <c r="B91" s="7" t="s">
        <v>42</v>
      </c>
      <c r="C91" s="10" t="s">
        <v>81</v>
      </c>
      <c r="D91" s="29">
        <v>584900</v>
      </c>
      <c r="E91" s="22">
        <f>100-(F91/D91)*100</f>
        <v>100</v>
      </c>
      <c r="F91" s="29">
        <v>0</v>
      </c>
      <c r="G91" s="32">
        <v>116980</v>
      </c>
    </row>
    <row r="92" spans="1:7" ht="42.75" customHeight="1">
      <c r="A92" s="2" t="s">
        <v>41</v>
      </c>
      <c r="B92" s="7" t="s">
        <v>42</v>
      </c>
      <c r="C92" s="10" t="s">
        <v>130</v>
      </c>
      <c r="D92" s="29"/>
      <c r="E92" s="22"/>
      <c r="F92" s="29"/>
      <c r="G92" s="32">
        <v>467900</v>
      </c>
    </row>
    <row r="93" spans="1:7" ht="41.25" customHeight="1">
      <c r="A93" s="2" t="s">
        <v>41</v>
      </c>
      <c r="B93" s="7" t="s">
        <v>42</v>
      </c>
      <c r="C93" s="10" t="s">
        <v>82</v>
      </c>
      <c r="D93" s="29">
        <v>854900</v>
      </c>
      <c r="E93" s="22">
        <f>100-(F93/D93)*100</f>
        <v>100</v>
      </c>
      <c r="F93" s="29">
        <v>0</v>
      </c>
      <c r="G93" s="32">
        <v>170980</v>
      </c>
    </row>
    <row r="94" spans="1:7" ht="41.25" customHeight="1">
      <c r="A94" s="2" t="s">
        <v>41</v>
      </c>
      <c r="B94" s="7" t="s">
        <v>42</v>
      </c>
      <c r="C94" s="10" t="s">
        <v>131</v>
      </c>
      <c r="D94" s="29"/>
      <c r="E94" s="22"/>
      <c r="F94" s="29"/>
      <c r="G94" s="32">
        <v>683900</v>
      </c>
    </row>
    <row r="95" spans="1:7" ht="42.75" customHeight="1">
      <c r="A95" s="2" t="s">
        <v>41</v>
      </c>
      <c r="B95" s="7" t="s">
        <v>42</v>
      </c>
      <c r="C95" s="10" t="s">
        <v>83</v>
      </c>
      <c r="D95" s="29">
        <v>873400</v>
      </c>
      <c r="E95" s="22">
        <f>100-(F95/D95)*100</f>
        <v>100</v>
      </c>
      <c r="F95" s="29">
        <v>0</v>
      </c>
      <c r="G95" s="32">
        <v>174680</v>
      </c>
    </row>
    <row r="96" spans="1:7" ht="39.75" customHeight="1">
      <c r="A96" s="2" t="s">
        <v>41</v>
      </c>
      <c r="B96" s="7" t="s">
        <v>42</v>
      </c>
      <c r="C96" s="10" t="s">
        <v>132</v>
      </c>
      <c r="D96" s="29"/>
      <c r="E96" s="22"/>
      <c r="F96" s="29"/>
      <c r="G96" s="32">
        <v>698700</v>
      </c>
    </row>
    <row r="97" spans="1:7" ht="39.75" customHeight="1">
      <c r="A97" s="2" t="s">
        <v>41</v>
      </c>
      <c r="B97" s="7" t="s">
        <v>42</v>
      </c>
      <c r="C97" s="10" t="s">
        <v>84</v>
      </c>
      <c r="D97" s="29">
        <v>223900</v>
      </c>
      <c r="E97" s="22">
        <f>100-(F97/D97)*100</f>
        <v>100</v>
      </c>
      <c r="F97" s="29">
        <v>0</v>
      </c>
      <c r="G97" s="32">
        <v>44780</v>
      </c>
    </row>
    <row r="98" spans="1:7" ht="39.75" customHeight="1">
      <c r="A98" s="2" t="s">
        <v>41</v>
      </c>
      <c r="B98" s="7" t="s">
        <v>42</v>
      </c>
      <c r="C98" s="10" t="s">
        <v>133</v>
      </c>
      <c r="D98" s="29"/>
      <c r="E98" s="22"/>
      <c r="F98" s="29"/>
      <c r="G98" s="32">
        <v>179100</v>
      </c>
    </row>
    <row r="99" spans="1:7" ht="42" customHeight="1">
      <c r="A99" s="2" t="s">
        <v>15</v>
      </c>
      <c r="B99" s="7" t="s">
        <v>16</v>
      </c>
      <c r="C99" s="10" t="s">
        <v>113</v>
      </c>
      <c r="D99" s="26">
        <v>400170</v>
      </c>
      <c r="E99" s="22">
        <v>100</v>
      </c>
      <c r="F99" s="29">
        <v>0</v>
      </c>
      <c r="G99" s="32">
        <v>400170</v>
      </c>
    </row>
    <row r="100" spans="1:7" s="24" customFormat="1" ht="37.5">
      <c r="A100" s="3" t="s">
        <v>85</v>
      </c>
      <c r="B100" s="8" t="s">
        <v>86</v>
      </c>
      <c r="C100" s="25"/>
      <c r="D100" s="21">
        <f>SUM(D101:D102)</f>
        <v>12150000</v>
      </c>
      <c r="E100" s="21"/>
      <c r="F100" s="21">
        <f>SUM(F101:F102)</f>
        <v>0</v>
      </c>
      <c r="G100" s="40">
        <f>SUM(G101:G102)</f>
        <v>12150000</v>
      </c>
    </row>
    <row r="101" spans="1:7" ht="82.5" customHeight="1">
      <c r="A101" s="2" t="s">
        <v>87</v>
      </c>
      <c r="B101" s="7" t="s">
        <v>88</v>
      </c>
      <c r="C101" s="12" t="s">
        <v>89</v>
      </c>
      <c r="D101" s="36">
        <f>6700000-50000-1200000</f>
        <v>5450000</v>
      </c>
      <c r="E101" s="22">
        <v>100</v>
      </c>
      <c r="F101" s="29">
        <v>0</v>
      </c>
      <c r="G101" s="32">
        <f>6700000-50000-1200000</f>
        <v>5450000</v>
      </c>
    </row>
    <row r="102" spans="1:7" ht="77.25" customHeight="1">
      <c r="A102" s="2" t="s">
        <v>87</v>
      </c>
      <c r="B102" s="7" t="s">
        <v>88</v>
      </c>
      <c r="C102" s="12" t="s">
        <v>134</v>
      </c>
      <c r="D102" s="33">
        <v>6700000</v>
      </c>
      <c r="E102" s="22">
        <v>100</v>
      </c>
      <c r="F102" s="29">
        <v>0</v>
      </c>
      <c r="G102" s="32">
        <v>6700000</v>
      </c>
    </row>
    <row r="103" spans="1:7" ht="18.75" hidden="1">
      <c r="A103" s="2"/>
      <c r="B103" s="7"/>
      <c r="C103" s="12" t="s">
        <v>90</v>
      </c>
      <c r="D103" s="36">
        <f>3500000-3500000</f>
        <v>0</v>
      </c>
      <c r="E103" s="22"/>
      <c r="F103" s="29"/>
      <c r="G103" s="32">
        <f>3500000-3500000</f>
        <v>0</v>
      </c>
    </row>
    <row r="104" spans="1:7" s="24" customFormat="1" ht="37.5">
      <c r="A104" s="3" t="s">
        <v>91</v>
      </c>
      <c r="B104" s="8" t="s">
        <v>92</v>
      </c>
      <c r="C104" s="38"/>
      <c r="D104" s="26">
        <f>SUM(D105:D110)</f>
        <v>21677897</v>
      </c>
      <c r="E104" s="26"/>
      <c r="F104" s="26">
        <f>SUM(F105:F110)</f>
        <v>15943405</v>
      </c>
      <c r="G104" s="28">
        <f>SUM(G105:G110)</f>
        <v>5009410</v>
      </c>
    </row>
    <row r="105" spans="1:7" ht="42" customHeight="1">
      <c r="A105" s="2" t="s">
        <v>15</v>
      </c>
      <c r="B105" s="7" t="s">
        <v>16</v>
      </c>
      <c r="C105" s="10" t="s">
        <v>93</v>
      </c>
      <c r="D105" s="29">
        <v>684145</v>
      </c>
      <c r="E105" s="22">
        <f aca="true" t="shared" si="1" ref="E105:E110">100-(F105/D105)*100</f>
        <v>49.697067142199394</v>
      </c>
      <c r="F105" s="29">
        <f>D105-G105-40000</f>
        <v>344145</v>
      </c>
      <c r="G105" s="32">
        <f>500000-200000</f>
        <v>300000</v>
      </c>
    </row>
    <row r="106" spans="1:7" ht="41.25" customHeight="1">
      <c r="A106" s="2" t="s">
        <v>15</v>
      </c>
      <c r="B106" s="7" t="s">
        <v>16</v>
      </c>
      <c r="C106" s="10" t="s">
        <v>94</v>
      </c>
      <c r="D106" s="29">
        <f>700000+13429905</f>
        <v>14129905</v>
      </c>
      <c r="E106" s="22">
        <f t="shared" si="1"/>
        <v>1.626974845195349</v>
      </c>
      <c r="F106" s="29">
        <f>D106-G106</f>
        <v>13900015</v>
      </c>
      <c r="G106" s="32">
        <f>700000-200000-270000-110</f>
        <v>229890</v>
      </c>
    </row>
    <row r="107" spans="1:7" ht="43.5" customHeight="1">
      <c r="A107" s="2" t="s">
        <v>15</v>
      </c>
      <c r="B107" s="7" t="s">
        <v>16</v>
      </c>
      <c r="C107" s="10" t="s">
        <v>95</v>
      </c>
      <c r="D107" s="29">
        <v>4312001</v>
      </c>
      <c r="E107" s="22">
        <f>100-(F107/D107)*100</f>
        <v>81.40916479379295</v>
      </c>
      <c r="F107" s="29">
        <f>D107-585250-G107</f>
        <v>801637</v>
      </c>
      <c r="G107" s="30">
        <f>1980845+500000+444269</f>
        <v>2925114</v>
      </c>
    </row>
    <row r="108" spans="1:7" ht="60.75" customHeight="1">
      <c r="A108" s="2" t="s">
        <v>15</v>
      </c>
      <c r="B108" s="7" t="s">
        <v>16</v>
      </c>
      <c r="C108" s="10" t="s">
        <v>96</v>
      </c>
      <c r="D108" s="29">
        <f>700000+1158645</f>
        <v>1858645</v>
      </c>
      <c r="E108" s="22">
        <f t="shared" si="1"/>
        <v>52.18855671739359</v>
      </c>
      <c r="F108" s="29">
        <f>D108-G108</f>
        <v>888645</v>
      </c>
      <c r="G108" s="32">
        <f>700000+270000</f>
        <v>970000</v>
      </c>
    </row>
    <row r="109" spans="1:7" ht="45" customHeight="1">
      <c r="A109" s="2" t="s">
        <v>15</v>
      </c>
      <c r="B109" s="7" t="s">
        <v>16</v>
      </c>
      <c r="C109" s="10" t="s">
        <v>97</v>
      </c>
      <c r="D109" s="29">
        <f>208000+963</f>
        <v>208963</v>
      </c>
      <c r="E109" s="22">
        <f t="shared" si="1"/>
        <v>95.71072390806027</v>
      </c>
      <c r="F109" s="29">
        <f>D109-G109</f>
        <v>8963</v>
      </c>
      <c r="G109" s="32">
        <v>200000</v>
      </c>
    </row>
    <row r="110" spans="1:7" ht="40.5" customHeight="1">
      <c r="A110" s="2" t="s">
        <v>15</v>
      </c>
      <c r="B110" s="7" t="s">
        <v>16</v>
      </c>
      <c r="C110" s="10" t="s">
        <v>98</v>
      </c>
      <c r="D110" s="29">
        <f>400000+84238</f>
        <v>484238</v>
      </c>
      <c r="E110" s="22">
        <f t="shared" si="1"/>
        <v>100</v>
      </c>
      <c r="F110" s="29">
        <v>0</v>
      </c>
      <c r="G110" s="32">
        <f>400000-15594</f>
        <v>384406</v>
      </c>
    </row>
    <row r="111" spans="1:7" s="41" customFormat="1" ht="37.5">
      <c r="A111" s="4" t="s">
        <v>99</v>
      </c>
      <c r="B111" s="38" t="s">
        <v>100</v>
      </c>
      <c r="C111" s="38"/>
      <c r="D111" s="26">
        <f>SUM(D112:D115)</f>
        <v>15031000</v>
      </c>
      <c r="E111" s="26"/>
      <c r="F111" s="26">
        <f>SUM(F112:F115)</f>
        <v>9869000</v>
      </c>
      <c r="G111" s="28">
        <f>SUM(G112:G115)</f>
        <v>3313600</v>
      </c>
    </row>
    <row r="112" spans="1:7" s="19" customFormat="1" ht="42" customHeight="1">
      <c r="A112" s="2" t="s">
        <v>15</v>
      </c>
      <c r="B112" s="7" t="s">
        <v>16</v>
      </c>
      <c r="C112" s="10" t="s">
        <v>101</v>
      </c>
      <c r="D112" s="29">
        <v>4201000</v>
      </c>
      <c r="E112" s="22">
        <f>100-(F112/D112)*100</f>
        <v>39.0859319209712</v>
      </c>
      <c r="F112" s="29">
        <v>2559000</v>
      </c>
      <c r="G112" s="30">
        <v>1000000</v>
      </c>
    </row>
    <row r="113" spans="1:7" s="19" customFormat="1" ht="45" customHeight="1">
      <c r="A113" s="2" t="s">
        <v>15</v>
      </c>
      <c r="B113" s="7" t="s">
        <v>16</v>
      </c>
      <c r="C113" s="10" t="s">
        <v>102</v>
      </c>
      <c r="D113" s="29">
        <v>120000</v>
      </c>
      <c r="E113" s="22">
        <v>100</v>
      </c>
      <c r="F113" s="29">
        <v>0</v>
      </c>
      <c r="G113" s="32">
        <v>120000</v>
      </c>
    </row>
    <row r="114" spans="1:7" s="19" customFormat="1" ht="48.75" customHeight="1">
      <c r="A114" s="2" t="s">
        <v>41</v>
      </c>
      <c r="B114" s="7" t="s">
        <v>42</v>
      </c>
      <c r="C114" s="10" t="s">
        <v>103</v>
      </c>
      <c r="D114" s="29">
        <v>2200000</v>
      </c>
      <c r="E114" s="22">
        <v>100</v>
      </c>
      <c r="F114" s="29">
        <v>0</v>
      </c>
      <c r="G114" s="30">
        <v>993600</v>
      </c>
    </row>
    <row r="115" spans="1:7" s="19" customFormat="1" ht="52.5" customHeight="1">
      <c r="A115" s="2" t="s">
        <v>41</v>
      </c>
      <c r="B115" s="7" t="s">
        <v>42</v>
      </c>
      <c r="C115" s="10" t="s">
        <v>104</v>
      </c>
      <c r="D115" s="29">
        <v>8510000</v>
      </c>
      <c r="E115" s="22">
        <f>100-(F115/D115)*100</f>
        <v>14.10105757931845</v>
      </c>
      <c r="F115" s="29">
        <f>SUM(D115-G115)</f>
        <v>7310000</v>
      </c>
      <c r="G115" s="30">
        <v>1200000</v>
      </c>
    </row>
    <row r="116" spans="1:7" s="41" customFormat="1" ht="45.75" customHeight="1">
      <c r="A116" s="3" t="s">
        <v>105</v>
      </c>
      <c r="B116" s="8" t="s">
        <v>106</v>
      </c>
      <c r="C116" s="38"/>
      <c r="D116" s="26">
        <f>D117</f>
        <v>15046576</v>
      </c>
      <c r="E116" s="39"/>
      <c r="F116" s="26">
        <f>F117</f>
        <v>13127200</v>
      </c>
      <c r="G116" s="28">
        <f>G117</f>
        <v>1000000</v>
      </c>
    </row>
    <row r="117" spans="1:7" s="19" customFormat="1" ht="45.75" customHeight="1">
      <c r="A117" s="2" t="s">
        <v>15</v>
      </c>
      <c r="B117" s="7" t="s">
        <v>16</v>
      </c>
      <c r="C117" s="10" t="s">
        <v>107</v>
      </c>
      <c r="D117" s="29">
        <v>15046576</v>
      </c>
      <c r="E117" s="22">
        <f>100-(F117/D117)*100</f>
        <v>12.756231052167621</v>
      </c>
      <c r="F117" s="29">
        <f>D117-G117-169876-749500</f>
        <v>13127200</v>
      </c>
      <c r="G117" s="32">
        <v>1000000</v>
      </c>
    </row>
    <row r="118" spans="1:7" s="24" customFormat="1" ht="37.5" customHeight="1" thickBot="1">
      <c r="A118" s="5"/>
      <c r="B118" s="13"/>
      <c r="C118" s="13" t="s">
        <v>108</v>
      </c>
      <c r="D118" s="42">
        <f>D11+D12+D58+D73+D100+D104+D111+D116+D69</f>
        <v>2520062382</v>
      </c>
      <c r="E118" s="42"/>
      <c r="F118" s="42">
        <f>F11+F12+F58+F73+F100+F104+F111+F116+F69</f>
        <v>1676526188</v>
      </c>
      <c r="G118" s="43">
        <f>G11+G12+G58+G73+G100+G104+G111+G116+G69</f>
        <v>358173740</v>
      </c>
    </row>
    <row r="119" spans="1:7" ht="18" customHeight="1">
      <c r="A119" s="44"/>
      <c r="B119" s="45"/>
      <c r="C119" s="46"/>
      <c r="D119" s="47"/>
      <c r="E119" s="48"/>
      <c r="F119" s="47"/>
      <c r="G119" s="49"/>
    </row>
    <row r="120" spans="1:6" ht="18.75">
      <c r="A120" s="50"/>
      <c r="B120" s="51"/>
      <c r="D120" s="52"/>
      <c r="E120" s="53"/>
      <c r="F120" s="54"/>
    </row>
    <row r="121" ht="54.75" customHeight="1"/>
    <row r="122" spans="2:6" ht="126.75" customHeight="1">
      <c r="B122" s="55" t="s">
        <v>109</v>
      </c>
      <c r="C122" s="56"/>
      <c r="D122" s="56"/>
      <c r="E122" s="56"/>
      <c r="F122" s="56" t="s">
        <v>112</v>
      </c>
    </row>
    <row r="123" ht="18.75">
      <c r="G123" s="49"/>
    </row>
    <row r="126" ht="18.75">
      <c r="G126" s="49"/>
    </row>
  </sheetData>
  <sheetProtection/>
  <mergeCells count="12">
    <mergeCell ref="E8:E9"/>
    <mergeCell ref="F8:F9"/>
    <mergeCell ref="B13:B16"/>
    <mergeCell ref="A13:A16"/>
    <mergeCell ref="A44:A48"/>
    <mergeCell ref="B44:B48"/>
    <mergeCell ref="G8:G9"/>
    <mergeCell ref="E2:G2"/>
    <mergeCell ref="A3:F3"/>
    <mergeCell ref="A4:F4"/>
    <mergeCell ref="C8:C9"/>
    <mergeCell ref="D8:D9"/>
  </mergeCells>
  <printOptions/>
  <pageMargins left="0.53" right="0.32" top="0.48" bottom="0.35" header="0.3" footer="0.26"/>
  <pageSetup horizontalDpi="600" verticalDpi="600" orientation="landscape" paperSize="9" scale="72" r:id="rId1"/>
  <headerFooter alignWithMargins="0">
    <oddHeader>&amp;C&amp;P</oddHeader>
  </headerFooter>
  <rowBreaks count="4" manualBreakCount="4">
    <brk id="23" max="6" man="1"/>
    <brk id="50" max="6" man="1"/>
    <brk id="78" max="6" man="1"/>
    <brk id="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Tenderniy comitet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TendCom</dc:creator>
  <cp:keywords/>
  <dc:description/>
  <cp:lastModifiedBy>4</cp:lastModifiedBy>
  <cp:lastPrinted>2007-12-20T08:10:22Z</cp:lastPrinted>
  <dcterms:created xsi:type="dcterms:W3CDTF">2007-08-07T08:00:39Z</dcterms:created>
  <dcterms:modified xsi:type="dcterms:W3CDTF">2008-01-30T07:37:47Z</dcterms:modified>
  <cp:category/>
  <cp:version/>
  <cp:contentType/>
  <cp:contentStatus/>
</cp:coreProperties>
</file>