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 name="Л" sheetId="2" r:id="rId2"/>
    <sheet name="Х" sheetId="3" r:id="rId3"/>
    <sheet name="О" sheetId="4" r:id="rId4"/>
    <sheet name="ж" sheetId="5" r:id="rId5"/>
    <sheet name="Ш" sheetId="6" r:id="rId6"/>
    <sheet name="З" sheetId="7" r:id="rId7"/>
    <sheet name="К" sheetId="8" r:id="rId8"/>
  </sheets>
  <definedNames>
    <definedName name="_xlnm.Print_Area" localSheetId="4">'ж'!$A$1:$N$83</definedName>
    <definedName name="_xlnm.Print_Area" localSheetId="6">'З'!$A$1:$N$81</definedName>
    <definedName name="_xlnm.Print_Area" localSheetId="7">'К'!$A$1:$N$78</definedName>
    <definedName name="_xlnm.Print_Area" localSheetId="1">'Л'!$A$1:$N$78</definedName>
    <definedName name="_xlnm.Print_Area" localSheetId="0">'Місто'!$A$1:$N$220</definedName>
    <definedName name="_xlnm.Print_Area" localSheetId="3">'О'!$A$1:$N$81</definedName>
    <definedName name="_xlnm.Print_Area" localSheetId="2">'Х'!$A$1:$N$83</definedName>
    <definedName name="_xlnm.Print_Area" localSheetId="5">'Ш'!$A$1:$N$85</definedName>
  </definedNames>
  <calcPr fullCalcOnLoad="1"/>
</workbook>
</file>

<file path=xl/sharedStrings.xml><?xml version="1.0" encoding="utf-8"?>
<sst xmlns="http://schemas.openxmlformats.org/spreadsheetml/2006/main" count="1421" uniqueCount="449">
  <si>
    <t>Відділ по роботі з документами дозвільного характеру міської ради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</si>
  <si>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</si>
  <si>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</si>
  <si>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громадянам, які постраждали внаслідок Чорнобильскої катастрофи, на придбання твердого палива</t>
  </si>
  <si>
    <t>Пільги громадянам, передбачені пунктом "І" частини першої статті 77 Основ законодавства про охорону здоров'я, частиною четвертою статті 29 Основ законодавства про культуру, абзацем першим частини четвертої статті 57 Закону України "Про освіту",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</si>
  <si>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Розподіл видатків Комунарського району  на 2006 рік за головними розпорядниками коштів</t>
  </si>
  <si>
    <t>Розподіл видатків Заводського району  на 2006 рік за головними розпорядниками коштів</t>
  </si>
  <si>
    <t>Розподіл видатків Шевченківського району  на 2006 рік за головними розпорядниками коштів</t>
  </si>
  <si>
    <t>Розподіл видатків Жовтневого району  на 2006 рік за головними розпорядникамикоштів</t>
  </si>
  <si>
    <t>Розподіл видатків Орджонікідзевського району на 2006 рік за головними розпорядниками коштів</t>
  </si>
  <si>
    <t>Розподіл видатків Хортицького району на 2006 рік за головними розпорядниками коштів</t>
  </si>
  <si>
    <t>Розподіл видатків Ленінського району на 2006 рік за головними розпорядниками коштів</t>
  </si>
  <si>
    <t>Проведення виборів народних депутатів Верховної Ради Автономної Республіки Крим, місцевих рад та сільських, селищних, міських голів</t>
  </si>
  <si>
    <t>Інші 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і ветеранів державної пожежної охорони, особам, звільненим з військової служби, які стали інвалідами під час проходження військової служби</t>
  </si>
  <si>
    <t xml:space="preserve">Охорона здоров'я </t>
  </si>
  <si>
    <t>Групи по центральному господарскому обслуговування</t>
  </si>
  <si>
    <t>Видатки загального фонду</t>
  </si>
  <si>
    <t>Видатки спеціального фонду</t>
  </si>
  <si>
    <t>Всього</t>
  </si>
  <si>
    <t>поточні (код 1000)</t>
  </si>
  <si>
    <t>з них: оплата праці (код 1110)</t>
  </si>
  <si>
    <t>оплата за енергоносії (код 1160)</t>
  </si>
  <si>
    <t>Капітальні (код 2000)</t>
  </si>
  <si>
    <t>З них: Бюджет розвитку</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</si>
  <si>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</si>
  <si>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</si>
  <si>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</si>
  <si>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</si>
  <si>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</si>
  <si>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</si>
  <si>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</si>
  <si>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</si>
  <si>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</si>
  <si>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</si>
  <si>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Групи по централізованому господарському обслуговуванню</t>
  </si>
  <si>
    <t>080000</t>
  </si>
  <si>
    <t>Охорона здоров'я</t>
  </si>
  <si>
    <t>080101</t>
  </si>
  <si>
    <t>Лікарні</t>
  </si>
  <si>
    <t>080300</t>
  </si>
  <si>
    <t>Поліклініки і амбулаторії</t>
  </si>
  <si>
    <t>080500</t>
  </si>
  <si>
    <t>Загальні і спеціалізовані стоматологічні поліклініки</t>
  </si>
  <si>
    <t>080704</t>
  </si>
  <si>
    <t>081002</t>
  </si>
  <si>
    <t xml:space="preserve">Інші заходи </t>
  </si>
  <si>
    <t>081003</t>
  </si>
  <si>
    <t>081004</t>
  </si>
  <si>
    <t>Централізовані бухгалтерії</t>
  </si>
  <si>
    <t>090000</t>
  </si>
  <si>
    <t>090412</t>
  </si>
  <si>
    <t>091103</t>
  </si>
  <si>
    <t>091204</t>
  </si>
  <si>
    <t>Територіальні центри і відділення соціальної допомоги на дому</t>
  </si>
  <si>
    <t>Капітальний ремонт житлового фонду комунальної власності</t>
  </si>
  <si>
    <t>Благоустрій міста</t>
  </si>
  <si>
    <t>110000</t>
  </si>
  <si>
    <t xml:space="preserve">Культура </t>
  </si>
  <si>
    <t>Театри</t>
  </si>
  <si>
    <t>Бібліотеки</t>
  </si>
  <si>
    <t>Школи естетичного виховання дітей</t>
  </si>
  <si>
    <t xml:space="preserve">Інші культурно-освітні заклади та заходи </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</si>
  <si>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</si>
  <si>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</si>
  <si>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</si>
  <si>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</si>
  <si>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</si>
  <si>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</si>
  <si>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Підтримка малого та середнього підприємництва</t>
  </si>
  <si>
    <t>210105</t>
  </si>
  <si>
    <t xml:space="preserve">Заходи з організації рятування на водах </t>
  </si>
  <si>
    <t>240900</t>
  </si>
  <si>
    <t>Різні виплати</t>
  </si>
  <si>
    <t>250404</t>
  </si>
  <si>
    <t xml:space="preserve">Інші видатки </t>
  </si>
  <si>
    <t>Разом видатків</t>
  </si>
  <si>
    <t>250301</t>
  </si>
  <si>
    <t>Кошти, що передаються до Державного бюджету</t>
  </si>
  <si>
    <t>Дошкільні заклади освіти</t>
  </si>
  <si>
    <t>Фізична культура і спорт</t>
  </si>
  <si>
    <t>Всього видатків</t>
  </si>
  <si>
    <t>поточні (Код 1000)</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</si>
  <si>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</si>
  <si>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</si>
  <si>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</si>
  <si>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</si>
  <si>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Охорона здоров"я</t>
  </si>
  <si>
    <t>Хортицька райадміністрація</t>
  </si>
  <si>
    <t>080203</t>
  </si>
  <si>
    <t>Пологові будинки</t>
  </si>
  <si>
    <t xml:space="preserve">Поліклініки та амбулаторії </t>
  </si>
  <si>
    <t>090305</t>
  </si>
  <si>
    <t>090405</t>
  </si>
  <si>
    <t>Цільові фонди</t>
  </si>
  <si>
    <t>Вечірні( змінні) школи</t>
  </si>
  <si>
    <t>Інші заклади  освіти</t>
  </si>
  <si>
    <t>Інші заходи  по охороні здоров*я</t>
  </si>
  <si>
    <t>РАЗОМ</t>
  </si>
  <si>
    <t>Вечірні (змінні) школи</t>
  </si>
  <si>
    <t>Інші заклади освіти</t>
  </si>
  <si>
    <t>Поліклініки і амбулаторіі</t>
  </si>
  <si>
    <t>Загальні спеціалізовані стоматологічні поліклініки</t>
  </si>
  <si>
    <t>Інші заходи по охороні здоров`я</t>
  </si>
  <si>
    <t>Централізовані бухгалтеріі</t>
  </si>
  <si>
    <t xml:space="preserve">Допомога у зв`язку з вагітністю та пологами </t>
  </si>
  <si>
    <t>Одноразова допомога при народженні дитини</t>
  </si>
  <si>
    <t>070806</t>
  </si>
  <si>
    <t>Інші заходи по охороні здоров"я</t>
  </si>
  <si>
    <t>оплата праці (Код 1110)</t>
  </si>
  <si>
    <t>оплата комунальних послуг та енергоносіїв (код 1160)</t>
  </si>
  <si>
    <t>Капітальні (Код 2000)</t>
  </si>
  <si>
    <t>З них : Бюджет розвитку</t>
  </si>
  <si>
    <t>Спеціальні загальноосвітні школи -інтернати,школи та інші заклади освіти для дітей з вадами у фізичному чи розумовуму розвитку</t>
  </si>
  <si>
    <t>Інші заходи по  охороні здоров"я</t>
  </si>
  <si>
    <t>_________ № _____</t>
  </si>
  <si>
    <t xml:space="preserve"> до рішення міської ради</t>
  </si>
  <si>
    <t xml:space="preserve">Охорона здоров'я             </t>
  </si>
  <si>
    <t xml:space="preserve">Охорона здоров"я                                                     </t>
  </si>
  <si>
    <t>Вечірні  (змінні) школи</t>
  </si>
  <si>
    <t>Спеціальні загальноосвітні школи-інтернати та інші заклади освіти для дітей з вадами у фізичному чи розумовому розвитку</t>
  </si>
  <si>
    <t>Полікліники і амбулаторії</t>
  </si>
  <si>
    <t>Загальні і спеціалізовані стоматполіклініки</t>
  </si>
  <si>
    <t>Спеціальні монтажно-експлуатаційні підрозділи</t>
  </si>
  <si>
    <t>091300</t>
  </si>
  <si>
    <t>250400</t>
  </si>
  <si>
    <t>Охорона здоров*я</t>
  </si>
  <si>
    <t>170102</t>
  </si>
  <si>
    <t>170602</t>
  </si>
  <si>
    <t>090300</t>
  </si>
  <si>
    <t>090301</t>
  </si>
  <si>
    <t>090302</t>
  </si>
  <si>
    <t>090303</t>
  </si>
  <si>
    <t>090304</t>
  </si>
  <si>
    <t>Виконавчий комітет міської ради</t>
  </si>
  <si>
    <t>Головне управління архітектури та містобудування міської ради</t>
  </si>
  <si>
    <t>Управління житлового господарства міської ради</t>
  </si>
  <si>
    <t>Управління комунального господарства міської ради</t>
  </si>
  <si>
    <t>Управління з питань екології міської ради</t>
  </si>
  <si>
    <t>Управління праці та соціального захисту населення міської ради</t>
  </si>
  <si>
    <t>Управління культури міської ради</t>
  </si>
  <si>
    <t>Управління охорони здоров'я міської ради</t>
  </si>
  <si>
    <t>Управління з питань фізичної культури, спорту та туризму міської ради</t>
  </si>
  <si>
    <t>Комітет у справах сім'ї та молоді міської ради</t>
  </si>
  <si>
    <t>Управління комунальної власності міської ради</t>
  </si>
  <si>
    <t>Відділ реєстрації та єдиного реєстру міської ради</t>
  </si>
  <si>
    <t>Управління у справах приватизації міської ради</t>
  </si>
  <si>
    <t>Управління з питань надзвичайних ситуацій та цивільного захисту населення міської ради</t>
  </si>
  <si>
    <t>Фінансове управління міської ради</t>
  </si>
  <si>
    <t>у тому числі</t>
  </si>
  <si>
    <t>Інші видатки</t>
  </si>
  <si>
    <t>Соціальний захист та соціальне забезпечення</t>
  </si>
  <si>
    <t>Додаткові виплати населенню на покриття витрат на оплату житлово-комунальних послуг</t>
  </si>
  <si>
    <t xml:space="preserve">Державна соціальна допомога інвалідам з дитинства та дітям - інвалідам </t>
  </si>
  <si>
    <t xml:space="preserve">Державна соціальна допомога інвалідам з дитинства та дітям-інвалідам </t>
  </si>
  <si>
    <t xml:space="preserve">Освіта                                                      </t>
  </si>
  <si>
    <t xml:space="preserve">Секретар ради                                                                                        І.І. Наливайко    </t>
  </si>
  <si>
    <t>Преса</t>
  </si>
  <si>
    <t>Управління транспорту та зв'язку міської ради</t>
  </si>
  <si>
    <t xml:space="preserve">      до рішення міської ради</t>
  </si>
  <si>
    <t xml:space="preserve">      _________ № _____</t>
  </si>
  <si>
    <t xml:space="preserve">  до рішення міської ради    </t>
  </si>
  <si>
    <t xml:space="preserve">  _________ № _____</t>
  </si>
  <si>
    <t xml:space="preserve"> _________ № _____</t>
  </si>
  <si>
    <t xml:space="preserve"> Додаток 3.1.                           </t>
  </si>
  <si>
    <t>061002</t>
  </si>
  <si>
    <t>090201</t>
  </si>
  <si>
    <t>090206</t>
  </si>
  <si>
    <t>091209</t>
  </si>
  <si>
    <t>Кошти, передані із загального фонду бюджету до бюджету розвитку (спеціальний фонд)</t>
  </si>
  <si>
    <t>Видатки всього</t>
  </si>
  <si>
    <t>Центри здоров'я і заходи у сфері  санітарної освіти</t>
  </si>
  <si>
    <t>090202</t>
  </si>
  <si>
    <t>090203</t>
  </si>
  <si>
    <t>090204</t>
  </si>
  <si>
    <t>090205</t>
  </si>
  <si>
    <t>090207</t>
  </si>
  <si>
    <t>Пільги громадянам, які постраждали внаслідок Чорнобильскої катастрофи на житлово - комунальни послуги</t>
  </si>
  <si>
    <t>090208</t>
  </si>
  <si>
    <t>090209</t>
  </si>
  <si>
    <t xml:space="preserve">Інші пільги громадянам, які постраждали внаслідок Чорнобильскої катастрофи </t>
  </si>
  <si>
    <t>Допомога на дітей одиноким матерям</t>
  </si>
  <si>
    <t>Допомога на дітей, які перебувають під опікою чи піклуванням</t>
  </si>
  <si>
    <t>090401</t>
  </si>
  <si>
    <t>Державна соціальна допомога малозабезпечиним сім"ям</t>
  </si>
  <si>
    <t>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</si>
  <si>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 прибання твердого та рідкого пічного побутового палива і скрапленого газу</t>
  </si>
  <si>
    <t xml:space="preserve">Інші видатки на соціальний захист населення </t>
  </si>
  <si>
    <t xml:space="preserve">Програма фінансової підтримки квартальних , будинкових та  вуличних  комітетів </t>
  </si>
  <si>
    <t xml:space="preserve">Разом        </t>
  </si>
  <si>
    <t xml:space="preserve">Всього     </t>
  </si>
  <si>
    <t>з них: оплата праці       (Код 1110)</t>
  </si>
  <si>
    <t>оплата  за енерго-носії (Код 1160)</t>
  </si>
  <si>
    <t xml:space="preserve">Всього       </t>
  </si>
  <si>
    <t>поточні      (Код 1000)</t>
  </si>
  <si>
    <t>з них: оплата праці (Код 1110)</t>
  </si>
  <si>
    <t>капіталь-ні            (Код 2000)</t>
  </si>
  <si>
    <t>З них:бюджет розвитку</t>
  </si>
  <si>
    <t xml:space="preserve">Освіта </t>
  </si>
  <si>
    <t>Пільги ветеранам військової служби та ветеранам органів внутрішніх справ  на придбання твердого палива та скрапленого газу</t>
  </si>
  <si>
    <t>Допомога в зв"язку з вагітністю і пологами</t>
  </si>
  <si>
    <t>Допомога на догляд за дитиною віком до 3-х років незастрахованим матерям</t>
  </si>
  <si>
    <t>Допомога на дітей,які перебувають під опікою чи піклуванням</t>
  </si>
  <si>
    <t>Державна соціальна допомога малозабезпеченим сім"ям</t>
  </si>
  <si>
    <t>у тому числі:</t>
  </si>
  <si>
    <t>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</si>
  <si>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 придбання твердого та рідкого пічного побутового палива і скрапленого газу</t>
  </si>
  <si>
    <t>Інші видатки на соціальний захист населення</t>
  </si>
  <si>
    <t>Державна соціальна допомога інвалідам з дитинства та дітям-інвалідам</t>
  </si>
  <si>
    <t xml:space="preserve">Благоустрій міста </t>
  </si>
  <si>
    <t xml:space="preserve">Періодичні видання </t>
  </si>
  <si>
    <t>ВСЬОГО  ВИДАТКІВ</t>
  </si>
  <si>
    <t>Інші пільги ветеранам військової служби та ветеранам органів внутрішніх справ</t>
  </si>
  <si>
    <t>Пільги громадянам, які постраждали внаслідок Чорнобильської катастрофи на придбання твердого палива та скрапленого газу</t>
  </si>
  <si>
    <t xml:space="preserve">Інші пільги громадянам, які постраждали внаслідок Чорнобильської катастрофи </t>
  </si>
  <si>
    <t xml:space="preserve">Допомога у зв`язку з вагітністю і пологами </t>
  </si>
  <si>
    <t xml:space="preserve">Державнв соціальна допомога малозабеспеченим сім"ям </t>
  </si>
  <si>
    <t>на оплату електроенергії, природного газу, послуг тепло-водопостачання і водовідведення, квартирної плати, вивезення побутового сміття та рідких нечистот</t>
  </si>
  <si>
    <t>Фінансова підтримка громадських організацій інвалідів і ветеранів</t>
  </si>
  <si>
    <t>Державна соціальна допомога інвалідам з дитинства та дітям - інвалідам -</t>
  </si>
  <si>
    <t xml:space="preserve">                 </t>
  </si>
  <si>
    <t xml:space="preserve">Охорона здоров"я </t>
  </si>
  <si>
    <t xml:space="preserve"> Інші пільги громадянам, які постраждали внаслідок Чорнобильскої катастрофи </t>
  </si>
  <si>
    <t>Допомога у зв"язку з вагітністю і пологами</t>
  </si>
  <si>
    <t>Допомога на догляд за дитиною до 3-х років незастрахованим матерям</t>
  </si>
  <si>
    <t xml:space="preserve">Державна соціальна допомога малозабезпеченим сім"ям </t>
  </si>
  <si>
    <t xml:space="preserve">на сплату електроенергії,природного газу, послуг тепло-водопостачання і водовідведення, квартирної плати , вивезення побутового сміття та рідких нечистот </t>
  </si>
  <si>
    <t>Допомога на  догляд за дитиною віком до 3-х років незастрахованим матерям</t>
  </si>
  <si>
    <t>на оплату електроенергії, природного газу, послуг тепло-, водопостачання і водовідведення, квартирної  плати,вивезення побутового сміття та рідких нечистот</t>
  </si>
  <si>
    <t xml:space="preserve"> на придбання твердого  та рідкого пічного побутового палива і  скрапленого газу</t>
  </si>
  <si>
    <t>Цільові фонди, утворені органами місцевого самоврядування</t>
  </si>
  <si>
    <t xml:space="preserve">Інші видатки   </t>
  </si>
  <si>
    <t>Державна допомога сім`ям з дітьми-Управління праці та соціального захисту  населення Жовтневої райадміністраціі</t>
  </si>
  <si>
    <t>Допомога на догляд  за дитиною віком до 3-х років незастрахованим матерям</t>
  </si>
  <si>
    <t>Державна соціальна допомога  малозабезпеченим сім"ям</t>
  </si>
  <si>
    <t>Інші видатки на соціальний  захист населення</t>
  </si>
  <si>
    <t>Інші пільги громадянам, які постраждали внаслідок Чорнобильської катострофи</t>
  </si>
  <si>
    <t>в тому числі</t>
  </si>
  <si>
    <t xml:space="preserve"> Додаток 3.3.                           </t>
  </si>
  <si>
    <t>Видатки на поховання безрідних та невідомих громадян міста</t>
  </si>
  <si>
    <t>Програма фінансової підтримки громадських організацій інвалідів та ветеранів</t>
  </si>
  <si>
    <t>Програма фінансової підтримки  громадських організацій інвалідів та ветеранів</t>
  </si>
  <si>
    <t>на оплату електроенергії, природного газу, послуг тепло,-водопостачання і водовідведення, квартирної плати, вивезення побутового сміття та рідких нечистот.</t>
  </si>
  <si>
    <t>Групи по ценралізованому господарському обслуговуванню</t>
  </si>
  <si>
    <t>081009</t>
  </si>
  <si>
    <t>Програма "Спеціалізований депутатський фонд"</t>
  </si>
  <si>
    <t>090306</t>
  </si>
  <si>
    <t>Допомога малозабезпеченим сім'ям з дітьми</t>
  </si>
  <si>
    <t>Допомога на  дітей одиноким матерям</t>
  </si>
  <si>
    <t>Програма фінансування заходів на ліквідацію епідситуації з лептоспірозом та малярією</t>
  </si>
  <si>
    <t>Обслуговування внутрішнього боргу</t>
  </si>
  <si>
    <t xml:space="preserve"> до рішення  міської ради</t>
  </si>
  <si>
    <t>Секретар ради</t>
  </si>
  <si>
    <t>І.І. Наливайко</t>
  </si>
  <si>
    <t>008</t>
  </si>
  <si>
    <t>Міська цільова програма "Призовна дільниця"</t>
  </si>
  <si>
    <t xml:space="preserve">Програма фінансової підтримки квартальних та будинкових  комітетів </t>
  </si>
  <si>
    <t xml:space="preserve">Допомога малозабезпеченим сім'ям з дітьми </t>
  </si>
  <si>
    <t>081</t>
  </si>
  <si>
    <t>241</t>
  </si>
  <si>
    <t>Програма фінансової підтримки громадських організацій інвалідів і ветеранів</t>
  </si>
  <si>
    <t>240601</t>
  </si>
  <si>
    <t>150101</t>
  </si>
  <si>
    <t>Капітальні вкладення</t>
  </si>
  <si>
    <t>250311</t>
  </si>
  <si>
    <t>250306</t>
  </si>
  <si>
    <t>130112</t>
  </si>
  <si>
    <t>Головне економічне управління міської ради</t>
  </si>
  <si>
    <t>капітальні       (Код 2000)</t>
  </si>
  <si>
    <t>Програма компенсації пільгового проїзду окремих категорій громадян залізничним транспортом</t>
  </si>
  <si>
    <t>Програма компенсації пільгового проїзду окремих категорій громадян річковим транспортом</t>
  </si>
  <si>
    <t>Програма на фінансування видатків на погашення витрат, пов'язаних з оформленням кредиту комунальним підприємтсвом "Експлуатаційне лінійне управління автомобільних шляхів"</t>
  </si>
  <si>
    <t>230100</t>
  </si>
  <si>
    <t>Програма по забезпеченню безпеки руху на вулично-шляховій мережі та залізничних переїздах м.Запоріжжя</t>
  </si>
  <si>
    <t>Міська комплексна програма соціального захисту населення м.Запоріжжя</t>
  </si>
  <si>
    <t>Утримання  комунальної спеціальної воєнізованої аварійно-рятувальної служби</t>
  </si>
  <si>
    <t>250315</t>
  </si>
  <si>
    <t>006</t>
  </si>
  <si>
    <t>190</t>
  </si>
  <si>
    <t>100</t>
  </si>
  <si>
    <t>211</t>
  </si>
  <si>
    <t>020</t>
  </si>
  <si>
    <t>050</t>
  </si>
  <si>
    <t>030</t>
  </si>
  <si>
    <t>150</t>
  </si>
  <si>
    <t>060</t>
  </si>
  <si>
    <t>240</t>
  </si>
  <si>
    <t>070</t>
  </si>
  <si>
    <t>160</t>
  </si>
  <si>
    <t>220</t>
  </si>
  <si>
    <t>230</t>
  </si>
  <si>
    <t>091101</t>
  </si>
  <si>
    <t>091102</t>
  </si>
  <si>
    <t>250908</t>
  </si>
  <si>
    <t>Надання пільгового довгострокового кредиту громадянам на будівництво (реконструкцію) та придбання житла</t>
  </si>
  <si>
    <t>Загальноосвітні школи (в т.ч.школа-дитячий садок, інтернат при школі), спеціалізовані школи, ліцеї, гімназії, колегіуми)</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</si>
  <si>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</si>
  <si>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</si>
  <si>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</si>
  <si>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</si>
  <si>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</si>
  <si>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</si>
  <si>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Інші пільги ветеранам війни та праці, реабілітованим громадянам, які стали інвалідами внаслідок репресій або є пенсіонерами</t>
  </si>
  <si>
    <t>Палаци і будинки культури, клуби та інші заклади клубного типу</t>
  </si>
  <si>
    <t>Періодичні видання (газети та журнали)</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</si>
  <si>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</si>
  <si>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</si>
  <si>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</si>
  <si>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</si>
  <si>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</si>
  <si>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</si>
  <si>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Дотація вирівнювання бюджету Тепличної селищної ради</t>
  </si>
  <si>
    <t>Інші дотації</t>
  </si>
  <si>
    <t xml:space="preserve">Лікарні </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</si>
  <si>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</si>
  <si>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</si>
  <si>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Програма на погашення заборгованості по компенсації пільгового проїзду окремих категорій громадян річковим транспортом в навігацію 2003 року</t>
  </si>
  <si>
    <t>Програма компенсації пільгового проїзду учнів середніх загальноосвітніх навчальних закладів, учнів професійно-технічних навчальних закладів та студентів вищих навчальних закладів І-ІV рівнів акредитації денної форми навчання у міському електротранспорті</t>
  </si>
  <si>
    <t>Програма матеріальної допомоги почесним громадянам міста Запоріжжя</t>
  </si>
  <si>
    <t>Управління освіти і науки міської ради</t>
  </si>
  <si>
    <t>Програма матеріальної підтримки обдарованої молоді</t>
  </si>
  <si>
    <t>Програма забезпечення громадської безпеки і профілактики злочинності у м.Запоріжжі, матеріально-технічної бази органів та підрозділів ЗМУ УМВС України в Запорізькій області</t>
  </si>
  <si>
    <t>180409</t>
  </si>
  <si>
    <t>Внески органів місцевого самоврядування у статутні фонди суб'єктів підприємницької діяльності</t>
  </si>
  <si>
    <t>091108</t>
  </si>
  <si>
    <t>Програма ремонту внутрішньоквартальних шляхів</t>
  </si>
  <si>
    <t xml:space="preserve">      Додаток  3.2                         </t>
  </si>
  <si>
    <t xml:space="preserve">Додаток  3.4                </t>
  </si>
  <si>
    <t xml:space="preserve">Додаток  3.5                </t>
  </si>
  <si>
    <t xml:space="preserve">Додаток   3.6                 </t>
  </si>
  <si>
    <t xml:space="preserve">  Додаток   3.8          </t>
  </si>
  <si>
    <t>150122</t>
  </si>
  <si>
    <t>Інвестиційні проекти</t>
  </si>
  <si>
    <t>091207</t>
  </si>
  <si>
    <t>Пільги, що надаються населенню (крім ветеранів війни і праці) по оплаті житлово-комунальних послуг і природного газу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</si>
  <si>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</si>
  <si>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090417</t>
  </si>
  <si>
    <t>Витрати на поховання учасників бойових дій</t>
  </si>
  <si>
    <t>Забезпечення діяльності депутатів міської ради</t>
  </si>
  <si>
    <t xml:space="preserve">                                                               Назва головного розпорядника              Назва підрозділу бюджетної класифікації</t>
  </si>
  <si>
    <t>КВК/      КФКВ</t>
  </si>
  <si>
    <t xml:space="preserve">                                                    Назва головного розпорядника                    Назва підрозділу бюджетної класифікації</t>
  </si>
  <si>
    <t>Жовтнева райадміністрація міської ради</t>
  </si>
  <si>
    <t>Відділ освіти Жовтневої райадміністрації міської ради</t>
  </si>
  <si>
    <t>Управління праці та соціального захисту населення Жовтневої райадміністрації міської ради</t>
  </si>
  <si>
    <t>Віддділ комунального господарства  Жовтневої райадміністрації міської ради</t>
  </si>
  <si>
    <t>Фінансове управління Жовтневої райадміністрації міської ради</t>
  </si>
  <si>
    <t>Орджонікідзевська райадміністрація міської ради</t>
  </si>
  <si>
    <t>Відділ освіти Орджонікідзевської райадміністрації міської ради</t>
  </si>
  <si>
    <t>Управління праці та соціального захисту населення Орджонікідзев-ської райадміністрації міської ради</t>
  </si>
  <si>
    <t>Відділ комунального господарства Орджонікідзевської райадміністрації міської ради</t>
  </si>
  <si>
    <t>Фінансове управління Орджонікідзевської райадміністрації міської ради</t>
  </si>
  <si>
    <t>Заводська райадміністрація міської ради</t>
  </si>
  <si>
    <t>Відділ освіти Заводської райадміністрації міської ради</t>
  </si>
  <si>
    <t>Управління праці та соціального захисту населення Заводської райадміністрації міської ради</t>
  </si>
  <si>
    <t>Відділ комунального господарства Заводської райадміністрації міської ради</t>
  </si>
  <si>
    <t>Фінансове управління Заводської райадміністрації міської ради</t>
  </si>
  <si>
    <t>Шевченківська райадміністрація міської ради</t>
  </si>
  <si>
    <t>Відділ освіти Шевченківської райадміністрації міської ради</t>
  </si>
  <si>
    <t>Управління праці та соціального захисту населення Шевченківської райадміністрації міської ради</t>
  </si>
  <si>
    <t>Відділ комунального господарства Шевченківської райадміністрації міської ради</t>
  </si>
  <si>
    <t>Фінансове управління Шевченківської райадміністрації міської ради</t>
  </si>
  <si>
    <t>Комунарська райадміністрація міської ради</t>
  </si>
  <si>
    <t>Відділ освіти Комунарської райадміністрації міської ради</t>
  </si>
  <si>
    <t>Управління праці та соціального захисту населення Комунарської райадміністрації міської ради</t>
  </si>
  <si>
    <t>Відділ комунального господарства Комунарської райадміністрації міської ради</t>
  </si>
  <si>
    <t>Фінансове управління Комунарської райадміністрації міської ради</t>
  </si>
  <si>
    <t>Ленінська райадміністрація міської ради</t>
  </si>
  <si>
    <t>Відділ освіти Ленінської райадміністрації міської ради</t>
  </si>
  <si>
    <t>Управління праці та соціального захисту населення Ленінської райадміністрації міської ради</t>
  </si>
  <si>
    <t>Відділ комунального господарства Ленінської райадміністрації міської ради</t>
  </si>
  <si>
    <t>Фінансове управління Ленінської райадміністрації міської ради</t>
  </si>
  <si>
    <t xml:space="preserve"> Хортицька райадміністрація міської ради</t>
  </si>
  <si>
    <t xml:space="preserve"> Відділ освіти Хортицької райадміністрації міської ради</t>
  </si>
  <si>
    <t xml:space="preserve"> Управління праці та соціального захисту населення Хортицької райадміністрації міської ради</t>
  </si>
  <si>
    <t>Фінансове управління Хортицької райадміністрації міської ради</t>
  </si>
  <si>
    <t xml:space="preserve"> Відділ комунального господарства Хортицької райадміністрації міської ради</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</si>
  <si>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</si>
  <si>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</si>
  <si>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Програма погашення заборгованості управління комунального господарства міської ради перед управлінням житлового господарства міської ради, яка виникла внаслідок передачи векселя</t>
  </si>
  <si>
    <t>(грн.)</t>
  </si>
  <si>
    <t>Капітальний ремонт житлового фонду об'єднань співвласників багатоквартирних будинків</t>
  </si>
  <si>
    <t>100103</t>
  </si>
  <si>
    <t>Дотація житлово-комунальному господарству</t>
  </si>
  <si>
    <t xml:space="preserve">Додаток   3.7             </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</si>
  <si>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</si>
  <si>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</si>
  <si>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Соціальні програми і заходи державних органів у справах сім'ї, дітей та молоді</t>
  </si>
  <si>
    <t>070808</t>
  </si>
  <si>
    <t>Допомога дітям-сиротам та дітям, позбавленим батьківського піклування, яким виповнюється 18 років</t>
  </si>
  <si>
    <t>070402</t>
  </si>
  <si>
    <t>Заходи з оздоровлення та відпочинку дітей (крім заходів з реалізації регіональних програм відпочинку та оздоровлення дітей)</t>
  </si>
  <si>
    <t>Програма компенсації пільгового проїзду студентів вищих навчальних закладів І-ІV рівнів акредитації денної форми навчання та учнів професійно-технічних навчальних закладів у міському електротранспорті</t>
  </si>
  <si>
    <t>Програма земельної реформи в місті Запоріжжя на 2005 рік</t>
  </si>
  <si>
    <t>Програма утримання житлового фонду комунальної власності</t>
  </si>
  <si>
    <t>083</t>
  </si>
  <si>
    <t>Капітальний ремонт житлового фонду ЖБК</t>
  </si>
  <si>
    <t>170302</t>
  </si>
  <si>
    <t>Компенсаційні виплати за пільговий проїзд окремих категорій громадян на залізничному транспорті</t>
  </si>
  <si>
    <t>090210</t>
  </si>
  <si>
    <t>100202</t>
  </si>
  <si>
    <t>200700</t>
  </si>
  <si>
    <t>170203</t>
  </si>
  <si>
    <t>Програма про посилення контролю за дотриманням природоохоронного законодавства</t>
  </si>
  <si>
    <t>Управління розвитку підприємництва, торгівлі та послуг міської ради</t>
  </si>
  <si>
    <t>Програми і заходи центрів соціальних служб для сім'ї, дітей та молоді</t>
  </si>
  <si>
    <t>250344</t>
  </si>
  <si>
    <t>Субвенція до державного бюджету на виконання програм соціально-економічного та культурного розвитку регіонів</t>
  </si>
  <si>
    <t>Програма участі депутатів міської ради, як представників інтересів жителів виборчих округів, у поліпшенні житлового фонду, зовнішнього вигляду міста та у розвитку соціально-культурної інфраструктури міста</t>
  </si>
  <si>
    <t>090413</t>
  </si>
  <si>
    <t xml:space="preserve">Допомога на догляд за інвалідом I чи ІІ групи внаслідок психічного розладу </t>
  </si>
  <si>
    <t xml:space="preserve">Витрати на поховання участників бойових дій </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</si>
  <si>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</si>
  <si>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</si>
  <si>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 xml:space="preserve">Капітальний ремонт зливової каналізації по вул. 40 Років Радянської України </t>
  </si>
  <si>
    <t>150115</t>
  </si>
  <si>
    <t>Завершення проектів газифікації сільських населених пунктів з високим ступенем готовності</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</si>
  <si>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</si>
  <si>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</si>
  <si>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</si>
  <si>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100501</t>
  </si>
  <si>
    <t>Погашення зобов'язань держави за знеціненими грошовими заощадженнями громадян в установах Ощадного ьанку колишнього СРСР шляхом погашення заборгованості за житлово-комунальні послуги</t>
  </si>
  <si>
    <t>170603</t>
  </si>
  <si>
    <t>Інші заходи у сфері електротранспорту</t>
  </si>
  <si>
    <t>Цільові фонди, утворені органами місцевого самоврядування, в тому числі</t>
  </si>
  <si>
    <t>Назва головного розпорядника                    Назва підрозділу бюджетної класифікації</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</si>
  <si>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</si>
  <si>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</si>
  <si>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Розподіл видатків міського бюджету на 2006 рік за головними розпорядниками коштів"</t>
  </si>
  <si>
    <t>Програма висвітлення діяльності виконавчих органів рад</t>
  </si>
  <si>
    <t>070803</t>
  </si>
  <si>
    <t>Сужби технічного нагляду за будівництвом і капітальним ремонтом</t>
  </si>
  <si>
    <t>Фінансування заходів по програмі зайнятості населення м.Запоріжжя на 2006 рік</t>
  </si>
  <si>
    <t>Програма освітлення архітектурно-декоративного обладнання на баштах будинків м.Запоріжжя</t>
  </si>
  <si>
    <t>150201</t>
  </si>
  <si>
    <t>Збереження, розвиток, реконструкція та реставрація пам'яток історії та культури</t>
  </si>
  <si>
    <t>Видатки за рахунок субвенції з державного бюджету на підготовку та проведення експерименту по впровадженню соціальних стандартів</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</si>
  <si>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</si>
  <si>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Програма забезпечення участі Запорізької міської ради в Асоціації міст України та громад</t>
  </si>
  <si>
    <t>Фінансова підтримка громадських організацій інвалідів та ветеранів</t>
  </si>
  <si>
    <t>Заходи Комплексної програми "Цукровий діабет" та лікування нецукрового діабету</t>
  </si>
  <si>
    <t>090307</t>
  </si>
  <si>
    <t>Тимчасова державна допомога дітям</t>
  </si>
  <si>
    <t>104</t>
  </si>
  <si>
    <t>Пільги ветеранам війни, дітям війни,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</si>
  <si>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</si>
  <si>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ветеранам праці,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пенсінерами</t>
  </si>
  <si>
    <t>250203</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</si>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</sst>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s>
  <fonts count="14">
    <font>
      <sz val="10"/>
      <name val="Arial Cyr"/>
      <family val="0"/>
    </font>
    <font>
      <sz val="12"/>
      <name val="Arial Cyr"/>
      <family val="2"/>
    </font>
    <font>
      <b/>
      <sz val="10"/>
      <name val="Arial Cyr"/>
      <family val="2"/>
    </font>
    <font>
      <b/>
      <sz val="12"/>
      <name val="Arial Cyr"/>
      <family val="2"/>
    </font>
    <font>
      <b/>
      <sz val="14"/>
      <name val="Arial Cyr"/>
      <family val="2"/>
    </font>
    <font>
      <sz val="11"/>
      <name val="Arial Cyr"/>
      <family val="2"/>
    </font>
    <font>
      <sz val="14"/>
      <name val="Arial Cyr"/>
      <family val="2"/>
    </font>
    <font>
      <sz val="10"/>
      <color indexed="10"/>
      <name val="Arial Cyr"/>
      <family val="2"/>
    </font>
    <font>
      <sz val="10"/>
      <color indexed="8"/>
      <name val="Arial Cyr"/>
      <family val="2"/>
    </font>
    <font>
      <sz val="10"/>
      <name val="Times New Roman CYR"/>
      <family val="1"/>
    </font>
    <font>
      <u val="single"/>
      <sz val="10"/>
      <color indexed="12"/>
      <name val="Arial Cyr"/>
      <family val="0"/>
    </font>
    <font>
      <u val="single"/>
      <sz val="10"/>
      <color indexed="36"/>
      <name val="Arial Cyr"/>
      <family val="0"/>
    </font>
    <font>
      <sz val="9"/>
      <name val="Arial Cyr"/>
      <family val="2"/>
    </font>
    <font>
      <i/>
      <sz val="10"/>
      <name val="Arial Cyr"/>
      <family val="2"/>
    </font>
  </fonts>
  <fills count="3">
    <fill>
      <patternFill/>
    </fill>
    <fill>
      <patternFill patternType="gray125"/>
    </fill>
    <fill>
      <patternFill patternType="solid">
        <fgColor indexed="43"/>
        <bgColor indexed="64"/>
      </patternFill>
    </fill>
  </fills>
  <borders count="11">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0">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Alignment="1">
      <alignment/>
    </xf>
    <xf numFmtId="0" fontId="0" fillId="0" borderId="1" xfId="0" applyFont="1" applyFill="1" applyBorder="1" applyAlignment="1">
      <alignment/>
    </xf>
    <xf numFmtId="49" fontId="0" fillId="0" borderId="1" xfId="0" applyNumberFormat="1" applyFont="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Border="1" applyAlignment="1">
      <alignment horizontal="left" wrapText="1"/>
    </xf>
    <xf numFmtId="0" fontId="0" fillId="0" borderId="0" xfId="0" applyFont="1" applyFill="1"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wrapText="1"/>
    </xf>
    <xf numFmtId="0" fontId="0" fillId="0" borderId="0" xfId="0" applyFont="1" applyAlignment="1">
      <alignment horizontal="center" vertical="center"/>
    </xf>
    <xf numFmtId="0" fontId="0" fillId="0" borderId="0" xfId="0" applyFont="1" applyAlignment="1">
      <alignment/>
    </xf>
    <xf numFmtId="0" fontId="0" fillId="0" borderId="1" xfId="0" applyFont="1" applyBorder="1" applyAlignment="1">
      <alignment horizontal="center" vertical="center"/>
    </xf>
    <xf numFmtId="172" fontId="0" fillId="0" borderId="1" xfId="0" applyNumberFormat="1" applyFont="1" applyBorder="1" applyAlignment="1">
      <alignment horizontal="right"/>
    </xf>
    <xf numFmtId="49" fontId="0" fillId="0" borderId="3" xfId="0" applyNumberFormat="1" applyFont="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49" fontId="0" fillId="0" borderId="3" xfId="0" applyNumberFormat="1" applyFont="1" applyBorder="1" applyAlignment="1">
      <alignment horizontal="center" wrapText="1"/>
    </xf>
    <xf numFmtId="0" fontId="1" fillId="0" borderId="0" xfId="0" applyFont="1" applyAlignment="1">
      <alignment/>
    </xf>
    <xf numFmtId="0" fontId="0" fillId="0" borderId="0" xfId="0" applyFont="1" applyBorder="1" applyAlignment="1">
      <alignment/>
    </xf>
    <xf numFmtId="0" fontId="0" fillId="0" borderId="1" xfId="0" applyFont="1" applyBorder="1" applyAlignment="1">
      <alignment horizontal="center"/>
    </xf>
    <xf numFmtId="0" fontId="6" fillId="0" borderId="0" xfId="0" applyFont="1" applyAlignment="1">
      <alignment/>
    </xf>
    <xf numFmtId="49" fontId="5" fillId="0" borderId="0" xfId="0" applyNumberFormat="1" applyFont="1" applyAlignment="1">
      <alignment horizontal="right" vertical="top"/>
    </xf>
    <xf numFmtId="0" fontId="5" fillId="0" borderId="0" xfId="0" applyFont="1" applyAlignment="1">
      <alignment horizontal="left" vertical="top"/>
    </xf>
    <xf numFmtId="0" fontId="5" fillId="0" borderId="0" xfId="0" applyFont="1" applyAlignment="1">
      <alignment horizontal="left" vertical="top" wrapText="1"/>
    </xf>
    <xf numFmtId="0" fontId="1" fillId="0" borderId="0" xfId="0" applyFont="1" applyBorder="1" applyAlignment="1">
      <alignment/>
    </xf>
    <xf numFmtId="0" fontId="0" fillId="0" borderId="0" xfId="0" applyFont="1" applyBorder="1" applyAlignment="1">
      <alignment horizontal="center" vertical="center"/>
    </xf>
    <xf numFmtId="0" fontId="2" fillId="0" borderId="0" xfId="0" applyFont="1" applyBorder="1" applyAlignment="1">
      <alignment horizontal="center" vertical="center" textRotation="255"/>
    </xf>
    <xf numFmtId="49" fontId="5" fillId="0" borderId="1" xfId="0" applyNumberFormat="1"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49" fontId="0" fillId="0" borderId="1" xfId="0" applyNumberFormat="1" applyFont="1" applyBorder="1" applyAlignment="1">
      <alignment horizontal="center" vertical="top"/>
    </xf>
    <xf numFmtId="49" fontId="5" fillId="0" borderId="0" xfId="0" applyNumberFormat="1" applyFont="1" applyAlignment="1">
      <alignment horizontal="center" vertical="top"/>
    </xf>
    <xf numFmtId="49" fontId="0" fillId="0" borderId="1" xfId="0" applyNumberFormat="1" applyFont="1" applyBorder="1" applyAlignment="1">
      <alignment horizontal="center"/>
    </xf>
    <xf numFmtId="49" fontId="0" fillId="0" borderId="1" xfId="0" applyNumberFormat="1" applyFont="1" applyFill="1" applyBorder="1" applyAlignment="1">
      <alignment horizontal="center"/>
    </xf>
    <xf numFmtId="0" fontId="6" fillId="0" borderId="0" xfId="0" applyFont="1" applyAlignment="1">
      <alignment horizontal="left" wrapText="1"/>
    </xf>
    <xf numFmtId="0" fontId="0" fillId="0" borderId="0" xfId="0" applyFont="1" applyFill="1" applyAlignment="1">
      <alignment horizontal="left"/>
    </xf>
    <xf numFmtId="49" fontId="0" fillId="0" borderId="1" xfId="0" applyNumberFormat="1" applyFont="1" applyFill="1" applyBorder="1" applyAlignment="1">
      <alignment horizontal="center" wrapText="1"/>
    </xf>
    <xf numFmtId="0" fontId="6" fillId="0" borderId="0" xfId="0" applyFont="1" applyFill="1" applyAlignment="1">
      <alignment/>
    </xf>
    <xf numFmtId="0" fontId="6" fillId="0" borderId="0" xfId="0" applyFont="1" applyAlignment="1">
      <alignment/>
    </xf>
    <xf numFmtId="0" fontId="0" fillId="0" borderId="1" xfId="0" applyFont="1" applyBorder="1" applyAlignment="1">
      <alignment horizontal="left" wrapText="1"/>
    </xf>
    <xf numFmtId="0" fontId="0" fillId="0" borderId="3" xfId="0" applyFont="1" applyBorder="1" applyAlignment="1">
      <alignment horizontal="left" vertical="center" wrapText="1"/>
    </xf>
    <xf numFmtId="183" fontId="0" fillId="0" borderId="0" xfId="0" applyNumberFormat="1" applyFont="1" applyAlignment="1">
      <alignment/>
    </xf>
    <xf numFmtId="183" fontId="0" fillId="0" borderId="0" xfId="0" applyNumberFormat="1" applyFont="1" applyBorder="1" applyAlignment="1">
      <alignment horizontal="center" vertical="center" wrapText="1"/>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49" fontId="0" fillId="0" borderId="0" xfId="0" applyNumberFormat="1" applyFont="1" applyAlignment="1">
      <alignment/>
    </xf>
    <xf numFmtId="49" fontId="0" fillId="0" borderId="4" xfId="0" applyNumberFormat="1" applyFont="1" applyBorder="1" applyAlignment="1">
      <alignment horizontal="center" vertical="top"/>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xf>
    <xf numFmtId="0" fontId="7"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3" xfId="0" applyFont="1" applyBorder="1" applyAlignment="1">
      <alignment horizontal="center" vertical="center"/>
    </xf>
    <xf numFmtId="0" fontId="8" fillId="0" borderId="1" xfId="0" applyFont="1" applyBorder="1" applyAlignment="1">
      <alignment horizontal="center"/>
    </xf>
    <xf numFmtId="49" fontId="8" fillId="0" borderId="3" xfId="0" applyNumberFormat="1" applyFont="1" applyBorder="1" applyAlignment="1">
      <alignment horizontal="center" vertical="center"/>
    </xf>
    <xf numFmtId="172"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wrapText="1"/>
    </xf>
    <xf numFmtId="0" fontId="0" fillId="0" borderId="1" xfId="0" applyFont="1" applyFill="1" applyBorder="1" applyAlignment="1">
      <alignment horizontal="left" vertical="center" wrapText="1"/>
    </xf>
    <xf numFmtId="183" fontId="0" fillId="0" borderId="0" xfId="0" applyNumberFormat="1" applyFont="1" applyFill="1" applyAlignment="1">
      <alignment/>
    </xf>
    <xf numFmtId="0" fontId="0" fillId="0" borderId="3" xfId="0" applyFont="1" applyFill="1" applyBorder="1" applyAlignment="1">
      <alignment horizontal="left" wrapText="1"/>
    </xf>
    <xf numFmtId="0" fontId="0" fillId="0" borderId="3" xfId="0" applyFont="1" applyBorder="1" applyAlignment="1">
      <alignment horizontal="left" vertical="top" wrapText="1"/>
    </xf>
    <xf numFmtId="0" fontId="9" fillId="0" borderId="0" xfId="0" applyFont="1" applyAlignment="1">
      <alignment/>
    </xf>
    <xf numFmtId="0" fontId="0" fillId="0" borderId="7" xfId="0" applyFont="1" applyFill="1" applyBorder="1" applyAlignment="1">
      <alignment horizontal="center"/>
    </xf>
    <xf numFmtId="0" fontId="0" fillId="0" borderId="7" xfId="0" applyFont="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xf>
    <xf numFmtId="49" fontId="0" fillId="0" borderId="1" xfId="0" applyNumberFormat="1" applyFont="1" applyFill="1" applyBorder="1" applyAlignment="1">
      <alignment horizontal="center" vertical="center"/>
    </xf>
    <xf numFmtId="0" fontId="0" fillId="0" borderId="1" xfId="0" applyFont="1" applyFill="1" applyBorder="1" applyAlignment="1">
      <alignment wrapText="1"/>
    </xf>
    <xf numFmtId="49" fontId="0" fillId="0" borderId="1" xfId="0" applyNumberFormat="1" applyFont="1" applyBorder="1" applyAlignment="1">
      <alignment horizontal="center" vertical="center"/>
    </xf>
    <xf numFmtId="49" fontId="0" fillId="0" borderId="1" xfId="0" applyNumberFormat="1" applyFont="1" applyBorder="1" applyAlignment="1" quotePrefix="1">
      <alignment horizontal="center" vertical="center"/>
    </xf>
    <xf numFmtId="49" fontId="0" fillId="0" borderId="1" xfId="0" applyNumberFormat="1" applyFont="1" applyFill="1" applyBorder="1" applyAlignment="1" quotePrefix="1">
      <alignment horizontal="center"/>
    </xf>
    <xf numFmtId="0" fontId="8" fillId="0" borderId="3" xfId="0" applyFont="1" applyBorder="1" applyAlignment="1">
      <alignment horizontal="left" wrapText="1"/>
    </xf>
    <xf numFmtId="0" fontId="0" fillId="0" borderId="1" xfId="0" applyFont="1" applyFill="1" applyBorder="1" applyAlignment="1">
      <alignment horizontal="center"/>
    </xf>
    <xf numFmtId="0" fontId="0" fillId="0" borderId="3" xfId="0" applyFont="1" applyFill="1" applyBorder="1" applyAlignment="1">
      <alignment horizontal="center"/>
    </xf>
    <xf numFmtId="0" fontId="0" fillId="0" borderId="8" xfId="0" applyFont="1" applyFill="1" applyBorder="1" applyAlignment="1">
      <alignment horizontal="center"/>
    </xf>
    <xf numFmtId="49" fontId="0" fillId="0" borderId="0" xfId="0" applyNumberFormat="1" applyFont="1" applyBorder="1" applyAlignment="1">
      <alignment horizontal="center"/>
    </xf>
    <xf numFmtId="0" fontId="1"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Fill="1" applyAlignment="1">
      <alignment/>
    </xf>
    <xf numFmtId="183" fontId="8" fillId="0" borderId="0" xfId="0" applyNumberFormat="1" applyFont="1" applyAlignment="1">
      <alignment/>
    </xf>
    <xf numFmtId="0" fontId="8" fillId="0" borderId="1" xfId="0" applyFont="1" applyBorder="1" applyAlignment="1">
      <alignment horizontal="left" vertical="center" wrapText="1"/>
    </xf>
    <xf numFmtId="0" fontId="0" fillId="0" borderId="3" xfId="0" applyFont="1" applyFill="1" applyBorder="1" applyAlignment="1">
      <alignment wrapText="1"/>
    </xf>
    <xf numFmtId="0" fontId="0" fillId="0" borderId="3" xfId="0" applyFont="1" applyBorder="1" applyAlignment="1">
      <alignment vertical="top" wrapText="1"/>
    </xf>
    <xf numFmtId="0" fontId="0" fillId="0" borderId="1" xfId="0" applyFont="1" applyBorder="1" applyAlignment="1">
      <alignment vertical="top" wrapText="1"/>
    </xf>
    <xf numFmtId="0" fontId="1" fillId="0" borderId="3" xfId="0" applyFont="1" applyBorder="1" applyAlignment="1">
      <alignment horizontal="left" wrapText="1"/>
    </xf>
    <xf numFmtId="0" fontId="8" fillId="0" borderId="3" xfId="0" applyFont="1" applyBorder="1" applyAlignment="1">
      <alignment horizontal="center"/>
    </xf>
    <xf numFmtId="0" fontId="8" fillId="0" borderId="3" xfId="0" applyFont="1" applyBorder="1" applyAlignment="1">
      <alignment horizontal="left" vertical="center" wrapText="1"/>
    </xf>
    <xf numFmtId="0" fontId="8" fillId="0" borderId="3" xfId="0" applyFont="1" applyFill="1" applyBorder="1" applyAlignment="1">
      <alignment horizontal="left" wrapText="1"/>
    </xf>
    <xf numFmtId="0" fontId="8" fillId="0" borderId="1" xfId="0" applyFont="1" applyFill="1" applyBorder="1" applyAlignment="1">
      <alignment horizontal="left" wrapText="1"/>
    </xf>
    <xf numFmtId="0" fontId="8" fillId="0" borderId="6" xfId="0" applyFont="1" applyFill="1" applyBorder="1" applyAlignment="1">
      <alignment horizontal="left" wrapText="1"/>
    </xf>
    <xf numFmtId="0" fontId="0" fillId="0" borderId="0" xfId="0" applyAlignment="1">
      <alignment/>
    </xf>
    <xf numFmtId="49" fontId="2" fillId="0" borderId="2" xfId="0" applyNumberFormat="1" applyFont="1" applyBorder="1" applyAlignment="1">
      <alignment horizontal="center"/>
    </xf>
    <xf numFmtId="0" fontId="2" fillId="0" borderId="2" xfId="0" applyFont="1" applyBorder="1" applyAlignment="1">
      <alignment horizontal="left" wrapText="1"/>
    </xf>
    <xf numFmtId="49" fontId="2" fillId="0" borderId="3" xfId="0" applyNumberFormat="1" applyFont="1" applyBorder="1" applyAlignment="1">
      <alignment horizontal="center"/>
    </xf>
    <xf numFmtId="0" fontId="2" fillId="0" borderId="3" xfId="0" applyFont="1" applyBorder="1" applyAlignment="1">
      <alignment horizontal="left" vertical="top" wrapText="1"/>
    </xf>
    <xf numFmtId="49" fontId="2" fillId="0" borderId="3" xfId="0" applyNumberFormat="1" applyFont="1" applyFill="1" applyBorder="1" applyAlignment="1">
      <alignment horizontal="center"/>
    </xf>
    <xf numFmtId="0" fontId="2" fillId="0" borderId="1" xfId="0" applyFont="1" applyBorder="1" applyAlignment="1">
      <alignment wrapText="1"/>
    </xf>
    <xf numFmtId="49" fontId="0" fillId="0" borderId="3" xfId="0" applyNumberFormat="1" applyFont="1" applyFill="1" applyBorder="1" applyAlignment="1">
      <alignment horizontal="center"/>
    </xf>
    <xf numFmtId="0" fontId="2" fillId="0" borderId="3" xfId="0" applyFont="1" applyBorder="1" applyAlignment="1">
      <alignment wrapText="1"/>
    </xf>
    <xf numFmtId="49" fontId="0" fillId="0" borderId="6" xfId="0" applyNumberFormat="1" applyFont="1" applyBorder="1" applyAlignment="1">
      <alignment horizontal="center"/>
    </xf>
    <xf numFmtId="0" fontId="0" fillId="0" borderId="6" xfId="0" applyFont="1" applyFill="1" applyBorder="1" applyAlignment="1">
      <alignment wrapText="1"/>
    </xf>
    <xf numFmtId="0" fontId="5" fillId="0" borderId="3" xfId="0" applyFont="1" applyBorder="1" applyAlignment="1">
      <alignment horizontal="center" vertical="top" wrapText="1"/>
    </xf>
    <xf numFmtId="49" fontId="0" fillId="2" borderId="1" xfId="0" applyNumberFormat="1" applyFont="1" applyFill="1" applyBorder="1" applyAlignment="1">
      <alignment horizontal="center"/>
    </xf>
    <xf numFmtId="0" fontId="0" fillId="2" borderId="0" xfId="0" applyFont="1" applyFill="1" applyAlignment="1">
      <alignment/>
    </xf>
    <xf numFmtId="0" fontId="0" fillId="2" borderId="1" xfId="0" applyFont="1" applyFill="1" applyBorder="1" applyAlignment="1">
      <alignment horizontal="left"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183" fontId="0" fillId="2" borderId="0" xfId="0" applyNumberFormat="1" applyFont="1" applyFill="1" applyAlignment="1">
      <alignment/>
    </xf>
    <xf numFmtId="49" fontId="0" fillId="2" borderId="1" xfId="0" applyNumberFormat="1" applyFont="1" applyFill="1" applyBorder="1" applyAlignment="1">
      <alignment horizontal="center" vertical="center"/>
    </xf>
    <xf numFmtId="49" fontId="0" fillId="0" borderId="0" xfId="0" applyNumberFormat="1" applyAlignment="1">
      <alignment/>
    </xf>
    <xf numFmtId="0" fontId="0" fillId="2" borderId="3" xfId="0" applyFont="1" applyFill="1" applyBorder="1" applyAlignment="1">
      <alignment horizontal="left" wrapText="1"/>
    </xf>
    <xf numFmtId="0" fontId="0" fillId="2" borderId="0" xfId="0" applyFont="1" applyFill="1" applyAlignment="1">
      <alignment/>
    </xf>
    <xf numFmtId="49" fontId="8" fillId="2" borderId="3" xfId="0" applyNumberFormat="1" applyFont="1" applyFill="1" applyBorder="1" applyAlignment="1">
      <alignment horizontal="center" vertical="center"/>
    </xf>
    <xf numFmtId="0" fontId="8" fillId="2" borderId="0" xfId="0" applyFont="1" applyFill="1" applyAlignment="1">
      <alignment/>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49" fontId="0" fillId="2" borderId="2" xfId="0" applyNumberFormat="1" applyFont="1" applyFill="1" applyBorder="1" applyAlignment="1">
      <alignment horizontal="center"/>
    </xf>
    <xf numFmtId="0" fontId="0" fillId="2" borderId="2" xfId="0" applyFont="1" applyFill="1" applyBorder="1" applyAlignment="1">
      <alignment horizontal="left" wrapText="1"/>
    </xf>
    <xf numFmtId="0" fontId="0" fillId="2" borderId="3" xfId="0" applyFont="1" applyFill="1" applyBorder="1" applyAlignment="1">
      <alignment horizontal="left" vertical="center" wrapText="1"/>
    </xf>
    <xf numFmtId="49" fontId="0" fillId="2" borderId="4" xfId="0" applyNumberFormat="1" applyFont="1" applyFill="1" applyBorder="1" applyAlignment="1">
      <alignment horizontal="center" vertical="top"/>
    </xf>
    <xf numFmtId="0" fontId="0" fillId="2" borderId="3" xfId="0" applyFont="1" applyFill="1" applyBorder="1" applyAlignment="1">
      <alignment horizontal="left" vertical="top" wrapText="1"/>
    </xf>
    <xf numFmtId="1" fontId="0" fillId="0" borderId="1" xfId="0" applyNumberFormat="1" applyFont="1" applyBorder="1" applyAlignment="1">
      <alignment/>
    </xf>
    <xf numFmtId="1" fontId="0" fillId="0" borderId="1" xfId="0" applyNumberFormat="1" applyFont="1" applyBorder="1" applyAlignment="1">
      <alignment horizontal="right"/>
    </xf>
    <xf numFmtId="1" fontId="0" fillId="0" borderId="0" xfId="0" applyNumberFormat="1" applyFont="1" applyAlignment="1">
      <alignment/>
    </xf>
    <xf numFmtId="1" fontId="0" fillId="0" borderId="0" xfId="0" applyNumberFormat="1" applyAlignment="1">
      <alignment/>
    </xf>
    <xf numFmtId="1" fontId="0" fillId="0" borderId="1" xfId="0" applyNumberFormat="1" applyFont="1" applyFill="1" applyBorder="1" applyAlignment="1">
      <alignment/>
    </xf>
    <xf numFmtId="1" fontId="0" fillId="0" borderId="1" xfId="0" applyNumberFormat="1" applyFont="1" applyFill="1" applyBorder="1" applyAlignment="1">
      <alignment horizontal="right"/>
    </xf>
    <xf numFmtId="1" fontId="0" fillId="0" borderId="1" xfId="0" applyNumberFormat="1" applyFont="1" applyFill="1" applyBorder="1" applyAlignment="1">
      <alignment horizontal="right"/>
    </xf>
    <xf numFmtId="1" fontId="0" fillId="0" borderId="1" xfId="0" applyNumberFormat="1" applyFont="1" applyFill="1" applyBorder="1" applyAlignment="1">
      <alignment/>
    </xf>
    <xf numFmtId="1" fontId="0" fillId="0" borderId="0" xfId="0" applyNumberFormat="1" applyFont="1" applyFill="1" applyAlignment="1">
      <alignment/>
    </xf>
    <xf numFmtId="1" fontId="0" fillId="0" borderId="0" xfId="0" applyNumberFormat="1" applyFont="1" applyBorder="1" applyAlignment="1">
      <alignment horizontal="right"/>
    </xf>
    <xf numFmtId="1" fontId="0" fillId="0" borderId="1" xfId="0" applyNumberFormat="1" applyFont="1" applyFill="1" applyBorder="1" applyAlignment="1">
      <alignment horizontal="center"/>
    </xf>
    <xf numFmtId="1" fontId="0" fillId="0" borderId="1" xfId="20" applyNumberFormat="1" applyFont="1" applyFill="1" applyBorder="1" applyAlignment="1">
      <alignment horizontal="right"/>
    </xf>
    <xf numFmtId="1" fontId="0" fillId="0" borderId="1" xfId="0" applyNumberFormat="1" applyFont="1" applyFill="1" applyBorder="1" applyAlignment="1">
      <alignment horizontal="right" wrapText="1"/>
    </xf>
    <xf numFmtId="1" fontId="8" fillId="0" borderId="1" xfId="0" applyNumberFormat="1" applyFont="1" applyFill="1" applyBorder="1" applyAlignment="1">
      <alignment horizontal="right"/>
    </xf>
    <xf numFmtId="1" fontId="7" fillId="0" borderId="1" xfId="0" applyNumberFormat="1" applyFont="1" applyFill="1" applyBorder="1" applyAlignment="1">
      <alignment horizontal="right"/>
    </xf>
    <xf numFmtId="1" fontId="2" fillId="0" borderId="1" xfId="0" applyNumberFormat="1" applyFont="1" applyFill="1" applyBorder="1" applyAlignment="1">
      <alignment horizontal="right"/>
    </xf>
    <xf numFmtId="1" fontId="0" fillId="2" borderId="1" xfId="0" applyNumberFormat="1" applyFont="1" applyFill="1" applyBorder="1" applyAlignment="1">
      <alignment/>
    </xf>
    <xf numFmtId="1" fontId="0" fillId="2" borderId="1" xfId="0" applyNumberFormat="1" applyFont="1" applyFill="1" applyBorder="1" applyAlignment="1">
      <alignment horizontal="right"/>
    </xf>
    <xf numFmtId="183" fontId="12" fillId="0" borderId="0" xfId="0" applyNumberFormat="1" applyFont="1" applyBorder="1" applyAlignment="1">
      <alignment/>
    </xf>
    <xf numFmtId="1" fontId="13" fillId="0" borderId="1" xfId="0" applyNumberFormat="1" applyFont="1" applyFill="1" applyBorder="1" applyAlignment="1">
      <alignment horizontal="right"/>
    </xf>
    <xf numFmtId="0" fontId="0" fillId="0" borderId="3" xfId="0" applyFont="1" applyFill="1" applyBorder="1" applyAlignment="1">
      <alignment vertical="top" wrapText="1"/>
    </xf>
    <xf numFmtId="49" fontId="0" fillId="0" borderId="1" xfId="0" applyNumberFormat="1" applyFont="1" applyFill="1" applyBorder="1" applyAlignment="1">
      <alignment horizontal="center"/>
    </xf>
    <xf numFmtId="0" fontId="0" fillId="0" borderId="1" xfId="0" applyFont="1" applyFill="1" applyBorder="1" applyAlignment="1">
      <alignment horizontal="left" wrapText="1"/>
    </xf>
    <xf numFmtId="49" fontId="0" fillId="0" borderId="1" xfId="0" applyNumberFormat="1" applyFont="1" applyFill="1" applyBorder="1" applyAlignment="1">
      <alignment horizontal="center" wrapText="1"/>
    </xf>
    <xf numFmtId="0" fontId="0" fillId="0" borderId="3" xfId="0" applyFont="1" applyFill="1" applyBorder="1" applyAlignment="1">
      <alignment horizontal="left" vertical="top" wrapText="1"/>
    </xf>
    <xf numFmtId="49" fontId="0" fillId="0" borderId="1" xfId="0" applyNumberFormat="1" applyFont="1" applyFill="1" applyBorder="1" applyAlignment="1" quotePrefix="1">
      <alignment horizontal="center"/>
    </xf>
    <xf numFmtId="1" fontId="0" fillId="2" borderId="0" xfId="0" applyNumberFormat="1" applyFont="1" applyFill="1" applyAlignment="1">
      <alignment/>
    </xf>
    <xf numFmtId="49" fontId="0" fillId="2" borderId="3" xfId="0" applyNumberFormat="1" applyFont="1" applyFill="1" applyBorder="1" applyAlignment="1">
      <alignment horizontal="center"/>
    </xf>
    <xf numFmtId="0" fontId="0" fillId="2" borderId="1" xfId="0" applyFont="1" applyFill="1" applyBorder="1" applyAlignment="1">
      <alignment horizontal="justify" wrapText="1"/>
    </xf>
    <xf numFmtId="1" fontId="0" fillId="2" borderId="1" xfId="0" applyNumberFormat="1" applyFont="1" applyFill="1" applyBorder="1" applyAlignment="1">
      <alignment horizontal="right" wrapText="1"/>
    </xf>
    <xf numFmtId="1" fontId="8" fillId="2" borderId="1" xfId="0" applyNumberFormat="1" applyFont="1" applyFill="1" applyBorder="1" applyAlignment="1">
      <alignment horizontal="right"/>
    </xf>
    <xf numFmtId="49" fontId="0" fillId="0" borderId="2" xfId="0" applyNumberFormat="1" applyFont="1" applyBorder="1" applyAlignment="1">
      <alignment horizontal="center"/>
    </xf>
    <xf numFmtId="49" fontId="7" fillId="0" borderId="1" xfId="0" applyNumberFormat="1" applyFont="1" applyBorder="1" applyAlignment="1">
      <alignment horizontal="center"/>
    </xf>
    <xf numFmtId="1" fontId="7" fillId="0" borderId="1" xfId="0" applyNumberFormat="1" applyFont="1" applyBorder="1" applyAlignment="1">
      <alignment horizontal="right"/>
    </xf>
    <xf numFmtId="1" fontId="7" fillId="0" borderId="0" xfId="0" applyNumberFormat="1" applyFont="1" applyAlignment="1">
      <alignment/>
    </xf>
    <xf numFmtId="0" fontId="0" fillId="0" borderId="1" xfId="0" applyFont="1" applyBorder="1" applyAlignment="1">
      <alignment/>
    </xf>
    <xf numFmtId="2" fontId="0" fillId="0" borderId="1" xfId="0" applyNumberFormat="1" applyFont="1" applyFill="1" applyBorder="1" applyAlignment="1">
      <alignment horizontal="right"/>
    </xf>
    <xf numFmtId="2" fontId="0" fillId="0" borderId="1" xfId="0" applyNumberFormat="1" applyFont="1" applyFill="1" applyBorder="1" applyAlignment="1">
      <alignment/>
    </xf>
    <xf numFmtId="2" fontId="0" fillId="2" borderId="1" xfId="0" applyNumberFormat="1" applyFont="1" applyFill="1" applyBorder="1" applyAlignment="1">
      <alignment horizontal="right"/>
    </xf>
    <xf numFmtId="2" fontId="0" fillId="2" borderId="1" xfId="0" applyNumberFormat="1" applyFont="1" applyFill="1" applyBorder="1" applyAlignment="1">
      <alignment/>
    </xf>
    <xf numFmtId="2" fontId="0" fillId="2" borderId="1" xfId="0" applyNumberFormat="1" applyFont="1" applyFill="1" applyBorder="1" applyAlignment="1">
      <alignment horizontal="right" wrapText="1"/>
    </xf>
    <xf numFmtId="2" fontId="8" fillId="2" borderId="1" xfId="0" applyNumberFormat="1" applyFont="1" applyFill="1" applyBorder="1" applyAlignment="1">
      <alignment horizontal="right"/>
    </xf>
    <xf numFmtId="49" fontId="0" fillId="0" borderId="3" xfId="0" applyNumberFormat="1" applyFont="1" applyBorder="1" applyAlignment="1">
      <alignment horizontal="left"/>
    </xf>
    <xf numFmtId="0" fontId="0" fillId="0" borderId="3" xfId="0" applyFont="1" applyFill="1" applyBorder="1" applyAlignment="1">
      <alignment horizontal="left" vertical="center" wrapText="1"/>
    </xf>
    <xf numFmtId="0" fontId="0" fillId="0" borderId="9" xfId="0" applyFont="1" applyFill="1" applyBorder="1" applyAlignment="1">
      <alignment horizontal="center"/>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xf>
    <xf numFmtId="0" fontId="6" fillId="0" borderId="0" xfId="0" applyFont="1" applyAlignment="1">
      <alignment horizontal="left" wrapText="1"/>
    </xf>
    <xf numFmtId="0" fontId="4" fillId="0" borderId="0" xfId="0" applyFont="1" applyAlignment="1">
      <alignment horizontal="center"/>
    </xf>
    <xf numFmtId="0" fontId="0" fillId="0" borderId="1" xfId="0" applyFont="1" applyFill="1" applyBorder="1" applyAlignment="1">
      <alignment horizontal="center" vertical="center"/>
    </xf>
    <xf numFmtId="0" fontId="6" fillId="0" borderId="0" xfId="0" applyFont="1" applyAlignment="1">
      <alignment horizontal="left"/>
    </xf>
    <xf numFmtId="0" fontId="6" fillId="0" borderId="0" xfId="0" applyFont="1" applyFill="1" applyAlignment="1">
      <alignment horizontal="left" wrapText="1"/>
    </xf>
    <xf numFmtId="0" fontId="4" fillId="0" borderId="0" xfId="0" applyFont="1" applyFill="1" applyAlignment="1">
      <alignment horizont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0" xfId="0" applyAlignment="1">
      <alignment/>
    </xf>
    <xf numFmtId="0" fontId="0" fillId="0" borderId="0"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top"/>
    </xf>
    <xf numFmtId="0" fontId="1" fillId="0" borderId="0" xfId="0" applyFont="1" applyBorder="1" applyAlignment="1">
      <alignment horizontal="center"/>
    </xf>
    <xf numFmtId="0" fontId="0" fillId="0" borderId="7" xfId="0" applyFont="1" applyBorder="1" applyAlignment="1">
      <alignment horizontal="center" vertical="center"/>
    </xf>
    <xf numFmtId="0" fontId="0" fillId="0" borderId="4" xfId="0" applyFont="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539"/>
  <sheetViews>
    <sheetView showZeros="0" tabSelected="1" view="pageBreakPreview" zoomScale="75" zoomScaleNormal="75" zoomScaleSheetLayoutView="75" workbookViewId="0" topLeftCell="A3">
      <pane xSplit="2" ySplit="6" topLeftCell="G15" activePane="bottomRight" state="frozen"/>
      <selection pane="topLeft" activeCell="A3" sqref="A3"/>
      <selection pane="topRight" activeCell="E3" sqref="E3"/>
      <selection pane="bottomLeft" activeCell="A11" sqref="A11"/>
      <selection pane="bottomRight" activeCell="I17" sqref="I17"/>
    </sheetView>
  </sheetViews>
  <sheetFormatPr defaultColWidth="9.00390625" defaultRowHeight="12.75"/>
  <cols>
    <col min="1" max="1" width="8.625" style="1" customWidth="1"/>
    <col min="2" max="2" width="34.375" style="0" customWidth="1"/>
    <col min="3" max="3" width="12.125" style="0" customWidth="1"/>
    <col min="4" max="4" width="12.00390625" style="0" customWidth="1"/>
    <col min="5" max="5" width="12.875" style="0" customWidth="1"/>
    <col min="6" max="6" width="10.625" style="0" customWidth="1"/>
    <col min="7" max="7" width="11.375" style="0" customWidth="1"/>
    <col min="8" max="8" width="11.625" style="0" bestFit="1" customWidth="1"/>
    <col min="9" max="9" width="12.75390625" style="0" bestFit="1" customWidth="1"/>
    <col min="10" max="10" width="9.25390625" style="0" customWidth="1"/>
    <col min="11" max="11" width="10.00390625" style="0" customWidth="1"/>
    <col min="12" max="12" width="11.375" style="0" customWidth="1"/>
    <col min="13" max="13" width="11.25390625" style="0" customWidth="1"/>
    <col min="14" max="14" width="15.625" style="0" customWidth="1"/>
    <col min="15" max="15" width="9.375" style="0" customWidth="1"/>
  </cols>
  <sheetData>
    <row r="1" spans="7:14" ht="18">
      <c r="G1" s="192"/>
      <c r="H1" s="192"/>
      <c r="I1" s="192"/>
      <c r="L1" s="192" t="s">
        <v>163</v>
      </c>
      <c r="M1" s="192"/>
      <c r="N1" s="192"/>
    </row>
    <row r="2" spans="7:14" ht="18">
      <c r="G2" s="192"/>
      <c r="H2" s="192"/>
      <c r="I2" s="192"/>
      <c r="L2" s="192" t="s">
        <v>250</v>
      </c>
      <c r="M2" s="192"/>
      <c r="N2" s="192"/>
    </row>
    <row r="3" spans="7:14" ht="18">
      <c r="G3" s="192"/>
      <c r="H3" s="192"/>
      <c r="I3" s="192"/>
      <c r="L3" s="32" t="s">
        <v>162</v>
      </c>
      <c r="M3" s="32"/>
      <c r="N3" s="22"/>
    </row>
    <row r="4" spans="1:13" ht="18">
      <c r="A4" s="193" t="s">
        <v>427</v>
      </c>
      <c r="B4" s="193"/>
      <c r="C4" s="193"/>
      <c r="D4" s="193"/>
      <c r="E4" s="193"/>
      <c r="F4" s="193"/>
      <c r="G4" s="193"/>
      <c r="H4" s="193"/>
      <c r="I4" s="193"/>
      <c r="J4" s="193"/>
      <c r="K4" s="193"/>
      <c r="L4" s="193"/>
      <c r="M4" s="193"/>
    </row>
    <row r="5" spans="3:14" ht="18">
      <c r="C5" s="87"/>
      <c r="D5" s="87"/>
      <c r="E5" s="87"/>
      <c r="F5" s="87"/>
      <c r="G5" s="87"/>
      <c r="H5" s="87"/>
      <c r="I5" s="87"/>
      <c r="J5" s="87"/>
      <c r="K5" s="2"/>
      <c r="L5" s="2"/>
      <c r="M5" s="187" t="s">
        <v>379</v>
      </c>
      <c r="N5" s="187"/>
    </row>
    <row r="6" spans="1:14" s="22" customFormat="1" ht="12.75">
      <c r="A6" s="188" t="s">
        <v>339</v>
      </c>
      <c r="B6" s="189" t="s">
        <v>338</v>
      </c>
      <c r="C6" s="191" t="s">
        <v>16</v>
      </c>
      <c r="D6" s="191"/>
      <c r="E6" s="191"/>
      <c r="F6" s="191"/>
      <c r="G6" s="191"/>
      <c r="H6" s="191" t="s">
        <v>17</v>
      </c>
      <c r="I6" s="191"/>
      <c r="J6" s="191"/>
      <c r="K6" s="191"/>
      <c r="L6" s="191"/>
      <c r="M6" s="191"/>
      <c r="N6" s="191" t="s">
        <v>97</v>
      </c>
    </row>
    <row r="7" spans="1:14" s="22" customFormat="1" ht="63.75">
      <c r="A7" s="188"/>
      <c r="B7" s="190"/>
      <c r="C7" s="23" t="s">
        <v>18</v>
      </c>
      <c r="D7" s="6" t="s">
        <v>19</v>
      </c>
      <c r="E7" s="6" t="s">
        <v>20</v>
      </c>
      <c r="F7" s="6" t="s">
        <v>21</v>
      </c>
      <c r="G7" s="6" t="s">
        <v>22</v>
      </c>
      <c r="H7" s="23" t="s">
        <v>18</v>
      </c>
      <c r="I7" s="6" t="s">
        <v>19</v>
      </c>
      <c r="J7" s="6" t="s">
        <v>20</v>
      </c>
      <c r="K7" s="6" t="s">
        <v>21</v>
      </c>
      <c r="L7" s="6" t="s">
        <v>22</v>
      </c>
      <c r="M7" s="6" t="s">
        <v>23</v>
      </c>
      <c r="N7" s="191"/>
    </row>
    <row r="8" spans="1:14" s="22" customFormat="1" ht="12.75">
      <c r="A8" s="45">
        <v>1</v>
      </c>
      <c r="B8" s="31">
        <v>2</v>
      </c>
      <c r="C8" s="31">
        <v>3</v>
      </c>
      <c r="D8" s="31">
        <v>4</v>
      </c>
      <c r="E8" s="31">
        <v>5</v>
      </c>
      <c r="F8" s="31">
        <v>6</v>
      </c>
      <c r="G8" s="31">
        <v>7</v>
      </c>
      <c r="H8" s="31">
        <v>8</v>
      </c>
      <c r="I8" s="31">
        <v>9</v>
      </c>
      <c r="J8" s="31">
        <v>10</v>
      </c>
      <c r="K8" s="31">
        <v>11</v>
      </c>
      <c r="L8" s="31">
        <v>12</v>
      </c>
      <c r="M8" s="31">
        <v>13</v>
      </c>
      <c r="N8" s="31">
        <v>14</v>
      </c>
    </row>
    <row r="9" spans="1:16" s="125" customFormat="1" ht="12.75">
      <c r="A9" s="124" t="s">
        <v>276</v>
      </c>
      <c r="B9" s="126" t="s">
        <v>133</v>
      </c>
      <c r="C9" s="160">
        <f aca="true" t="shared" si="0" ref="C9:M9">C10+C11+C12+C13+C14+C17+C20+C15+C23+C16</f>
        <v>11707657</v>
      </c>
      <c r="D9" s="160">
        <f t="shared" si="0"/>
        <v>9467657</v>
      </c>
      <c r="E9" s="160">
        <f t="shared" si="0"/>
        <v>1605254</v>
      </c>
      <c r="F9" s="160">
        <f t="shared" si="0"/>
        <v>176096</v>
      </c>
      <c r="G9" s="160">
        <f t="shared" si="0"/>
        <v>2240000</v>
      </c>
      <c r="H9" s="160">
        <f t="shared" si="0"/>
        <v>4179919</v>
      </c>
      <c r="I9" s="160">
        <f t="shared" si="0"/>
        <v>3176919</v>
      </c>
      <c r="J9" s="160">
        <f t="shared" si="0"/>
        <v>0</v>
      </c>
      <c r="K9" s="160">
        <f t="shared" si="0"/>
        <v>33900</v>
      </c>
      <c r="L9" s="160">
        <f t="shared" si="0"/>
        <v>1003000</v>
      </c>
      <c r="M9" s="160">
        <f t="shared" si="0"/>
        <v>0</v>
      </c>
      <c r="N9" s="159">
        <f aca="true" t="shared" si="1" ref="N9:N103">C9+H9</f>
        <v>15887576</v>
      </c>
      <c r="O9" s="169"/>
      <c r="P9" s="169"/>
    </row>
    <row r="10" spans="1:16" s="22" customFormat="1" ht="12.75">
      <c r="A10" s="45" t="s">
        <v>24</v>
      </c>
      <c r="B10" s="52" t="s">
        <v>25</v>
      </c>
      <c r="C10" s="144">
        <f>D10+G10</f>
        <v>6417963</v>
      </c>
      <c r="D10" s="144">
        <f>4332498-50+60-3300-1240+27-32</f>
        <v>4327963</v>
      </c>
      <c r="E10" s="144">
        <f>1599568-4530</f>
        <v>1595038</v>
      </c>
      <c r="F10" s="144">
        <v>176096</v>
      </c>
      <c r="G10" s="144">
        <f>2000000+90000</f>
        <v>2090000</v>
      </c>
      <c r="H10" s="144">
        <f>I10+L10</f>
        <v>47900</v>
      </c>
      <c r="I10" s="144">
        <v>47900</v>
      </c>
      <c r="J10" s="144"/>
      <c r="K10" s="144">
        <v>33900</v>
      </c>
      <c r="L10" s="144"/>
      <c r="M10" s="144"/>
      <c r="N10" s="143">
        <f t="shared" si="1"/>
        <v>6465863</v>
      </c>
      <c r="O10" s="145"/>
      <c r="P10" s="145"/>
    </row>
    <row r="11" spans="1:16" s="22" customFormat="1" ht="25.5" hidden="1">
      <c r="A11" s="45" t="s">
        <v>24</v>
      </c>
      <c r="B11" s="52" t="s">
        <v>337</v>
      </c>
      <c r="C11" s="144">
        <f aca="true" t="shared" si="2" ref="C11:C21">D11+G11</f>
        <v>0</v>
      </c>
      <c r="D11" s="144"/>
      <c r="E11" s="144"/>
      <c r="F11" s="144"/>
      <c r="G11" s="144"/>
      <c r="H11" s="144">
        <f aca="true" t="shared" si="3" ref="H11:H21">I11+L11</f>
        <v>0</v>
      </c>
      <c r="I11" s="144"/>
      <c r="J11" s="144"/>
      <c r="K11" s="144"/>
      <c r="L11" s="144"/>
      <c r="M11" s="144"/>
      <c r="N11" s="143">
        <f t="shared" si="1"/>
        <v>0</v>
      </c>
      <c r="O11" s="145"/>
      <c r="P11" s="145"/>
    </row>
    <row r="12" spans="1:16" s="22" customFormat="1" ht="38.25">
      <c r="A12" s="45" t="s">
        <v>50</v>
      </c>
      <c r="B12" s="26" t="s">
        <v>317</v>
      </c>
      <c r="C12" s="144">
        <f t="shared" si="2"/>
        <v>223125</v>
      </c>
      <c r="D12" s="144">
        <v>223125</v>
      </c>
      <c r="E12" s="144"/>
      <c r="F12" s="144"/>
      <c r="G12" s="144"/>
      <c r="H12" s="144">
        <f t="shared" si="3"/>
        <v>0</v>
      </c>
      <c r="I12" s="144"/>
      <c r="J12" s="144"/>
      <c r="K12" s="144"/>
      <c r="L12" s="144"/>
      <c r="M12" s="144"/>
      <c r="N12" s="143">
        <f t="shared" si="1"/>
        <v>223125</v>
      </c>
      <c r="O12" s="145"/>
      <c r="P12" s="145"/>
    </row>
    <row r="13" spans="1:16" s="22" customFormat="1" ht="25.5">
      <c r="A13" s="45">
        <v>120201</v>
      </c>
      <c r="B13" s="105" t="s">
        <v>303</v>
      </c>
      <c r="C13" s="144">
        <f t="shared" si="2"/>
        <v>350000</v>
      </c>
      <c r="D13" s="144">
        <v>350000</v>
      </c>
      <c r="E13" s="144"/>
      <c r="F13" s="144"/>
      <c r="G13" s="144"/>
      <c r="H13" s="144">
        <f t="shared" si="3"/>
        <v>0</v>
      </c>
      <c r="I13" s="144"/>
      <c r="J13" s="144"/>
      <c r="K13" s="144"/>
      <c r="L13" s="144"/>
      <c r="M13" s="144"/>
      <c r="N13" s="143">
        <f t="shared" si="1"/>
        <v>350000</v>
      </c>
      <c r="O13" s="145"/>
      <c r="P13" s="145"/>
    </row>
    <row r="14" spans="1:16" s="22" customFormat="1" ht="12.75" hidden="1">
      <c r="A14" s="45" t="s">
        <v>261</v>
      </c>
      <c r="B14" s="27" t="s">
        <v>262</v>
      </c>
      <c r="C14" s="144">
        <f t="shared" si="2"/>
        <v>0</v>
      </c>
      <c r="D14" s="144"/>
      <c r="E14" s="144"/>
      <c r="F14" s="144"/>
      <c r="G14" s="144"/>
      <c r="H14" s="144">
        <f t="shared" si="3"/>
        <v>0</v>
      </c>
      <c r="I14" s="144"/>
      <c r="J14" s="144"/>
      <c r="K14" s="144"/>
      <c r="L14" s="144"/>
      <c r="M14" s="144"/>
      <c r="N14" s="143">
        <f t="shared" si="1"/>
        <v>0</v>
      </c>
      <c r="O14" s="145"/>
      <c r="P14" s="145"/>
    </row>
    <row r="15" spans="1:16" s="22" customFormat="1" ht="25.5">
      <c r="A15" s="45" t="s">
        <v>421</v>
      </c>
      <c r="B15" s="26" t="s">
        <v>422</v>
      </c>
      <c r="C15" s="144">
        <f t="shared" si="2"/>
        <v>3000000</v>
      </c>
      <c r="D15" s="144">
        <v>3000000</v>
      </c>
      <c r="E15" s="144"/>
      <c r="F15" s="144"/>
      <c r="G15" s="144"/>
      <c r="H15" s="144">
        <f t="shared" si="3"/>
        <v>0</v>
      </c>
      <c r="I15" s="144"/>
      <c r="J15" s="144"/>
      <c r="K15" s="144"/>
      <c r="L15" s="144"/>
      <c r="M15" s="144"/>
      <c r="N15" s="143">
        <f>C15+H15</f>
        <v>3000000</v>
      </c>
      <c r="O15" s="145"/>
      <c r="P15" s="145"/>
    </row>
    <row r="16" spans="1:16" s="22" customFormat="1" ht="51">
      <c r="A16" s="45" t="s">
        <v>446</v>
      </c>
      <c r="B16" s="26" t="s">
        <v>12</v>
      </c>
      <c r="C16" s="144">
        <f t="shared" si="2"/>
        <v>219959</v>
      </c>
      <c r="D16" s="144">
        <f>234507-14548</f>
        <v>219959</v>
      </c>
      <c r="E16" s="144">
        <v>10216</v>
      </c>
      <c r="F16" s="144"/>
      <c r="G16" s="144"/>
      <c r="H16" s="144"/>
      <c r="I16" s="144"/>
      <c r="J16" s="144"/>
      <c r="K16" s="144"/>
      <c r="L16" s="144"/>
      <c r="M16" s="144"/>
      <c r="N16" s="143">
        <f>C16+H16</f>
        <v>219959</v>
      </c>
      <c r="O16" s="145"/>
      <c r="P16" s="145"/>
    </row>
    <row r="17" spans="1:16" s="22" customFormat="1" ht="25.5">
      <c r="A17" s="45" t="s">
        <v>71</v>
      </c>
      <c r="B17" s="105" t="s">
        <v>229</v>
      </c>
      <c r="C17" s="144">
        <f t="shared" si="2"/>
        <v>0</v>
      </c>
      <c r="D17" s="144"/>
      <c r="E17" s="144"/>
      <c r="F17" s="144"/>
      <c r="G17" s="144"/>
      <c r="H17" s="144">
        <f t="shared" si="3"/>
        <v>4132019</v>
      </c>
      <c r="I17" s="144">
        <f>13706350-2000000-160000-831-1795000-90000-150000-5981500-400000</f>
        <v>3129019</v>
      </c>
      <c r="J17" s="144"/>
      <c r="K17" s="144"/>
      <c r="L17" s="144">
        <f>3000+2000000-2000000+600000+400000</f>
        <v>1003000</v>
      </c>
      <c r="M17" s="144"/>
      <c r="N17" s="143">
        <f t="shared" si="1"/>
        <v>4132019</v>
      </c>
      <c r="O17" s="145"/>
      <c r="P17" s="145"/>
    </row>
    <row r="18" spans="1:16" s="22" customFormat="1" ht="12.75">
      <c r="A18" s="25"/>
      <c r="B18" s="104" t="s">
        <v>236</v>
      </c>
      <c r="C18" s="144"/>
      <c r="D18" s="144"/>
      <c r="E18" s="144"/>
      <c r="F18" s="144"/>
      <c r="G18" s="144"/>
      <c r="H18" s="144"/>
      <c r="I18" s="144"/>
      <c r="J18" s="144"/>
      <c r="K18" s="144"/>
      <c r="L18" s="144"/>
      <c r="M18" s="144"/>
      <c r="N18" s="143"/>
      <c r="O18" s="145"/>
      <c r="P18" s="145"/>
    </row>
    <row r="19" spans="1:16" s="22" customFormat="1" ht="89.25">
      <c r="A19" s="25"/>
      <c r="B19" s="104" t="s">
        <v>407</v>
      </c>
      <c r="C19" s="144">
        <f t="shared" si="2"/>
        <v>0</v>
      </c>
      <c r="D19" s="144"/>
      <c r="E19" s="144"/>
      <c r="F19" s="144"/>
      <c r="G19" s="144"/>
      <c r="H19" s="144">
        <f t="shared" si="3"/>
        <v>47000</v>
      </c>
      <c r="I19" s="144">
        <v>44000</v>
      </c>
      <c r="J19" s="144"/>
      <c r="K19" s="144"/>
      <c r="L19" s="144">
        <v>3000</v>
      </c>
      <c r="M19" s="144"/>
      <c r="N19" s="143">
        <f t="shared" si="1"/>
        <v>47000</v>
      </c>
      <c r="O19" s="145"/>
      <c r="P19" s="145"/>
    </row>
    <row r="20" spans="1:16" s="22" customFormat="1" ht="12.75">
      <c r="A20" s="25" t="s">
        <v>73</v>
      </c>
      <c r="B20" s="26" t="s">
        <v>149</v>
      </c>
      <c r="C20" s="144">
        <f t="shared" si="2"/>
        <v>344610</v>
      </c>
      <c r="D20" s="144">
        <f>D22+D21</f>
        <v>344610</v>
      </c>
      <c r="E20" s="144">
        <f>E22</f>
        <v>0</v>
      </c>
      <c r="F20" s="144">
        <f>F22</f>
        <v>0</v>
      </c>
      <c r="G20" s="144">
        <f>G22</f>
        <v>0</v>
      </c>
      <c r="H20" s="144">
        <f t="shared" si="3"/>
        <v>0</v>
      </c>
      <c r="I20" s="144">
        <f>I22</f>
        <v>0</v>
      </c>
      <c r="J20" s="144">
        <f>J22</f>
        <v>0</v>
      </c>
      <c r="K20" s="144">
        <f>K22</f>
        <v>0</v>
      </c>
      <c r="L20" s="144">
        <f>L22</f>
        <v>0</v>
      </c>
      <c r="M20" s="144"/>
      <c r="N20" s="143">
        <f t="shared" si="1"/>
        <v>344610</v>
      </c>
      <c r="O20" s="145"/>
      <c r="P20" s="145"/>
    </row>
    <row r="21" spans="1:16" s="22" customFormat="1" ht="25.5">
      <c r="A21" s="45"/>
      <c r="B21" s="26" t="s">
        <v>428</v>
      </c>
      <c r="C21" s="144">
        <f t="shared" si="2"/>
        <v>200000</v>
      </c>
      <c r="D21" s="144">
        <v>200000</v>
      </c>
      <c r="E21" s="144"/>
      <c r="F21" s="144"/>
      <c r="G21" s="144"/>
      <c r="H21" s="144">
        <f t="shared" si="3"/>
        <v>0</v>
      </c>
      <c r="I21" s="144"/>
      <c r="J21" s="144"/>
      <c r="K21" s="144"/>
      <c r="L21" s="144"/>
      <c r="M21" s="144"/>
      <c r="N21" s="143">
        <f t="shared" si="1"/>
        <v>200000</v>
      </c>
      <c r="O21" s="145"/>
      <c r="P21" s="145"/>
    </row>
    <row r="22" spans="1:16" s="22" customFormat="1" ht="38.25">
      <c r="A22" s="45"/>
      <c r="B22" s="26" t="s">
        <v>437</v>
      </c>
      <c r="C22" s="144">
        <f aca="true" t="shared" si="4" ref="C22:C27">D22+G22</f>
        <v>144610</v>
      </c>
      <c r="D22" s="144">
        <v>144610</v>
      </c>
      <c r="E22" s="144"/>
      <c r="F22" s="144"/>
      <c r="G22" s="144"/>
      <c r="H22" s="144">
        <f aca="true" t="shared" si="5" ref="H22:H27">I22+L22</f>
        <v>0</v>
      </c>
      <c r="I22" s="144"/>
      <c r="J22" s="144"/>
      <c r="K22" s="144"/>
      <c r="L22" s="144"/>
      <c r="M22" s="144"/>
      <c r="N22" s="143">
        <f t="shared" si="1"/>
        <v>144610</v>
      </c>
      <c r="O22" s="145"/>
      <c r="P22" s="145"/>
    </row>
    <row r="23" spans="1:16" s="22" customFormat="1" ht="51">
      <c r="A23" s="45" t="s">
        <v>405</v>
      </c>
      <c r="B23" s="26" t="s">
        <v>406</v>
      </c>
      <c r="C23" s="144">
        <f t="shared" si="4"/>
        <v>1152000</v>
      </c>
      <c r="D23" s="144">
        <f>D25+D26+D27</f>
        <v>1002000</v>
      </c>
      <c r="E23" s="144">
        <f>E25+E26+E27</f>
        <v>0</v>
      </c>
      <c r="F23" s="144">
        <f>F25+F26+F27</f>
        <v>0</v>
      </c>
      <c r="G23" s="144">
        <f>G25+G26+G27</f>
        <v>150000</v>
      </c>
      <c r="H23" s="144">
        <f t="shared" si="5"/>
        <v>0</v>
      </c>
      <c r="I23" s="144">
        <f>I25+I27+I26</f>
        <v>0</v>
      </c>
      <c r="J23" s="144">
        <f>J25+J27+J26</f>
        <v>0</v>
      </c>
      <c r="K23" s="144">
        <f>K25+K27+K26</f>
        <v>0</v>
      </c>
      <c r="L23" s="144">
        <f>L25+L27+L26</f>
        <v>0</v>
      </c>
      <c r="M23" s="144"/>
      <c r="N23" s="143">
        <f t="shared" si="1"/>
        <v>1152000</v>
      </c>
      <c r="O23" s="145"/>
      <c r="P23" s="145"/>
    </row>
    <row r="24" spans="1:16" s="22" customFormat="1" ht="114.75" hidden="1">
      <c r="A24" s="45"/>
      <c r="B24" s="26" t="s">
        <v>316</v>
      </c>
      <c r="C24" s="144">
        <f t="shared" si="4"/>
        <v>0</v>
      </c>
      <c r="D24" s="144"/>
      <c r="E24" s="144"/>
      <c r="F24" s="144"/>
      <c r="G24" s="144"/>
      <c r="H24" s="144">
        <f t="shared" si="5"/>
        <v>0</v>
      </c>
      <c r="I24" s="144"/>
      <c r="J24" s="144"/>
      <c r="K24" s="144"/>
      <c r="L24" s="144"/>
      <c r="M24" s="144"/>
      <c r="N24" s="143">
        <f t="shared" si="1"/>
        <v>0</v>
      </c>
      <c r="O24" s="145"/>
      <c r="P24" s="145"/>
    </row>
    <row r="25" spans="1:16" s="22" customFormat="1" ht="63.75">
      <c r="A25" s="45"/>
      <c r="B25" s="26" t="s">
        <v>320</v>
      </c>
      <c r="C25" s="144">
        <f t="shared" si="4"/>
        <v>250000</v>
      </c>
      <c r="D25" s="144">
        <v>100000</v>
      </c>
      <c r="E25" s="144"/>
      <c r="F25" s="144"/>
      <c r="G25" s="144">
        <v>150000</v>
      </c>
      <c r="H25" s="144">
        <f t="shared" si="5"/>
        <v>0</v>
      </c>
      <c r="I25" s="144"/>
      <c r="J25" s="144"/>
      <c r="K25" s="144"/>
      <c r="L25" s="144"/>
      <c r="M25" s="144"/>
      <c r="N25" s="143">
        <f t="shared" si="1"/>
        <v>250000</v>
      </c>
      <c r="O25" s="145"/>
      <c r="P25" s="145"/>
    </row>
    <row r="26" spans="1:16" s="65" customFormat="1" ht="25.5">
      <c r="A26" s="175"/>
      <c r="B26" s="26" t="s">
        <v>392</v>
      </c>
      <c r="C26" s="144">
        <f t="shared" si="4"/>
        <v>652000</v>
      </c>
      <c r="D26" s="144">
        <v>652000</v>
      </c>
      <c r="E26" s="176"/>
      <c r="F26" s="176"/>
      <c r="G26" s="176"/>
      <c r="H26" s="176">
        <f t="shared" si="5"/>
        <v>0</v>
      </c>
      <c r="I26" s="176"/>
      <c r="J26" s="176"/>
      <c r="K26" s="176"/>
      <c r="L26" s="176"/>
      <c r="M26" s="176"/>
      <c r="N26" s="143">
        <f>C26+H26</f>
        <v>652000</v>
      </c>
      <c r="O26" s="177"/>
      <c r="P26" s="177"/>
    </row>
    <row r="27" spans="1:16" s="22" customFormat="1" ht="38.25">
      <c r="A27" s="45"/>
      <c r="B27" s="26" t="s">
        <v>272</v>
      </c>
      <c r="C27" s="144">
        <f t="shared" si="4"/>
        <v>250000</v>
      </c>
      <c r="D27" s="144">
        <v>250000</v>
      </c>
      <c r="E27" s="144"/>
      <c r="F27" s="144"/>
      <c r="G27" s="144"/>
      <c r="H27" s="144">
        <f t="shared" si="5"/>
        <v>0</v>
      </c>
      <c r="I27" s="144"/>
      <c r="J27" s="144"/>
      <c r="K27" s="144"/>
      <c r="L27" s="144"/>
      <c r="M27" s="144"/>
      <c r="N27" s="143">
        <f t="shared" si="1"/>
        <v>250000</v>
      </c>
      <c r="O27" s="145"/>
      <c r="P27" s="145"/>
    </row>
    <row r="28" spans="1:16" s="125" customFormat="1" ht="25.5">
      <c r="A28" s="170" t="s">
        <v>277</v>
      </c>
      <c r="B28" s="132" t="s">
        <v>134</v>
      </c>
      <c r="C28" s="160">
        <f>C29+C31</f>
        <v>1626026</v>
      </c>
      <c r="D28" s="160">
        <f>D29+D31</f>
        <v>1626026</v>
      </c>
      <c r="E28" s="160">
        <f>E29+E31</f>
        <v>422820</v>
      </c>
      <c r="F28" s="160">
        <f>F29+F31</f>
        <v>0</v>
      </c>
      <c r="G28" s="160">
        <f>G29+G31</f>
        <v>0</v>
      </c>
      <c r="H28" s="160">
        <f aca="true" t="shared" si="6" ref="H28:M28">H29+H31+H30</f>
        <v>0</v>
      </c>
      <c r="I28" s="160">
        <f t="shared" si="6"/>
        <v>0</v>
      </c>
      <c r="J28" s="160">
        <f t="shared" si="6"/>
        <v>0</v>
      </c>
      <c r="K28" s="160">
        <f t="shared" si="6"/>
        <v>0</v>
      </c>
      <c r="L28" s="160">
        <f t="shared" si="6"/>
        <v>0</v>
      </c>
      <c r="M28" s="160">
        <f t="shared" si="6"/>
        <v>0</v>
      </c>
      <c r="N28" s="159">
        <f t="shared" si="1"/>
        <v>1626026</v>
      </c>
      <c r="O28" s="169"/>
      <c r="P28" s="169"/>
    </row>
    <row r="29" spans="1:16" s="22" customFormat="1" ht="12.75">
      <c r="A29" s="25" t="s">
        <v>24</v>
      </c>
      <c r="B29" s="16" t="s">
        <v>25</v>
      </c>
      <c r="C29" s="144">
        <f>D29+G29</f>
        <v>626026</v>
      </c>
      <c r="D29" s="144">
        <f>625526+500</f>
        <v>626026</v>
      </c>
      <c r="E29" s="144">
        <v>422820</v>
      </c>
      <c r="F29" s="144"/>
      <c r="G29" s="144"/>
      <c r="H29" s="144">
        <f>I29+L29</f>
        <v>0</v>
      </c>
      <c r="I29" s="144"/>
      <c r="J29" s="144"/>
      <c r="K29" s="144"/>
      <c r="L29" s="144"/>
      <c r="M29" s="144"/>
      <c r="N29" s="143">
        <f t="shared" si="1"/>
        <v>626026</v>
      </c>
      <c r="O29" s="145"/>
      <c r="P29" s="145"/>
    </row>
    <row r="30" spans="1:16" s="22" customFormat="1" ht="25.5" hidden="1">
      <c r="A30" s="45" t="s">
        <v>71</v>
      </c>
      <c r="B30" s="105" t="s">
        <v>229</v>
      </c>
      <c r="C30" s="144"/>
      <c r="D30" s="144"/>
      <c r="E30" s="144"/>
      <c r="F30" s="144"/>
      <c r="G30" s="144"/>
      <c r="H30" s="144">
        <f>I30+L30</f>
        <v>0</v>
      </c>
      <c r="I30" s="144"/>
      <c r="J30" s="144"/>
      <c r="K30" s="144"/>
      <c r="L30" s="144"/>
      <c r="M30" s="144"/>
      <c r="N30" s="143">
        <f t="shared" si="1"/>
        <v>0</v>
      </c>
      <c r="O30" s="145"/>
      <c r="P30" s="145"/>
    </row>
    <row r="31" spans="1:16" s="22" customFormat="1" ht="12.75">
      <c r="A31" s="25" t="s">
        <v>73</v>
      </c>
      <c r="B31" s="26" t="s">
        <v>149</v>
      </c>
      <c r="C31" s="144">
        <f>D31+G31</f>
        <v>1000000</v>
      </c>
      <c r="D31" s="144">
        <f>D32</f>
        <v>1000000</v>
      </c>
      <c r="E31" s="144"/>
      <c r="F31" s="144"/>
      <c r="G31" s="144"/>
      <c r="H31" s="144">
        <f>I31+L31</f>
        <v>0</v>
      </c>
      <c r="I31" s="144"/>
      <c r="J31" s="144"/>
      <c r="K31" s="144"/>
      <c r="L31" s="144"/>
      <c r="M31" s="144"/>
      <c r="N31" s="143">
        <f t="shared" si="1"/>
        <v>1000000</v>
      </c>
      <c r="O31" s="145"/>
      <c r="P31" s="145"/>
    </row>
    <row r="32" spans="1:16" s="22" customFormat="1" ht="51">
      <c r="A32" s="45"/>
      <c r="B32" s="27" t="s">
        <v>384</v>
      </c>
      <c r="C32" s="144">
        <f>D32+G32</f>
        <v>1000000</v>
      </c>
      <c r="D32" s="144">
        <v>1000000</v>
      </c>
      <c r="E32" s="144"/>
      <c r="F32" s="144"/>
      <c r="G32" s="144"/>
      <c r="H32" s="144">
        <f>I32+L32</f>
        <v>0</v>
      </c>
      <c r="I32" s="144"/>
      <c r="J32" s="144"/>
      <c r="K32" s="144"/>
      <c r="L32" s="144"/>
      <c r="M32" s="144"/>
      <c r="N32" s="143">
        <f t="shared" si="1"/>
        <v>1000000</v>
      </c>
      <c r="O32" s="145"/>
      <c r="P32" s="145"/>
    </row>
    <row r="33" spans="1:16" s="125" customFormat="1" ht="25.5">
      <c r="A33" s="170" t="s">
        <v>277</v>
      </c>
      <c r="B33" s="132" t="s">
        <v>135</v>
      </c>
      <c r="C33" s="160">
        <f>SUM(C34:C47)</f>
        <v>14087450</v>
      </c>
      <c r="D33" s="160">
        <f aca="true" t="shared" si="7" ref="D33:M33">D34+D35+D36+D37+D39+D44+D47</f>
        <v>787450</v>
      </c>
      <c r="E33" s="160">
        <f t="shared" si="7"/>
        <v>333402</v>
      </c>
      <c r="F33" s="160">
        <f t="shared" si="7"/>
        <v>19544</v>
      </c>
      <c r="G33" s="160">
        <f t="shared" si="7"/>
        <v>13300000</v>
      </c>
      <c r="H33" s="160">
        <f t="shared" si="7"/>
        <v>18484400</v>
      </c>
      <c r="I33" s="160">
        <f t="shared" si="7"/>
        <v>2194800</v>
      </c>
      <c r="J33" s="160">
        <f t="shared" si="7"/>
        <v>0</v>
      </c>
      <c r="K33" s="160">
        <f t="shared" si="7"/>
        <v>0</v>
      </c>
      <c r="L33" s="160">
        <f t="shared" si="7"/>
        <v>16289600</v>
      </c>
      <c r="M33" s="160">
        <f t="shared" si="7"/>
        <v>11111100</v>
      </c>
      <c r="N33" s="159">
        <f t="shared" si="1"/>
        <v>32571850</v>
      </c>
      <c r="O33" s="169"/>
      <c r="P33" s="169"/>
    </row>
    <row r="34" spans="1:16" s="22" customFormat="1" ht="12.75">
      <c r="A34" s="25" t="s">
        <v>24</v>
      </c>
      <c r="B34" s="16" t="s">
        <v>25</v>
      </c>
      <c r="C34" s="144">
        <f aca="true" t="shared" si="8" ref="C34:C50">D34+G34</f>
        <v>552750</v>
      </c>
      <c r="D34" s="144">
        <v>552750</v>
      </c>
      <c r="E34" s="144">
        <v>333402</v>
      </c>
      <c r="F34" s="144">
        <v>19544</v>
      </c>
      <c r="G34" s="144"/>
      <c r="H34" s="144">
        <f aca="true" t="shared" si="9" ref="H34:H50">I34+L34</f>
        <v>0</v>
      </c>
      <c r="I34" s="144"/>
      <c r="J34" s="144"/>
      <c r="K34" s="144"/>
      <c r="L34" s="144"/>
      <c r="M34" s="144"/>
      <c r="N34" s="143">
        <f t="shared" si="1"/>
        <v>552750</v>
      </c>
      <c r="O34" s="145"/>
      <c r="P34" s="145"/>
    </row>
    <row r="35" spans="1:16" s="22" customFormat="1" ht="25.5">
      <c r="A35" s="25">
        <v>100102</v>
      </c>
      <c r="B35" s="26" t="s">
        <v>54</v>
      </c>
      <c r="C35" s="144">
        <f t="shared" si="8"/>
        <v>11200000</v>
      </c>
      <c r="D35" s="144"/>
      <c r="E35" s="144"/>
      <c r="F35" s="144"/>
      <c r="G35" s="144">
        <v>11200000</v>
      </c>
      <c r="H35" s="144">
        <f t="shared" si="9"/>
        <v>0</v>
      </c>
      <c r="I35" s="144"/>
      <c r="J35" s="144"/>
      <c r="K35" s="144"/>
      <c r="L35" s="144"/>
      <c r="M35" s="144"/>
      <c r="N35" s="143">
        <f t="shared" si="1"/>
        <v>11200000</v>
      </c>
      <c r="O35" s="145"/>
      <c r="P35" s="145"/>
    </row>
    <row r="36" spans="1:16" s="22" customFormat="1" ht="25.5">
      <c r="A36" s="25">
        <v>100102</v>
      </c>
      <c r="B36" s="26" t="s">
        <v>395</v>
      </c>
      <c r="C36" s="144">
        <f t="shared" si="8"/>
        <v>1700000</v>
      </c>
      <c r="D36" s="144"/>
      <c r="E36" s="144"/>
      <c r="F36" s="144"/>
      <c r="G36" s="144">
        <v>1700000</v>
      </c>
      <c r="H36" s="144">
        <f t="shared" si="9"/>
        <v>0</v>
      </c>
      <c r="I36" s="144"/>
      <c r="J36" s="144"/>
      <c r="K36" s="144"/>
      <c r="L36" s="144"/>
      <c r="M36" s="144"/>
      <c r="N36" s="143">
        <f t="shared" si="1"/>
        <v>1700000</v>
      </c>
      <c r="O36" s="145"/>
      <c r="P36" s="145"/>
    </row>
    <row r="37" spans="1:16" s="22" customFormat="1" ht="38.25">
      <c r="A37" s="25">
        <v>100102</v>
      </c>
      <c r="B37" s="26" t="s">
        <v>380</v>
      </c>
      <c r="C37" s="144">
        <f t="shared" si="8"/>
        <v>400000</v>
      </c>
      <c r="D37" s="144"/>
      <c r="E37" s="144"/>
      <c r="F37" s="144"/>
      <c r="G37" s="144">
        <v>400000</v>
      </c>
      <c r="H37" s="144">
        <f t="shared" si="9"/>
        <v>0</v>
      </c>
      <c r="I37" s="144"/>
      <c r="J37" s="144"/>
      <c r="K37" s="144"/>
      <c r="L37" s="144"/>
      <c r="M37" s="144"/>
      <c r="N37" s="143">
        <f t="shared" si="1"/>
        <v>400000</v>
      </c>
      <c r="O37" s="145"/>
      <c r="P37" s="145"/>
    </row>
    <row r="38" spans="1:16" s="22" customFormat="1" ht="25.5" hidden="1">
      <c r="A38" s="25" t="s">
        <v>381</v>
      </c>
      <c r="B38" s="26" t="s">
        <v>382</v>
      </c>
      <c r="C38" s="144">
        <f t="shared" si="8"/>
        <v>0</v>
      </c>
      <c r="D38" s="144"/>
      <c r="E38" s="144"/>
      <c r="F38" s="144"/>
      <c r="G38" s="144"/>
      <c r="H38" s="144"/>
      <c r="I38" s="144"/>
      <c r="J38" s="144"/>
      <c r="K38" s="144"/>
      <c r="L38" s="144"/>
      <c r="M38" s="144"/>
      <c r="N38" s="143">
        <f t="shared" si="1"/>
        <v>0</v>
      </c>
      <c r="O38" s="145"/>
      <c r="P38" s="145"/>
    </row>
    <row r="39" spans="1:16" s="22" customFormat="1" ht="12.75">
      <c r="A39" s="25" t="s">
        <v>261</v>
      </c>
      <c r="B39" s="26" t="s">
        <v>262</v>
      </c>
      <c r="C39" s="144">
        <f t="shared" si="8"/>
        <v>0</v>
      </c>
      <c r="D39" s="144"/>
      <c r="E39" s="144"/>
      <c r="F39" s="144"/>
      <c r="G39" s="144"/>
      <c r="H39" s="144">
        <f t="shared" si="9"/>
        <v>11111100</v>
      </c>
      <c r="I39" s="144"/>
      <c r="J39" s="144"/>
      <c r="K39" s="144"/>
      <c r="L39" s="144">
        <f>10111100+1000000</f>
        <v>11111100</v>
      </c>
      <c r="M39" s="144">
        <f>10111100+1000000</f>
        <v>11111100</v>
      </c>
      <c r="N39" s="143">
        <f t="shared" si="1"/>
        <v>11111100</v>
      </c>
      <c r="O39" s="145"/>
      <c r="P39" s="145"/>
    </row>
    <row r="40" spans="1:16" s="22" customFormat="1" ht="63.75" hidden="1">
      <c r="A40" s="45" t="s">
        <v>313</v>
      </c>
      <c r="B40" s="16" t="s">
        <v>314</v>
      </c>
      <c r="C40" s="144">
        <f t="shared" si="8"/>
        <v>0</v>
      </c>
      <c r="D40" s="144"/>
      <c r="E40" s="144"/>
      <c r="F40" s="144"/>
      <c r="G40" s="144"/>
      <c r="H40" s="144">
        <f t="shared" si="9"/>
        <v>0</v>
      </c>
      <c r="I40" s="144"/>
      <c r="J40" s="144"/>
      <c r="K40" s="144"/>
      <c r="L40" s="144"/>
      <c r="M40" s="144"/>
      <c r="N40" s="143">
        <f t="shared" si="1"/>
        <v>0</v>
      </c>
      <c r="O40" s="145"/>
      <c r="P40" s="145"/>
    </row>
    <row r="41" spans="1:16" s="22" customFormat="1" ht="12.75" hidden="1">
      <c r="A41" s="45" t="s">
        <v>330</v>
      </c>
      <c r="B41" s="16" t="s">
        <v>331</v>
      </c>
      <c r="C41" s="144">
        <f t="shared" si="8"/>
        <v>0</v>
      </c>
      <c r="D41" s="144"/>
      <c r="E41" s="144"/>
      <c r="F41" s="144"/>
      <c r="G41" s="144"/>
      <c r="H41" s="144">
        <f t="shared" si="9"/>
        <v>0</v>
      </c>
      <c r="I41" s="144"/>
      <c r="J41" s="144"/>
      <c r="K41" s="144"/>
      <c r="L41" s="144"/>
      <c r="M41" s="144"/>
      <c r="N41" s="143">
        <f t="shared" si="1"/>
        <v>0</v>
      </c>
      <c r="O41" s="145"/>
      <c r="P41" s="145"/>
    </row>
    <row r="42" spans="1:16" s="22" customFormat="1" ht="51" customHeight="1" hidden="1">
      <c r="A42" s="45" t="s">
        <v>321</v>
      </c>
      <c r="B42" s="27" t="s">
        <v>322</v>
      </c>
      <c r="C42" s="144">
        <f>D42+G42</f>
        <v>0</v>
      </c>
      <c r="D42" s="144"/>
      <c r="E42" s="144"/>
      <c r="F42" s="144"/>
      <c r="G42" s="144"/>
      <c r="H42" s="144">
        <f>I42+L42</f>
        <v>0</v>
      </c>
      <c r="I42" s="144"/>
      <c r="J42" s="144"/>
      <c r="K42" s="144"/>
      <c r="L42" s="144"/>
      <c r="M42" s="144"/>
      <c r="N42" s="143">
        <f>C42+H42</f>
        <v>0</v>
      </c>
      <c r="O42" s="145"/>
      <c r="P42" s="145"/>
    </row>
    <row r="43" spans="1:16" s="22" customFormat="1" ht="25.5" hidden="1">
      <c r="A43" s="45" t="s">
        <v>260</v>
      </c>
      <c r="B43" s="105" t="s">
        <v>309</v>
      </c>
      <c r="C43" s="144"/>
      <c r="D43" s="144"/>
      <c r="E43" s="144"/>
      <c r="F43" s="144"/>
      <c r="G43" s="144"/>
      <c r="H43" s="144">
        <f t="shared" si="9"/>
        <v>0</v>
      </c>
      <c r="I43" s="144"/>
      <c r="J43" s="144"/>
      <c r="K43" s="144"/>
      <c r="L43" s="144"/>
      <c r="M43" s="144"/>
      <c r="N43" s="143">
        <f t="shared" si="1"/>
        <v>0</v>
      </c>
      <c r="O43" s="145"/>
      <c r="P43" s="145"/>
    </row>
    <row r="44" spans="1:16" s="22" customFormat="1" ht="25.5">
      <c r="A44" s="45" t="s">
        <v>71</v>
      </c>
      <c r="B44" s="105" t="s">
        <v>229</v>
      </c>
      <c r="C44" s="144">
        <f t="shared" si="8"/>
        <v>0</v>
      </c>
      <c r="D44" s="144"/>
      <c r="E44" s="144"/>
      <c r="F44" s="144"/>
      <c r="G44" s="144"/>
      <c r="H44" s="144">
        <f t="shared" si="9"/>
        <v>7373300</v>
      </c>
      <c r="I44" s="144">
        <f>7363300-178500-5000000+10000</f>
        <v>2194800</v>
      </c>
      <c r="J44" s="144"/>
      <c r="K44" s="144"/>
      <c r="L44" s="144">
        <f>178500+5000000</f>
        <v>5178500</v>
      </c>
      <c r="M44" s="144"/>
      <c r="N44" s="143">
        <f t="shared" si="1"/>
        <v>7373300</v>
      </c>
      <c r="O44" s="145"/>
      <c r="P44" s="145"/>
    </row>
    <row r="45" spans="1:16" s="22" customFormat="1" ht="12.75">
      <c r="A45" s="45"/>
      <c r="B45" s="104" t="s">
        <v>236</v>
      </c>
      <c r="C45" s="144"/>
      <c r="D45" s="144"/>
      <c r="E45" s="144"/>
      <c r="F45" s="144"/>
      <c r="G45" s="144"/>
      <c r="H45" s="144"/>
      <c r="I45" s="144"/>
      <c r="J45" s="144"/>
      <c r="K45" s="144"/>
      <c r="L45" s="144"/>
      <c r="M45" s="144"/>
      <c r="N45" s="143"/>
      <c r="O45" s="145"/>
      <c r="P45" s="145"/>
    </row>
    <row r="46" spans="1:16" s="22" customFormat="1" ht="89.25">
      <c r="A46" s="45"/>
      <c r="B46" s="104" t="s">
        <v>407</v>
      </c>
      <c r="C46" s="144">
        <f t="shared" si="8"/>
        <v>0</v>
      </c>
      <c r="D46" s="144"/>
      <c r="E46" s="144"/>
      <c r="F46" s="144"/>
      <c r="G46" s="144"/>
      <c r="H46" s="144">
        <f t="shared" si="9"/>
        <v>1073300</v>
      </c>
      <c r="I46" s="144">
        <v>894800</v>
      </c>
      <c r="J46" s="144"/>
      <c r="K46" s="144"/>
      <c r="L46" s="144">
        <v>178500</v>
      </c>
      <c r="M46" s="144"/>
      <c r="N46" s="143">
        <f t="shared" si="1"/>
        <v>1073300</v>
      </c>
      <c r="O46" s="145"/>
      <c r="P46" s="145"/>
    </row>
    <row r="47" spans="1:16" s="22" customFormat="1" ht="12.75">
      <c r="A47" s="45" t="s">
        <v>73</v>
      </c>
      <c r="B47" s="27" t="s">
        <v>149</v>
      </c>
      <c r="C47" s="144">
        <f t="shared" si="8"/>
        <v>234700</v>
      </c>
      <c r="D47" s="144">
        <f>D49+D48+D50</f>
        <v>234700</v>
      </c>
      <c r="E47" s="144">
        <f>E49+E48+E50</f>
        <v>0</v>
      </c>
      <c r="F47" s="144">
        <f>F49+F48+F50</f>
        <v>0</v>
      </c>
      <c r="G47" s="144">
        <f>G49+G48+G50</f>
        <v>0</v>
      </c>
      <c r="H47" s="144">
        <f t="shared" si="9"/>
        <v>0</v>
      </c>
      <c r="I47" s="144">
        <f>I49</f>
        <v>0</v>
      </c>
      <c r="J47" s="144">
        <f>J49</f>
        <v>0</v>
      </c>
      <c r="K47" s="144">
        <f>K49</f>
        <v>0</v>
      </c>
      <c r="L47" s="144">
        <f>L49</f>
        <v>0</v>
      </c>
      <c r="M47" s="144"/>
      <c r="N47" s="143">
        <f t="shared" si="1"/>
        <v>234700</v>
      </c>
      <c r="O47" s="145"/>
      <c r="P47" s="145"/>
    </row>
    <row r="48" spans="1:16" s="22" customFormat="1" ht="38.25">
      <c r="A48" s="45"/>
      <c r="B48" s="27" t="s">
        <v>431</v>
      </c>
      <c r="C48" s="144">
        <f t="shared" si="8"/>
        <v>20000</v>
      </c>
      <c r="D48" s="144">
        <v>20000</v>
      </c>
      <c r="E48" s="144"/>
      <c r="F48" s="144"/>
      <c r="G48" s="144"/>
      <c r="H48" s="144">
        <f t="shared" si="9"/>
        <v>0</v>
      </c>
      <c r="I48" s="144"/>
      <c r="J48" s="144"/>
      <c r="K48" s="144"/>
      <c r="L48" s="144"/>
      <c r="M48" s="144"/>
      <c r="N48" s="143">
        <f t="shared" si="1"/>
        <v>20000</v>
      </c>
      <c r="O48" s="145"/>
      <c r="P48" s="145"/>
    </row>
    <row r="49" spans="1:16" s="22" customFormat="1" ht="38.25">
      <c r="A49" s="45"/>
      <c r="B49" s="27" t="s">
        <v>432</v>
      </c>
      <c r="C49" s="144">
        <f t="shared" si="8"/>
        <v>214700</v>
      </c>
      <c r="D49" s="144">
        <v>214700</v>
      </c>
      <c r="E49" s="144"/>
      <c r="F49" s="144"/>
      <c r="G49" s="144"/>
      <c r="H49" s="144">
        <f t="shared" si="9"/>
        <v>0</v>
      </c>
      <c r="I49" s="144"/>
      <c r="J49" s="144"/>
      <c r="K49" s="144"/>
      <c r="L49" s="144"/>
      <c r="M49" s="144"/>
      <c r="N49" s="143">
        <f t="shared" si="1"/>
        <v>214700</v>
      </c>
      <c r="O49" s="145"/>
      <c r="P49" s="145"/>
    </row>
    <row r="50" spans="1:16" s="22" customFormat="1" ht="25.5" hidden="1">
      <c r="A50" s="45"/>
      <c r="B50" s="27" t="s">
        <v>393</v>
      </c>
      <c r="C50" s="144">
        <f t="shared" si="8"/>
        <v>0</v>
      </c>
      <c r="D50" s="144"/>
      <c r="E50" s="144"/>
      <c r="F50" s="144"/>
      <c r="G50" s="144"/>
      <c r="H50" s="144">
        <f t="shared" si="9"/>
        <v>0</v>
      </c>
      <c r="I50" s="144"/>
      <c r="J50" s="144"/>
      <c r="K50" s="144"/>
      <c r="L50" s="144"/>
      <c r="M50" s="144"/>
      <c r="N50" s="143">
        <f t="shared" si="1"/>
        <v>0</v>
      </c>
      <c r="O50" s="145"/>
      <c r="P50" s="145"/>
    </row>
    <row r="51" spans="1:16" s="125" customFormat="1" ht="25.5">
      <c r="A51" s="124" t="s">
        <v>394</v>
      </c>
      <c r="B51" s="126" t="s">
        <v>136</v>
      </c>
      <c r="C51" s="160">
        <f>C53+C54+C55+C56+C57+C61+C63+C59+C58</f>
        <v>20132097</v>
      </c>
      <c r="D51" s="160">
        <f>D53+D54+D55+D56+D57+D61+D63+D59+D58</f>
        <v>19632097</v>
      </c>
      <c r="E51" s="160">
        <f>E53+E54+E55+E56+E57+E61+E63+E59+E58</f>
        <v>262520</v>
      </c>
      <c r="F51" s="160">
        <f>F53+F54+F55+F56+F57+F61+F63+F59+F58</f>
        <v>5392218</v>
      </c>
      <c r="G51" s="160">
        <f>G53+G54+G55+G56+G57+G61+G63+G59+G58</f>
        <v>500000</v>
      </c>
      <c r="H51" s="160">
        <f aca="true" t="shared" si="10" ref="H51:M51">H53+H54+H55+H56+H57+H61+H63+H59+H62+H60+H68+H67</f>
        <v>41462670</v>
      </c>
      <c r="I51" s="160">
        <f t="shared" si="10"/>
        <v>18005670</v>
      </c>
      <c r="J51" s="160">
        <f t="shared" si="10"/>
        <v>0</v>
      </c>
      <c r="K51" s="160">
        <f t="shared" si="10"/>
        <v>4000000</v>
      </c>
      <c r="L51" s="160">
        <f t="shared" si="10"/>
        <v>23457000</v>
      </c>
      <c r="M51" s="160">
        <f t="shared" si="10"/>
        <v>16300000</v>
      </c>
      <c r="N51" s="159">
        <f t="shared" si="1"/>
        <v>61594767</v>
      </c>
      <c r="O51" s="169"/>
      <c r="P51" s="169"/>
    </row>
    <row r="52" spans="1:16" ht="12.75" hidden="1">
      <c r="A52" s="131"/>
      <c r="B52" s="112"/>
      <c r="C52" s="146"/>
      <c r="D52" s="146"/>
      <c r="E52" s="146"/>
      <c r="F52" s="146"/>
      <c r="G52" s="146"/>
      <c r="H52" s="146"/>
      <c r="I52" s="146"/>
      <c r="J52" s="146"/>
      <c r="K52" s="146"/>
      <c r="L52" s="146"/>
      <c r="M52" s="146"/>
      <c r="N52" s="143">
        <f t="shared" si="1"/>
        <v>0</v>
      </c>
      <c r="O52" s="146"/>
      <c r="P52" s="146"/>
    </row>
    <row r="53" spans="1:16" s="22" customFormat="1" ht="12.75">
      <c r="A53" s="45" t="s">
        <v>24</v>
      </c>
      <c r="B53" s="52" t="s">
        <v>25</v>
      </c>
      <c r="C53" s="144">
        <f>D53+G53</f>
        <v>472097</v>
      </c>
      <c r="D53" s="144">
        <v>472097</v>
      </c>
      <c r="E53" s="144">
        <v>262520</v>
      </c>
      <c r="F53" s="144">
        <v>17218</v>
      </c>
      <c r="G53" s="144"/>
      <c r="H53" s="144">
        <f>I53+L53</f>
        <v>0</v>
      </c>
      <c r="I53" s="144"/>
      <c r="J53" s="144"/>
      <c r="K53" s="144"/>
      <c r="L53" s="144"/>
      <c r="M53" s="144"/>
      <c r="N53" s="143">
        <f t="shared" si="1"/>
        <v>472097</v>
      </c>
      <c r="O53" s="145"/>
      <c r="P53" s="145"/>
    </row>
    <row r="54" spans="1:16" s="22" customFormat="1" ht="25.5">
      <c r="A54" s="45" t="s">
        <v>164</v>
      </c>
      <c r="B54" s="52" t="s">
        <v>122</v>
      </c>
      <c r="C54" s="144">
        <f aca="true" t="shared" si="11" ref="C54:C70">D54+G54</f>
        <v>750000</v>
      </c>
      <c r="D54" s="144">
        <v>750000</v>
      </c>
      <c r="E54" s="144"/>
      <c r="F54" s="144"/>
      <c r="G54" s="144"/>
      <c r="H54" s="144">
        <f aca="true" t="shared" si="12" ref="H54:H70">I54+L54</f>
        <v>0</v>
      </c>
      <c r="I54" s="144"/>
      <c r="J54" s="144"/>
      <c r="K54" s="144"/>
      <c r="L54" s="144"/>
      <c r="M54" s="144"/>
      <c r="N54" s="143">
        <f t="shared" si="1"/>
        <v>750000</v>
      </c>
      <c r="O54" s="145"/>
      <c r="P54" s="145"/>
    </row>
    <row r="55" spans="1:16" s="22" customFormat="1" ht="25.5">
      <c r="A55" s="45" t="s">
        <v>50</v>
      </c>
      <c r="B55" s="27" t="s">
        <v>238</v>
      </c>
      <c r="C55" s="144">
        <f t="shared" si="11"/>
        <v>110000</v>
      </c>
      <c r="D55" s="144">
        <v>110000</v>
      </c>
      <c r="E55" s="144"/>
      <c r="F55" s="144"/>
      <c r="G55" s="144"/>
      <c r="H55" s="144">
        <f t="shared" si="12"/>
        <v>0</v>
      </c>
      <c r="I55" s="144"/>
      <c r="J55" s="144"/>
      <c r="K55" s="144"/>
      <c r="L55" s="144"/>
      <c r="M55" s="144"/>
      <c r="N55" s="143">
        <f t="shared" si="1"/>
        <v>110000</v>
      </c>
      <c r="O55" s="145"/>
      <c r="P55" s="145"/>
    </row>
    <row r="56" spans="1:16" s="22" customFormat="1" ht="25.5" hidden="1">
      <c r="A56" s="45" t="s">
        <v>335</v>
      </c>
      <c r="B56" s="27" t="s">
        <v>336</v>
      </c>
      <c r="C56" s="144">
        <f t="shared" si="11"/>
        <v>0</v>
      </c>
      <c r="D56" s="144"/>
      <c r="E56" s="144"/>
      <c r="F56" s="144"/>
      <c r="G56" s="144"/>
      <c r="H56" s="144">
        <f t="shared" si="12"/>
        <v>0</v>
      </c>
      <c r="I56" s="144"/>
      <c r="J56" s="144"/>
      <c r="K56" s="144"/>
      <c r="L56" s="144"/>
      <c r="M56" s="144"/>
      <c r="N56" s="143">
        <f t="shared" si="1"/>
        <v>0</v>
      </c>
      <c r="O56" s="145"/>
      <c r="P56" s="145"/>
    </row>
    <row r="57" spans="1:16" s="22" customFormat="1" ht="12.75">
      <c r="A57" s="45">
        <v>100203</v>
      </c>
      <c r="B57" s="27" t="s">
        <v>55</v>
      </c>
      <c r="C57" s="144">
        <f t="shared" si="11"/>
        <v>18800000</v>
      </c>
      <c r="D57" s="144">
        <v>18300000</v>
      </c>
      <c r="E57" s="144"/>
      <c r="F57" s="144">
        <v>5375000</v>
      </c>
      <c r="G57" s="144">
        <v>500000</v>
      </c>
      <c r="H57" s="144">
        <f t="shared" si="12"/>
        <v>500000</v>
      </c>
      <c r="I57" s="144">
        <v>500000</v>
      </c>
      <c r="J57" s="144"/>
      <c r="K57" s="144"/>
      <c r="L57" s="144"/>
      <c r="M57" s="144"/>
      <c r="N57" s="143">
        <f t="shared" si="1"/>
        <v>19300000</v>
      </c>
      <c r="O57" s="145"/>
      <c r="P57" s="145"/>
    </row>
    <row r="58" spans="1:16" s="22" customFormat="1" ht="51" hidden="1">
      <c r="A58" s="45" t="s">
        <v>425</v>
      </c>
      <c r="B58" s="26" t="s">
        <v>426</v>
      </c>
      <c r="C58" s="144">
        <f t="shared" si="11"/>
        <v>0</v>
      </c>
      <c r="D58" s="144"/>
      <c r="E58" s="144"/>
      <c r="F58" s="144"/>
      <c r="G58" s="144"/>
      <c r="H58" s="144"/>
      <c r="I58" s="144"/>
      <c r="J58" s="144"/>
      <c r="K58" s="144"/>
      <c r="L58" s="144"/>
      <c r="M58" s="144"/>
      <c r="N58" s="143">
        <f t="shared" si="1"/>
        <v>0</v>
      </c>
      <c r="O58" s="145"/>
      <c r="P58" s="145"/>
    </row>
    <row r="59" spans="1:16" s="22" customFormat="1" ht="12.75">
      <c r="A59" s="45" t="s">
        <v>261</v>
      </c>
      <c r="B59" s="26" t="s">
        <v>262</v>
      </c>
      <c r="C59" s="144">
        <f t="shared" si="11"/>
        <v>0</v>
      </c>
      <c r="D59" s="144"/>
      <c r="E59" s="144"/>
      <c r="F59" s="144"/>
      <c r="G59" s="144"/>
      <c r="H59" s="144">
        <f t="shared" si="12"/>
        <v>16300000</v>
      </c>
      <c r="I59" s="144"/>
      <c r="J59" s="144"/>
      <c r="K59" s="144"/>
      <c r="L59" s="144">
        <v>16300000</v>
      </c>
      <c r="M59" s="144">
        <v>16300000</v>
      </c>
      <c r="N59" s="143">
        <f t="shared" si="1"/>
        <v>16300000</v>
      </c>
      <c r="O59" s="145"/>
      <c r="P59" s="145"/>
    </row>
    <row r="60" spans="1:16" s="22" customFormat="1" ht="63.75" hidden="1">
      <c r="A60" s="45" t="s">
        <v>313</v>
      </c>
      <c r="B60" s="16" t="s">
        <v>314</v>
      </c>
      <c r="C60" s="144"/>
      <c r="D60" s="144"/>
      <c r="E60" s="144"/>
      <c r="F60" s="144"/>
      <c r="G60" s="144"/>
      <c r="H60" s="144">
        <f t="shared" si="12"/>
        <v>0</v>
      </c>
      <c r="I60" s="144"/>
      <c r="J60" s="144"/>
      <c r="K60" s="144"/>
      <c r="L60" s="144"/>
      <c r="M60" s="144"/>
      <c r="N60" s="143">
        <f t="shared" si="1"/>
        <v>0</v>
      </c>
      <c r="O60" s="145"/>
      <c r="P60" s="145"/>
    </row>
    <row r="61" spans="1:16" s="22" customFormat="1" ht="51">
      <c r="A61" s="45">
        <v>170703</v>
      </c>
      <c r="B61" s="27" t="s">
        <v>306</v>
      </c>
      <c r="C61" s="144">
        <f t="shared" si="11"/>
        <v>0</v>
      </c>
      <c r="D61" s="144"/>
      <c r="E61" s="144"/>
      <c r="F61" s="144"/>
      <c r="G61" s="144"/>
      <c r="H61" s="144">
        <f t="shared" si="12"/>
        <v>13690000</v>
      </c>
      <c r="I61" s="144">
        <v>12490000</v>
      </c>
      <c r="J61" s="144"/>
      <c r="K61" s="144">
        <v>4000000</v>
      </c>
      <c r="L61" s="144">
        <v>1200000</v>
      </c>
      <c r="M61" s="144"/>
      <c r="N61" s="143">
        <f t="shared" si="1"/>
        <v>13690000</v>
      </c>
      <c r="O61" s="145"/>
      <c r="P61" s="145"/>
    </row>
    <row r="62" spans="1:16" s="22" customFormat="1" ht="50.25" customHeight="1" hidden="1">
      <c r="A62" s="45" t="s">
        <v>321</v>
      </c>
      <c r="B62" s="27" t="s">
        <v>322</v>
      </c>
      <c r="C62" s="144">
        <f t="shared" si="11"/>
        <v>0</v>
      </c>
      <c r="D62" s="144"/>
      <c r="E62" s="144"/>
      <c r="F62" s="144"/>
      <c r="G62" s="144"/>
      <c r="H62" s="144">
        <f t="shared" si="12"/>
        <v>0</v>
      </c>
      <c r="I62" s="144"/>
      <c r="J62" s="144"/>
      <c r="K62" s="144"/>
      <c r="L62" s="144"/>
      <c r="M62" s="144"/>
      <c r="N62" s="143">
        <f t="shared" si="1"/>
        <v>0</v>
      </c>
      <c r="O62" s="145"/>
      <c r="P62" s="145"/>
    </row>
    <row r="63" spans="1:16" s="22" customFormat="1" ht="12.75" hidden="1">
      <c r="A63" s="45" t="s">
        <v>73</v>
      </c>
      <c r="B63" s="27" t="s">
        <v>149</v>
      </c>
      <c r="C63" s="144">
        <f t="shared" si="11"/>
        <v>0</v>
      </c>
      <c r="D63" s="144">
        <f>D64+D65+D66</f>
        <v>0</v>
      </c>
      <c r="E63" s="144"/>
      <c r="F63" s="144"/>
      <c r="G63" s="144"/>
      <c r="H63" s="144">
        <f t="shared" si="12"/>
        <v>0</v>
      </c>
      <c r="I63" s="144"/>
      <c r="J63" s="144"/>
      <c r="K63" s="144"/>
      <c r="L63" s="144"/>
      <c r="M63" s="144"/>
      <c r="N63" s="143">
        <f t="shared" si="1"/>
        <v>0</v>
      </c>
      <c r="O63" s="145"/>
      <c r="P63" s="145"/>
    </row>
    <row r="64" spans="1:16" s="22" customFormat="1" ht="90.75" customHeight="1" hidden="1">
      <c r="A64" s="45"/>
      <c r="B64" s="104" t="s">
        <v>378</v>
      </c>
      <c r="C64" s="144">
        <f t="shared" si="11"/>
        <v>0</v>
      </c>
      <c r="D64" s="144"/>
      <c r="E64" s="144"/>
      <c r="F64" s="144"/>
      <c r="G64" s="144"/>
      <c r="H64" s="144">
        <f t="shared" si="12"/>
        <v>0</v>
      </c>
      <c r="I64" s="144"/>
      <c r="J64" s="144"/>
      <c r="K64" s="144"/>
      <c r="L64" s="144"/>
      <c r="M64" s="144"/>
      <c r="N64" s="143">
        <f t="shared" si="1"/>
        <v>0</v>
      </c>
      <c r="O64" s="145"/>
      <c r="P64" s="145"/>
    </row>
    <row r="65" spans="1:16" s="22" customFormat="1" ht="25.5" hidden="1">
      <c r="A65" s="45"/>
      <c r="B65" s="27" t="s">
        <v>324</v>
      </c>
      <c r="C65" s="144">
        <f t="shared" si="11"/>
        <v>0</v>
      </c>
      <c r="D65" s="144"/>
      <c r="E65" s="144"/>
      <c r="F65" s="144"/>
      <c r="G65" s="144"/>
      <c r="H65" s="144">
        <f t="shared" si="12"/>
        <v>0</v>
      </c>
      <c r="I65" s="144"/>
      <c r="J65" s="144"/>
      <c r="K65" s="144"/>
      <c r="L65" s="144"/>
      <c r="M65" s="144"/>
      <c r="N65" s="143">
        <f t="shared" si="1"/>
        <v>0</v>
      </c>
      <c r="O65" s="145"/>
      <c r="P65" s="145"/>
    </row>
    <row r="66" spans="1:16" s="22" customFormat="1" ht="76.5" hidden="1">
      <c r="A66" s="45"/>
      <c r="B66" s="27" t="s">
        <v>270</v>
      </c>
      <c r="C66" s="144">
        <f t="shared" si="11"/>
        <v>0</v>
      </c>
      <c r="D66" s="144"/>
      <c r="E66" s="144"/>
      <c r="F66" s="144"/>
      <c r="G66" s="144"/>
      <c r="H66" s="144">
        <f t="shared" si="12"/>
        <v>0</v>
      </c>
      <c r="I66" s="144"/>
      <c r="J66" s="144"/>
      <c r="K66" s="144"/>
      <c r="L66" s="144"/>
      <c r="M66" s="144"/>
      <c r="N66" s="143">
        <f t="shared" si="1"/>
        <v>0</v>
      </c>
      <c r="O66" s="145"/>
      <c r="P66" s="145"/>
    </row>
    <row r="67" spans="1:16" s="22" customFormat="1" ht="25.5">
      <c r="A67" s="45" t="s">
        <v>260</v>
      </c>
      <c r="B67" s="105" t="s">
        <v>309</v>
      </c>
      <c r="C67" s="144">
        <f t="shared" si="11"/>
        <v>0</v>
      </c>
      <c r="D67" s="144"/>
      <c r="E67" s="144"/>
      <c r="F67" s="144"/>
      <c r="G67" s="144"/>
      <c r="H67" s="144">
        <f t="shared" si="12"/>
        <v>700000</v>
      </c>
      <c r="I67" s="144"/>
      <c r="J67" s="144"/>
      <c r="K67" s="144"/>
      <c r="L67" s="144">
        <v>700000</v>
      </c>
      <c r="M67" s="144"/>
      <c r="N67" s="143">
        <f t="shared" si="1"/>
        <v>700000</v>
      </c>
      <c r="O67" s="145"/>
      <c r="P67" s="145"/>
    </row>
    <row r="68" spans="1:16" s="22" customFormat="1" ht="25.5">
      <c r="A68" s="45" t="s">
        <v>71</v>
      </c>
      <c r="B68" s="105" t="s">
        <v>229</v>
      </c>
      <c r="C68" s="144">
        <f t="shared" si="11"/>
        <v>0</v>
      </c>
      <c r="D68" s="144"/>
      <c r="E68" s="144"/>
      <c r="F68" s="144"/>
      <c r="G68" s="144"/>
      <c r="H68" s="144">
        <f t="shared" si="12"/>
        <v>10272670</v>
      </c>
      <c r="I68" s="144">
        <f>5025670-10000</f>
        <v>5015670</v>
      </c>
      <c r="J68" s="144"/>
      <c r="K68" s="144"/>
      <c r="L68" s="144">
        <v>5257000</v>
      </c>
      <c r="M68" s="144"/>
      <c r="N68" s="143">
        <f t="shared" si="1"/>
        <v>10272670</v>
      </c>
      <c r="O68" s="145"/>
      <c r="P68" s="145"/>
    </row>
    <row r="69" spans="1:16" s="22" customFormat="1" ht="12.75">
      <c r="A69" s="45"/>
      <c r="B69" s="104" t="s">
        <v>236</v>
      </c>
      <c r="C69" s="144"/>
      <c r="D69" s="144"/>
      <c r="E69" s="144"/>
      <c r="F69" s="144"/>
      <c r="G69" s="144"/>
      <c r="H69" s="144"/>
      <c r="I69" s="144"/>
      <c r="J69" s="144"/>
      <c r="K69" s="144"/>
      <c r="L69" s="144"/>
      <c r="M69" s="144"/>
      <c r="N69" s="143"/>
      <c r="O69" s="145"/>
      <c r="P69" s="145"/>
    </row>
    <row r="70" spans="1:16" s="22" customFormat="1" ht="89.25">
      <c r="A70" s="45"/>
      <c r="B70" s="104" t="s">
        <v>407</v>
      </c>
      <c r="C70" s="144">
        <f t="shared" si="11"/>
        <v>0</v>
      </c>
      <c r="D70" s="144"/>
      <c r="E70" s="144"/>
      <c r="F70" s="144"/>
      <c r="G70" s="144"/>
      <c r="H70" s="144">
        <f t="shared" si="12"/>
        <v>972670</v>
      </c>
      <c r="I70" s="144">
        <v>715670</v>
      </c>
      <c r="J70" s="144"/>
      <c r="K70" s="144"/>
      <c r="L70" s="144">
        <v>257000</v>
      </c>
      <c r="M70" s="144"/>
      <c r="N70" s="143">
        <f t="shared" si="1"/>
        <v>972670</v>
      </c>
      <c r="O70" s="145"/>
      <c r="P70" s="145"/>
    </row>
    <row r="71" spans="1:16" s="125" customFormat="1" ht="25.5">
      <c r="A71" s="124" t="s">
        <v>278</v>
      </c>
      <c r="B71" s="126" t="s">
        <v>403</v>
      </c>
      <c r="C71" s="160">
        <f>C72+C73</f>
        <v>606385</v>
      </c>
      <c r="D71" s="160">
        <f>D72+D73</f>
        <v>606385</v>
      </c>
      <c r="E71" s="160">
        <f>E72+E73</f>
        <v>240214</v>
      </c>
      <c r="F71" s="160">
        <f>F72+F73</f>
        <v>0</v>
      </c>
      <c r="G71" s="160">
        <f>G72+G73</f>
        <v>0</v>
      </c>
      <c r="H71" s="160">
        <f>H72+H73+H74</f>
        <v>1100000</v>
      </c>
      <c r="I71" s="160">
        <f>I72+I73+I74</f>
        <v>100000</v>
      </c>
      <c r="J71" s="160">
        <f>J72+J73+J74</f>
        <v>0</v>
      </c>
      <c r="K71" s="160">
        <f>K72+K73+K74</f>
        <v>0</v>
      </c>
      <c r="L71" s="160">
        <f>L72+L73+L74</f>
        <v>1000000</v>
      </c>
      <c r="M71" s="160">
        <f>M72</f>
        <v>0</v>
      </c>
      <c r="N71" s="159">
        <f t="shared" si="1"/>
        <v>1706385</v>
      </c>
      <c r="O71" s="169"/>
      <c r="P71" s="169"/>
    </row>
    <row r="72" spans="1:16" s="22" customFormat="1" ht="12.75">
      <c r="A72" s="45" t="s">
        <v>24</v>
      </c>
      <c r="B72" s="52" t="s">
        <v>25</v>
      </c>
      <c r="C72" s="144">
        <f>D72+G72</f>
        <v>356385</v>
      </c>
      <c r="D72" s="144">
        <v>356385</v>
      </c>
      <c r="E72" s="144">
        <v>240214</v>
      </c>
      <c r="F72" s="144"/>
      <c r="G72" s="144"/>
      <c r="H72" s="144">
        <f>I72+L72</f>
        <v>0</v>
      </c>
      <c r="I72" s="144"/>
      <c r="J72" s="144"/>
      <c r="K72" s="144"/>
      <c r="L72" s="144"/>
      <c r="M72" s="144"/>
      <c r="N72" s="143">
        <f t="shared" si="1"/>
        <v>356385</v>
      </c>
      <c r="O72" s="145"/>
      <c r="P72" s="145"/>
    </row>
    <row r="73" spans="1:16" s="22" customFormat="1" ht="25.5">
      <c r="A73" s="45" t="s">
        <v>67</v>
      </c>
      <c r="B73" s="27" t="s">
        <v>68</v>
      </c>
      <c r="C73" s="144">
        <f>D73+G73</f>
        <v>250000</v>
      </c>
      <c r="D73" s="144">
        <v>250000</v>
      </c>
      <c r="E73" s="144"/>
      <c r="F73" s="144"/>
      <c r="G73" s="144"/>
      <c r="H73" s="144">
        <f>I73+L73</f>
        <v>0</v>
      </c>
      <c r="I73" s="144"/>
      <c r="J73" s="144"/>
      <c r="K73" s="144"/>
      <c r="L73" s="144"/>
      <c r="M73" s="144"/>
      <c r="N73" s="143">
        <f t="shared" si="1"/>
        <v>250000</v>
      </c>
      <c r="O73" s="145"/>
      <c r="P73" s="145"/>
    </row>
    <row r="74" spans="1:16" s="22" customFormat="1" ht="25.5">
      <c r="A74" s="45" t="s">
        <v>71</v>
      </c>
      <c r="B74" s="105" t="s">
        <v>229</v>
      </c>
      <c r="C74" s="144"/>
      <c r="D74" s="144"/>
      <c r="E74" s="144"/>
      <c r="F74" s="144"/>
      <c r="G74" s="144"/>
      <c r="H74" s="144">
        <f>I74+L74</f>
        <v>1100000</v>
      </c>
      <c r="I74" s="144">
        <v>100000</v>
      </c>
      <c r="J74" s="144"/>
      <c r="K74" s="144"/>
      <c r="L74" s="144">
        <v>1000000</v>
      </c>
      <c r="M74" s="144"/>
      <c r="N74" s="143">
        <f t="shared" si="1"/>
        <v>1100000</v>
      </c>
      <c r="O74" s="145"/>
      <c r="P74" s="145"/>
    </row>
    <row r="75" spans="1:16" s="125" customFormat="1" ht="25.5">
      <c r="A75" s="124" t="s">
        <v>279</v>
      </c>
      <c r="B75" s="126" t="s">
        <v>137</v>
      </c>
      <c r="C75" s="160">
        <f>C76+C77+C78</f>
        <v>759907</v>
      </c>
      <c r="D75" s="160">
        <f>D76+D77+D78</f>
        <v>759907</v>
      </c>
      <c r="E75" s="160">
        <f>E76+E77+E78</f>
        <v>157692</v>
      </c>
      <c r="F75" s="160">
        <f>F76+F77+F78</f>
        <v>9065</v>
      </c>
      <c r="G75" s="160">
        <f>G76+G77+G78</f>
        <v>0</v>
      </c>
      <c r="H75" s="160">
        <f aca="true" t="shared" si="13" ref="H75:M75">H76+H78+H79</f>
        <v>2818000</v>
      </c>
      <c r="I75" s="160">
        <f t="shared" si="13"/>
        <v>879500</v>
      </c>
      <c r="J75" s="160">
        <f t="shared" si="13"/>
        <v>0</v>
      </c>
      <c r="K75" s="160">
        <f t="shared" si="13"/>
        <v>0</v>
      </c>
      <c r="L75" s="160">
        <f t="shared" si="13"/>
        <v>1938500</v>
      </c>
      <c r="M75" s="160">
        <f t="shared" si="13"/>
        <v>0</v>
      </c>
      <c r="N75" s="159">
        <f t="shared" si="1"/>
        <v>3577907</v>
      </c>
      <c r="O75" s="169"/>
      <c r="P75" s="169"/>
    </row>
    <row r="76" spans="1:16" s="22" customFormat="1" ht="12.75">
      <c r="A76" s="45" t="s">
        <v>24</v>
      </c>
      <c r="B76" s="52" t="s">
        <v>25</v>
      </c>
      <c r="C76" s="144">
        <f>D76+G76</f>
        <v>259907</v>
      </c>
      <c r="D76" s="144">
        <v>259907</v>
      </c>
      <c r="E76" s="144">
        <v>157692</v>
      </c>
      <c r="F76" s="144">
        <v>9065</v>
      </c>
      <c r="G76" s="144"/>
      <c r="H76" s="144">
        <f>I76+L76</f>
        <v>0</v>
      </c>
      <c r="I76" s="144"/>
      <c r="J76" s="144"/>
      <c r="K76" s="144"/>
      <c r="L76" s="144"/>
      <c r="M76" s="144"/>
      <c r="N76" s="143">
        <f t="shared" si="1"/>
        <v>259907</v>
      </c>
      <c r="O76" s="145"/>
      <c r="P76" s="145"/>
    </row>
    <row r="77" spans="1:16" s="22" customFormat="1" ht="38.25">
      <c r="A77" s="45" t="s">
        <v>400</v>
      </c>
      <c r="B77" s="105" t="s">
        <v>402</v>
      </c>
      <c r="C77" s="144">
        <f>D77+G77</f>
        <v>500000</v>
      </c>
      <c r="D77" s="144">
        <v>500000</v>
      </c>
      <c r="E77" s="144"/>
      <c r="F77" s="144"/>
      <c r="G77" s="144"/>
      <c r="H77" s="144"/>
      <c r="I77" s="144"/>
      <c r="J77" s="144"/>
      <c r="K77" s="144"/>
      <c r="L77" s="144"/>
      <c r="M77" s="144"/>
      <c r="N77" s="143">
        <f>C77+H77</f>
        <v>500000</v>
      </c>
      <c r="O77" s="145"/>
      <c r="P77" s="145"/>
    </row>
    <row r="78" spans="1:16" s="22" customFormat="1" ht="25.5">
      <c r="A78" s="45" t="s">
        <v>260</v>
      </c>
      <c r="B78" s="105" t="s">
        <v>309</v>
      </c>
      <c r="C78" s="144">
        <f>D78+G78</f>
        <v>0</v>
      </c>
      <c r="D78" s="144"/>
      <c r="E78" s="144"/>
      <c r="F78" s="144"/>
      <c r="G78" s="144"/>
      <c r="H78" s="144">
        <f>I78+L78</f>
        <v>2638000</v>
      </c>
      <c r="I78" s="144">
        <f>747500+2000</f>
        <v>749500</v>
      </c>
      <c r="J78" s="144"/>
      <c r="K78" s="144"/>
      <c r="L78" s="144">
        <v>1888500</v>
      </c>
      <c r="M78" s="144"/>
      <c r="N78" s="143">
        <f t="shared" si="1"/>
        <v>2638000</v>
      </c>
      <c r="O78" s="145"/>
      <c r="P78" s="145"/>
    </row>
    <row r="79" spans="1:16" s="22" customFormat="1" ht="51">
      <c r="A79" s="45" t="s">
        <v>405</v>
      </c>
      <c r="B79" s="26" t="s">
        <v>406</v>
      </c>
      <c r="C79" s="144">
        <f>D79+G79</f>
        <v>0</v>
      </c>
      <c r="D79" s="144"/>
      <c r="E79" s="144"/>
      <c r="F79" s="144"/>
      <c r="G79" s="144"/>
      <c r="H79" s="144">
        <f>I79+L79</f>
        <v>180000</v>
      </c>
      <c r="I79" s="144">
        <v>130000</v>
      </c>
      <c r="J79" s="144"/>
      <c r="K79" s="144"/>
      <c r="L79" s="144">
        <v>50000</v>
      </c>
      <c r="M79" s="144"/>
      <c r="N79" s="143">
        <f>C79+H79</f>
        <v>180000</v>
      </c>
      <c r="O79" s="145"/>
      <c r="P79" s="145"/>
    </row>
    <row r="80" spans="1:16" s="125" customFormat="1" ht="25.5">
      <c r="A80" s="124" t="s">
        <v>280</v>
      </c>
      <c r="B80" s="126" t="s">
        <v>318</v>
      </c>
      <c r="C80" s="160">
        <f>C81+C82+C94+C96+C97+C93</f>
        <v>20567310</v>
      </c>
      <c r="D80" s="160">
        <f>D81+D82+D93+D94+D95+D96+D97</f>
        <v>20517410</v>
      </c>
      <c r="E80" s="160">
        <f>E81+E82+E93+E94+E95+E96+E97</f>
        <v>12986682</v>
      </c>
      <c r="F80" s="160">
        <f>F81+F82+F93+F94+F95+F96+F97</f>
        <v>1407566</v>
      </c>
      <c r="G80" s="160">
        <f>G81+G82+G93+G94+G95+G96+G97</f>
        <v>49900</v>
      </c>
      <c r="H80" s="160">
        <f>H81+H82+H92+H94+H96+H97+H95</f>
        <v>6550310</v>
      </c>
      <c r="I80" s="160">
        <f>I81+I82+I93+I94+I95+I96+I97</f>
        <v>3310078</v>
      </c>
      <c r="J80" s="160">
        <f>J81+J82+J93+J94+J95+J96+J97</f>
        <v>863117</v>
      </c>
      <c r="K80" s="160">
        <f>K81+K82+K93+K94+K95+K96+K97</f>
        <v>16923</v>
      </c>
      <c r="L80" s="160">
        <f>L81+L82+L93+L94+L95+L96+L97</f>
        <v>3240232</v>
      </c>
      <c r="M80" s="160">
        <f>M81+M82+M93+M94+M95+M96+M97</f>
        <v>1608400</v>
      </c>
      <c r="N80" s="159">
        <f t="shared" si="1"/>
        <v>27117620</v>
      </c>
      <c r="O80" s="169"/>
      <c r="P80" s="169"/>
    </row>
    <row r="81" spans="1:16" s="22" customFormat="1" ht="12.75">
      <c r="A81" s="45" t="s">
        <v>24</v>
      </c>
      <c r="B81" s="52" t="s">
        <v>25</v>
      </c>
      <c r="C81" s="144">
        <f aca="true" t="shared" si="14" ref="C81:C94">D81+G81</f>
        <v>285803</v>
      </c>
      <c r="D81" s="144">
        <v>285803</v>
      </c>
      <c r="E81" s="144">
        <v>180437</v>
      </c>
      <c r="F81" s="144">
        <v>9898</v>
      </c>
      <c r="G81" s="144"/>
      <c r="H81" s="144">
        <f aca="true" t="shared" si="15" ref="H81:H99">I81+L81</f>
        <v>0</v>
      </c>
      <c r="I81" s="144"/>
      <c r="J81" s="144"/>
      <c r="K81" s="144"/>
      <c r="L81" s="144"/>
      <c r="M81" s="144"/>
      <c r="N81" s="143">
        <f t="shared" si="1"/>
        <v>285803</v>
      </c>
      <c r="O81" s="145"/>
      <c r="P81" s="145"/>
    </row>
    <row r="82" spans="1:16" s="22" customFormat="1" ht="12.75">
      <c r="A82" s="45" t="s">
        <v>26</v>
      </c>
      <c r="B82" s="52" t="s">
        <v>27</v>
      </c>
      <c r="C82" s="144">
        <f t="shared" si="14"/>
        <v>16700000</v>
      </c>
      <c r="D82" s="144">
        <f>SUM(D84:D92)</f>
        <v>16650100</v>
      </c>
      <c r="E82" s="144">
        <f>SUM(E84:E92)</f>
        <v>10369619</v>
      </c>
      <c r="F82" s="144">
        <f>SUM(F84:F92)</f>
        <v>1293679</v>
      </c>
      <c r="G82" s="144">
        <f>SUM(G84:G92)</f>
        <v>49900</v>
      </c>
      <c r="H82" s="144">
        <f t="shared" si="15"/>
        <v>1890046</v>
      </c>
      <c r="I82" s="144">
        <f>SUM(I84:I92)</f>
        <v>1836694</v>
      </c>
      <c r="J82" s="144">
        <f>SUM(J84:J92)</f>
        <v>863117</v>
      </c>
      <c r="K82" s="144">
        <f>SUM(K84:K92)</f>
        <v>16923</v>
      </c>
      <c r="L82" s="144">
        <f>SUM(L84:L92)</f>
        <v>53352</v>
      </c>
      <c r="M82" s="144">
        <f>M83+M84+M85+M87+M89+M90</f>
        <v>0</v>
      </c>
      <c r="N82" s="143">
        <f t="shared" si="1"/>
        <v>18590046</v>
      </c>
      <c r="O82" s="145"/>
      <c r="P82" s="145"/>
    </row>
    <row r="83" spans="1:16" s="22" customFormat="1" ht="12.75" hidden="1">
      <c r="A83" s="45" t="s">
        <v>82</v>
      </c>
      <c r="B83" s="53" t="s">
        <v>78</v>
      </c>
      <c r="C83" s="144">
        <f t="shared" si="14"/>
        <v>0</v>
      </c>
      <c r="D83" s="144"/>
      <c r="E83" s="144"/>
      <c r="F83" s="144"/>
      <c r="G83" s="144"/>
      <c r="H83" s="144">
        <f t="shared" si="15"/>
        <v>0</v>
      </c>
      <c r="I83" s="144"/>
      <c r="J83" s="144"/>
      <c r="K83" s="144"/>
      <c r="L83" s="144"/>
      <c r="M83" s="144"/>
      <c r="N83" s="143">
        <f t="shared" si="1"/>
        <v>0</v>
      </c>
      <c r="O83" s="145"/>
      <c r="P83" s="145"/>
    </row>
    <row r="84" spans="1:16" s="22" customFormat="1" ht="51">
      <c r="A84" s="45" t="s">
        <v>28</v>
      </c>
      <c r="B84" s="52" t="s">
        <v>294</v>
      </c>
      <c r="C84" s="144">
        <f t="shared" si="14"/>
        <v>8338385</v>
      </c>
      <c r="D84" s="144">
        <v>8338385</v>
      </c>
      <c r="E84" s="144">
        <v>5025106</v>
      </c>
      <c r="F84" s="144">
        <v>671759</v>
      </c>
      <c r="G84" s="144"/>
      <c r="H84" s="144">
        <f t="shared" si="15"/>
        <v>1709712</v>
      </c>
      <c r="I84" s="144">
        <v>1709712</v>
      </c>
      <c r="J84" s="144">
        <v>858117</v>
      </c>
      <c r="K84" s="144">
        <v>15423</v>
      </c>
      <c r="L84" s="144"/>
      <c r="M84" s="144"/>
      <c r="N84" s="143">
        <f t="shared" si="1"/>
        <v>10048097</v>
      </c>
      <c r="O84" s="145"/>
      <c r="P84" s="145"/>
    </row>
    <row r="85" spans="1:16" s="22" customFormat="1" ht="25.5">
      <c r="A85" s="45" t="s">
        <v>29</v>
      </c>
      <c r="B85" s="52" t="s">
        <v>30</v>
      </c>
      <c r="C85" s="144">
        <f t="shared" si="14"/>
        <v>7100000</v>
      </c>
      <c r="D85" s="144">
        <v>7060000</v>
      </c>
      <c r="E85" s="144">
        <v>4552610</v>
      </c>
      <c r="F85" s="144">
        <v>607574</v>
      </c>
      <c r="G85" s="144">
        <v>40000</v>
      </c>
      <c r="H85" s="144">
        <f t="shared" si="15"/>
        <v>152334</v>
      </c>
      <c r="I85" s="144">
        <v>108982</v>
      </c>
      <c r="J85" s="144">
        <v>5000</v>
      </c>
      <c r="K85" s="144">
        <v>1500</v>
      </c>
      <c r="L85" s="144">
        <v>43352</v>
      </c>
      <c r="M85" s="144"/>
      <c r="N85" s="143">
        <f t="shared" si="1"/>
        <v>7252334</v>
      </c>
      <c r="O85" s="145"/>
      <c r="P85" s="145"/>
    </row>
    <row r="86" spans="1:16" s="22" customFormat="1" ht="51" hidden="1">
      <c r="A86" s="45" t="s">
        <v>389</v>
      </c>
      <c r="B86" s="52" t="s">
        <v>390</v>
      </c>
      <c r="C86" s="144">
        <f t="shared" si="14"/>
        <v>0</v>
      </c>
      <c r="D86" s="144"/>
      <c r="E86" s="144"/>
      <c r="F86" s="144"/>
      <c r="G86" s="144"/>
      <c r="H86" s="144"/>
      <c r="I86" s="144"/>
      <c r="J86" s="144"/>
      <c r="K86" s="144"/>
      <c r="L86" s="144"/>
      <c r="M86" s="144"/>
      <c r="N86" s="143">
        <f t="shared" si="1"/>
        <v>0</v>
      </c>
      <c r="O86" s="145"/>
      <c r="P86" s="145"/>
    </row>
    <row r="87" spans="1:16" s="22" customFormat="1" ht="25.5">
      <c r="A87" s="45" t="s">
        <v>31</v>
      </c>
      <c r="B87" s="52" t="s">
        <v>295</v>
      </c>
      <c r="C87" s="144">
        <f t="shared" si="14"/>
        <v>527426</v>
      </c>
      <c r="D87" s="144">
        <v>527426</v>
      </c>
      <c r="E87" s="144">
        <v>349410</v>
      </c>
      <c r="F87" s="144">
        <v>14346</v>
      </c>
      <c r="G87" s="144"/>
      <c r="H87" s="144">
        <f t="shared" si="15"/>
        <v>0</v>
      </c>
      <c r="I87" s="144"/>
      <c r="J87" s="144"/>
      <c r="K87" s="144"/>
      <c r="L87" s="144"/>
      <c r="M87" s="144"/>
      <c r="N87" s="143">
        <f t="shared" si="1"/>
        <v>527426</v>
      </c>
      <c r="O87" s="145"/>
      <c r="P87" s="145"/>
    </row>
    <row r="88" spans="1:16" s="22" customFormat="1" ht="25.5">
      <c r="A88" s="45" t="s">
        <v>429</v>
      </c>
      <c r="B88" s="27" t="s">
        <v>430</v>
      </c>
      <c r="C88" s="144">
        <f>D88+G88</f>
        <v>161431</v>
      </c>
      <c r="D88" s="144">
        <v>161431</v>
      </c>
      <c r="E88" s="144">
        <v>91029</v>
      </c>
      <c r="F88" s="144"/>
      <c r="G88" s="144"/>
      <c r="H88" s="144">
        <f>I88+L88</f>
        <v>28000</v>
      </c>
      <c r="I88" s="144">
        <v>18000</v>
      </c>
      <c r="J88" s="144"/>
      <c r="K88" s="144"/>
      <c r="L88" s="144">
        <v>10000</v>
      </c>
      <c r="M88" s="144"/>
      <c r="N88" s="143">
        <f>C88+H88</f>
        <v>189431</v>
      </c>
      <c r="O88" s="145"/>
      <c r="P88" s="145"/>
    </row>
    <row r="89" spans="1:16" s="22" customFormat="1" ht="25.5">
      <c r="A89" s="45" t="s">
        <v>32</v>
      </c>
      <c r="B89" s="27" t="s">
        <v>296</v>
      </c>
      <c r="C89" s="144">
        <f t="shared" si="14"/>
        <v>572758</v>
      </c>
      <c r="D89" s="144">
        <v>562858</v>
      </c>
      <c r="E89" s="144">
        <v>351464</v>
      </c>
      <c r="F89" s="144"/>
      <c r="G89" s="144">
        <v>9900</v>
      </c>
      <c r="H89" s="144">
        <f t="shared" si="15"/>
        <v>0</v>
      </c>
      <c r="I89" s="144"/>
      <c r="J89" s="144"/>
      <c r="K89" s="144"/>
      <c r="L89" s="144"/>
      <c r="M89" s="144"/>
      <c r="N89" s="143">
        <f t="shared" si="1"/>
        <v>572758</v>
      </c>
      <c r="O89" s="145"/>
      <c r="P89" s="145"/>
    </row>
    <row r="90" spans="1:16" s="22" customFormat="1" ht="25.5" hidden="1">
      <c r="A90" s="45" t="s">
        <v>33</v>
      </c>
      <c r="B90" s="27" t="s">
        <v>297</v>
      </c>
      <c r="C90" s="144">
        <f t="shared" si="14"/>
        <v>0</v>
      </c>
      <c r="D90" s="144"/>
      <c r="E90" s="144"/>
      <c r="F90" s="144"/>
      <c r="G90" s="144"/>
      <c r="H90" s="144">
        <f t="shared" si="15"/>
        <v>0</v>
      </c>
      <c r="I90" s="144"/>
      <c r="J90" s="144"/>
      <c r="K90" s="144"/>
      <c r="L90" s="144"/>
      <c r="M90" s="144"/>
      <c r="N90" s="143">
        <f t="shared" si="1"/>
        <v>0</v>
      </c>
      <c r="O90" s="145"/>
      <c r="P90" s="145"/>
    </row>
    <row r="91" spans="1:16" s="22" customFormat="1" ht="51" hidden="1">
      <c r="A91" s="45" t="s">
        <v>387</v>
      </c>
      <c r="B91" s="27" t="s">
        <v>388</v>
      </c>
      <c r="C91" s="144">
        <f t="shared" si="14"/>
        <v>0</v>
      </c>
      <c r="D91" s="144"/>
      <c r="E91" s="144"/>
      <c r="F91" s="144"/>
      <c r="G91" s="144"/>
      <c r="H91" s="144">
        <f t="shared" si="15"/>
        <v>0</v>
      </c>
      <c r="I91" s="144"/>
      <c r="J91" s="144"/>
      <c r="K91" s="144"/>
      <c r="L91" s="144"/>
      <c r="M91" s="144"/>
      <c r="N91" s="143">
        <f t="shared" si="1"/>
        <v>0</v>
      </c>
      <c r="O91" s="145"/>
      <c r="P91" s="145"/>
    </row>
    <row r="92" spans="1:16" s="22" customFormat="1" ht="102" hidden="1">
      <c r="A92" s="45" t="s">
        <v>416</v>
      </c>
      <c r="B92" s="27" t="s">
        <v>417</v>
      </c>
      <c r="C92" s="144">
        <f t="shared" si="14"/>
        <v>0</v>
      </c>
      <c r="D92" s="144"/>
      <c r="E92" s="144"/>
      <c r="F92" s="144"/>
      <c r="G92" s="144"/>
      <c r="H92" s="144">
        <f t="shared" si="15"/>
        <v>0</v>
      </c>
      <c r="I92" s="144"/>
      <c r="J92" s="144"/>
      <c r="K92" s="144"/>
      <c r="L92" s="144"/>
      <c r="M92" s="144"/>
      <c r="N92" s="143">
        <f t="shared" si="1"/>
        <v>0</v>
      </c>
      <c r="O92" s="145"/>
      <c r="P92" s="145"/>
    </row>
    <row r="93" spans="1:16" s="22" customFormat="1" ht="76.5">
      <c r="A93" s="45" t="s">
        <v>323</v>
      </c>
      <c r="B93" s="27" t="s">
        <v>436</v>
      </c>
      <c r="C93" s="144">
        <f t="shared" si="14"/>
        <v>56717</v>
      </c>
      <c r="D93" s="144">
        <v>56717</v>
      </c>
      <c r="E93" s="144"/>
      <c r="F93" s="144"/>
      <c r="G93" s="144"/>
      <c r="H93" s="144"/>
      <c r="I93" s="144"/>
      <c r="J93" s="144"/>
      <c r="K93" s="144"/>
      <c r="L93" s="144"/>
      <c r="M93" s="144"/>
      <c r="N93" s="143">
        <f t="shared" si="1"/>
        <v>56717</v>
      </c>
      <c r="O93" s="145"/>
      <c r="P93" s="145"/>
    </row>
    <row r="94" spans="1:16" s="22" customFormat="1" ht="38.25">
      <c r="A94" s="45">
        <v>130107</v>
      </c>
      <c r="B94" s="105" t="s">
        <v>64</v>
      </c>
      <c r="C94" s="144">
        <f t="shared" si="14"/>
        <v>3524790</v>
      </c>
      <c r="D94" s="144">
        <v>3524790</v>
      </c>
      <c r="E94" s="144">
        <v>2436626</v>
      </c>
      <c r="F94" s="144">
        <v>103989</v>
      </c>
      <c r="G94" s="144"/>
      <c r="H94" s="144">
        <f t="shared" si="15"/>
        <v>384</v>
      </c>
      <c r="I94" s="144">
        <v>384</v>
      </c>
      <c r="J94" s="144"/>
      <c r="K94" s="144"/>
      <c r="L94" s="144"/>
      <c r="M94" s="144"/>
      <c r="N94" s="143">
        <f t="shared" si="1"/>
        <v>3525174</v>
      </c>
      <c r="O94" s="145"/>
      <c r="P94" s="145"/>
    </row>
    <row r="95" spans="1:16" s="22" customFormat="1" ht="12.75">
      <c r="A95" s="45" t="s">
        <v>261</v>
      </c>
      <c r="B95" s="105" t="s">
        <v>262</v>
      </c>
      <c r="C95" s="144"/>
      <c r="D95" s="144"/>
      <c r="E95" s="144"/>
      <c r="F95" s="144"/>
      <c r="G95" s="144"/>
      <c r="H95" s="144">
        <f t="shared" si="15"/>
        <v>1608400</v>
      </c>
      <c r="I95" s="144"/>
      <c r="J95" s="144"/>
      <c r="K95" s="144"/>
      <c r="L95" s="144">
        <f>1488400+120000</f>
        <v>1608400</v>
      </c>
      <c r="M95" s="144">
        <f>1488400+120000</f>
        <v>1608400</v>
      </c>
      <c r="N95" s="143">
        <f t="shared" si="1"/>
        <v>1608400</v>
      </c>
      <c r="O95" s="145"/>
      <c r="P95" s="145"/>
    </row>
    <row r="96" spans="1:16" s="22" customFormat="1" ht="25.5">
      <c r="A96" s="45" t="s">
        <v>260</v>
      </c>
      <c r="B96" s="105" t="s">
        <v>309</v>
      </c>
      <c r="C96" s="144"/>
      <c r="D96" s="144"/>
      <c r="E96" s="144"/>
      <c r="F96" s="144"/>
      <c r="G96" s="144"/>
      <c r="H96" s="144">
        <f t="shared" si="15"/>
        <v>232000</v>
      </c>
      <c r="I96" s="144">
        <f>111000-2000</f>
        <v>109000</v>
      </c>
      <c r="J96" s="144"/>
      <c r="K96" s="144"/>
      <c r="L96" s="144">
        <v>123000</v>
      </c>
      <c r="M96" s="144"/>
      <c r="N96" s="143">
        <f t="shared" si="1"/>
        <v>232000</v>
      </c>
      <c r="O96" s="145"/>
      <c r="P96" s="145"/>
    </row>
    <row r="97" spans="1:16" s="22" customFormat="1" ht="25.5">
      <c r="A97" s="45" t="s">
        <v>71</v>
      </c>
      <c r="B97" s="105" t="s">
        <v>229</v>
      </c>
      <c r="C97" s="144"/>
      <c r="D97" s="144"/>
      <c r="E97" s="144"/>
      <c r="F97" s="144"/>
      <c r="G97" s="144"/>
      <c r="H97" s="144">
        <f t="shared" si="15"/>
        <v>2819480</v>
      </c>
      <c r="I97" s="144">
        <f>606500+25000+732500</f>
        <v>1364000</v>
      </c>
      <c r="J97" s="144"/>
      <c r="K97" s="144"/>
      <c r="L97" s="144">
        <f>833280+740700-118500</f>
        <v>1455480</v>
      </c>
      <c r="M97" s="144"/>
      <c r="N97" s="143">
        <f t="shared" si="1"/>
        <v>2819480</v>
      </c>
      <c r="O97" s="145"/>
      <c r="P97" s="145"/>
    </row>
    <row r="98" spans="1:16" s="22" customFormat="1" ht="12.75">
      <c r="A98" s="45"/>
      <c r="B98" s="104" t="s">
        <v>236</v>
      </c>
      <c r="C98" s="144"/>
      <c r="D98" s="144"/>
      <c r="E98" s="144"/>
      <c r="F98" s="144"/>
      <c r="G98" s="144"/>
      <c r="H98" s="144"/>
      <c r="I98" s="144"/>
      <c r="J98" s="144"/>
      <c r="K98" s="144"/>
      <c r="L98" s="144"/>
      <c r="M98" s="144"/>
      <c r="N98" s="143"/>
      <c r="O98" s="145"/>
      <c r="P98" s="145"/>
    </row>
    <row r="99" spans="1:16" s="22" customFormat="1" ht="89.25">
      <c r="A99" s="45" t="s">
        <v>71</v>
      </c>
      <c r="B99" s="104" t="s">
        <v>407</v>
      </c>
      <c r="C99" s="144"/>
      <c r="D99" s="144"/>
      <c r="E99" s="144"/>
      <c r="F99" s="144"/>
      <c r="G99" s="144"/>
      <c r="H99" s="144">
        <f t="shared" si="15"/>
        <v>1347200</v>
      </c>
      <c r="I99" s="144">
        <v>604400</v>
      </c>
      <c r="J99" s="144"/>
      <c r="K99" s="144"/>
      <c r="L99" s="144">
        <v>742800</v>
      </c>
      <c r="M99" s="144"/>
      <c r="N99" s="143">
        <f t="shared" si="1"/>
        <v>1347200</v>
      </c>
      <c r="O99" s="145"/>
      <c r="P99" s="145"/>
    </row>
    <row r="100" spans="1:16" s="125" customFormat="1" ht="25.5">
      <c r="A100" s="124" t="s">
        <v>281</v>
      </c>
      <c r="B100" s="126" t="s">
        <v>138</v>
      </c>
      <c r="C100" s="160">
        <f>C101+C102+C105+C109+C110+C111+C112+C113+C114+C116+C108+C117</f>
        <v>49649273</v>
      </c>
      <c r="D100" s="160">
        <f>D101+D102+D105+D109+D110+D111+D112+D113+D114+D116+D108+D117</f>
        <v>49609273</v>
      </c>
      <c r="E100" s="160">
        <f>E101+E102+E105+E109+E110+E111+E112+E113+E114+E116+E108+E117</f>
        <v>3721223</v>
      </c>
      <c r="F100" s="160">
        <f>F101+F102+F105+F109+F110+F111+F112+F113+F114+F116+F108+F117</f>
        <v>255781</v>
      </c>
      <c r="G100" s="160">
        <f>G101+G102+G105+G109+G110+G111+G112+G113+G114+G116+G108+G117</f>
        <v>40000</v>
      </c>
      <c r="H100" s="160">
        <f>H101+H102+H105+H109+H110+H111+H112+H113+H114+H116</f>
        <v>960210</v>
      </c>
      <c r="I100" s="160">
        <f>I101+I102+I105+I109+I110+I111+I112+I113+I114+I116+I108</f>
        <v>960210</v>
      </c>
      <c r="J100" s="160">
        <f>J101+J102+J105+J109+J110+J111+J112+J113+J114+J116+J108</f>
        <v>28634</v>
      </c>
      <c r="K100" s="160">
        <f>K101+K102+K105+K109+K110+K111+K112+K113+K114+K116+K108</f>
        <v>4799</v>
      </c>
      <c r="L100" s="160">
        <f>L101+L102+L105+L109+L110+L111+L112+L113+L114+L116+L108</f>
        <v>0</v>
      </c>
      <c r="M100" s="160">
        <f>M101+M103+M104+M105+M108+M109+M110+M111+M114+M117+M102+M112+M115+M113</f>
        <v>0</v>
      </c>
      <c r="N100" s="159">
        <f t="shared" si="1"/>
        <v>50609483</v>
      </c>
      <c r="O100" s="169"/>
      <c r="P100" s="169"/>
    </row>
    <row r="101" spans="1:16" s="22" customFormat="1" ht="12.75">
      <c r="A101" s="45" t="s">
        <v>24</v>
      </c>
      <c r="B101" s="52" t="s">
        <v>25</v>
      </c>
      <c r="C101" s="144">
        <f aca="true" t="shared" si="16" ref="C101:C121">D101+G101</f>
        <v>462700</v>
      </c>
      <c r="D101" s="144">
        <v>422700</v>
      </c>
      <c r="E101" s="144">
        <v>246283</v>
      </c>
      <c r="F101" s="144">
        <v>17281</v>
      </c>
      <c r="G101" s="144">
        <v>40000</v>
      </c>
      <c r="H101" s="144">
        <f aca="true" t="shared" si="17" ref="H101:H121">I101+L101</f>
        <v>0</v>
      </c>
      <c r="I101" s="144"/>
      <c r="J101" s="144"/>
      <c r="K101" s="144"/>
      <c r="L101" s="144"/>
      <c r="M101" s="144"/>
      <c r="N101" s="143">
        <f t="shared" si="1"/>
        <v>462700</v>
      </c>
      <c r="O101" s="145"/>
      <c r="P101" s="145"/>
    </row>
    <row r="102" spans="1:16" s="22" customFormat="1" ht="51" hidden="1">
      <c r="A102" s="45" t="s">
        <v>389</v>
      </c>
      <c r="B102" s="52" t="s">
        <v>390</v>
      </c>
      <c r="C102" s="144">
        <f>D102+G102</f>
        <v>0</v>
      </c>
      <c r="D102" s="144"/>
      <c r="E102" s="144"/>
      <c r="F102" s="144"/>
      <c r="G102" s="144"/>
      <c r="H102" s="144">
        <f>I102+L102</f>
        <v>0</v>
      </c>
      <c r="I102" s="144"/>
      <c r="J102" s="144"/>
      <c r="K102" s="144"/>
      <c r="L102" s="144"/>
      <c r="M102" s="144"/>
      <c r="N102" s="143">
        <f t="shared" si="1"/>
        <v>0</v>
      </c>
      <c r="O102" s="145"/>
      <c r="P102" s="145"/>
    </row>
    <row r="103" spans="1:16" s="22" customFormat="1" ht="51" hidden="1">
      <c r="A103" s="45" t="s">
        <v>172</v>
      </c>
      <c r="B103" s="105" t="s">
        <v>301</v>
      </c>
      <c r="C103" s="144">
        <f t="shared" si="16"/>
        <v>0</v>
      </c>
      <c r="D103" s="144"/>
      <c r="E103" s="144"/>
      <c r="F103" s="144"/>
      <c r="G103" s="144"/>
      <c r="H103" s="144">
        <f t="shared" si="17"/>
        <v>0</v>
      </c>
      <c r="I103" s="144"/>
      <c r="J103" s="144"/>
      <c r="K103" s="144"/>
      <c r="L103" s="144"/>
      <c r="M103" s="144"/>
      <c r="N103" s="143">
        <f t="shared" si="1"/>
        <v>0</v>
      </c>
      <c r="O103" s="145"/>
      <c r="P103" s="145"/>
    </row>
    <row r="104" spans="1:16" s="22" customFormat="1" ht="38.25" hidden="1">
      <c r="A104" s="45" t="s">
        <v>166</v>
      </c>
      <c r="B104" s="105" t="s">
        <v>211</v>
      </c>
      <c r="C104" s="144">
        <f t="shared" si="16"/>
        <v>0</v>
      </c>
      <c r="D104" s="144"/>
      <c r="E104" s="144"/>
      <c r="F104" s="144"/>
      <c r="G104" s="144"/>
      <c r="H104" s="144">
        <f t="shared" si="17"/>
        <v>0</v>
      </c>
      <c r="I104" s="144"/>
      <c r="J104" s="144"/>
      <c r="K104" s="144"/>
      <c r="L104" s="144"/>
      <c r="M104" s="144"/>
      <c r="N104" s="143">
        <f aca="true" t="shared" si="18" ref="N104:N185">C104+H104</f>
        <v>0</v>
      </c>
      <c r="O104" s="145"/>
      <c r="P104" s="145"/>
    </row>
    <row r="105" spans="1:16" s="22" customFormat="1" ht="25.5">
      <c r="A105" s="45" t="s">
        <v>50</v>
      </c>
      <c r="B105" s="27" t="s">
        <v>186</v>
      </c>
      <c r="C105" s="144">
        <f t="shared" si="16"/>
        <v>2790173</v>
      </c>
      <c r="D105" s="144">
        <f>D106+D107</f>
        <v>2790173</v>
      </c>
      <c r="E105" s="144">
        <f>E106+E107</f>
        <v>0</v>
      </c>
      <c r="F105" s="144">
        <f>F106+F107</f>
        <v>0</v>
      </c>
      <c r="G105" s="144">
        <f>G106+G107</f>
        <v>0</v>
      </c>
      <c r="H105" s="144">
        <f t="shared" si="17"/>
        <v>0</v>
      </c>
      <c r="I105" s="144"/>
      <c r="J105" s="144"/>
      <c r="K105" s="144"/>
      <c r="L105" s="144"/>
      <c r="M105" s="144"/>
      <c r="N105" s="143">
        <f t="shared" si="18"/>
        <v>2790173</v>
      </c>
      <c r="O105" s="145"/>
      <c r="P105" s="145"/>
    </row>
    <row r="106" spans="1:16" s="22" customFormat="1" ht="38.25">
      <c r="A106" s="45"/>
      <c r="B106" s="27" t="s">
        <v>273</v>
      </c>
      <c r="C106" s="144">
        <f t="shared" si="16"/>
        <v>2790173</v>
      </c>
      <c r="D106" s="144">
        <f>2000280-280+500000+154600+135573</f>
        <v>2790173</v>
      </c>
      <c r="E106" s="144"/>
      <c r="F106" s="144"/>
      <c r="G106" s="144"/>
      <c r="H106" s="144">
        <f t="shared" si="17"/>
        <v>0</v>
      </c>
      <c r="I106" s="144"/>
      <c r="J106" s="144"/>
      <c r="K106" s="144"/>
      <c r="L106" s="144"/>
      <c r="M106" s="144"/>
      <c r="N106" s="143">
        <f t="shared" si="18"/>
        <v>2790173</v>
      </c>
      <c r="O106" s="145"/>
      <c r="P106" s="145"/>
    </row>
    <row r="107" spans="1:16" s="22" customFormat="1" ht="25.5" hidden="1">
      <c r="A107" s="45"/>
      <c r="B107" s="26" t="s">
        <v>319</v>
      </c>
      <c r="C107" s="144">
        <f t="shared" si="16"/>
        <v>0</v>
      </c>
      <c r="D107" s="144"/>
      <c r="E107" s="144"/>
      <c r="F107" s="144"/>
      <c r="G107" s="144"/>
      <c r="H107" s="144">
        <f t="shared" si="17"/>
        <v>0</v>
      </c>
      <c r="I107" s="144"/>
      <c r="J107" s="144"/>
      <c r="K107" s="144"/>
      <c r="L107" s="144"/>
      <c r="M107" s="144"/>
      <c r="N107" s="143">
        <f t="shared" si="18"/>
        <v>0</v>
      </c>
      <c r="O107" s="145"/>
      <c r="P107" s="145"/>
    </row>
    <row r="108" spans="1:16" s="22" customFormat="1" ht="76.5">
      <c r="A108" s="45" t="s">
        <v>323</v>
      </c>
      <c r="B108" s="27" t="s">
        <v>436</v>
      </c>
      <c r="C108" s="144">
        <f t="shared" si="16"/>
        <v>610000</v>
      </c>
      <c r="D108" s="144">
        <v>610000</v>
      </c>
      <c r="E108" s="144"/>
      <c r="F108" s="144"/>
      <c r="G108" s="144"/>
      <c r="H108" s="144">
        <f t="shared" si="17"/>
        <v>0</v>
      </c>
      <c r="I108" s="144"/>
      <c r="J108" s="144"/>
      <c r="K108" s="144"/>
      <c r="L108" s="144"/>
      <c r="M108" s="144"/>
      <c r="N108" s="143">
        <f t="shared" si="18"/>
        <v>610000</v>
      </c>
      <c r="O108" s="145"/>
      <c r="P108" s="145"/>
    </row>
    <row r="109" spans="1:16" s="22" customFormat="1" ht="25.5">
      <c r="A109" s="45" t="s">
        <v>52</v>
      </c>
      <c r="B109" s="27" t="s">
        <v>53</v>
      </c>
      <c r="C109" s="144">
        <f t="shared" si="16"/>
        <v>5652000</v>
      </c>
      <c r="D109" s="144">
        <v>5652000</v>
      </c>
      <c r="E109" s="144">
        <v>3474940</v>
      </c>
      <c r="F109" s="144">
        <v>238500</v>
      </c>
      <c r="G109" s="144"/>
      <c r="H109" s="144">
        <f t="shared" si="17"/>
        <v>89379</v>
      </c>
      <c r="I109" s="144">
        <v>89379</v>
      </c>
      <c r="J109" s="144">
        <v>28634</v>
      </c>
      <c r="K109" s="144">
        <v>4799</v>
      </c>
      <c r="L109" s="144"/>
      <c r="M109" s="144"/>
      <c r="N109" s="143">
        <f t="shared" si="18"/>
        <v>5741379</v>
      </c>
      <c r="O109" s="145"/>
      <c r="P109" s="145"/>
    </row>
    <row r="110" spans="1:16" s="22" customFormat="1" ht="25.5">
      <c r="A110" s="45" t="s">
        <v>167</v>
      </c>
      <c r="B110" s="186" t="s">
        <v>438</v>
      </c>
      <c r="C110" s="144">
        <f t="shared" si="16"/>
        <v>134700</v>
      </c>
      <c r="D110" s="144">
        <v>134700</v>
      </c>
      <c r="E110" s="144"/>
      <c r="F110" s="144"/>
      <c r="G110" s="144"/>
      <c r="H110" s="144">
        <f t="shared" si="17"/>
        <v>0</v>
      </c>
      <c r="I110" s="144"/>
      <c r="J110" s="144"/>
      <c r="K110" s="144"/>
      <c r="L110" s="144"/>
      <c r="M110" s="144"/>
      <c r="N110" s="143">
        <f t="shared" si="18"/>
        <v>134700</v>
      </c>
      <c r="O110" s="145"/>
      <c r="P110" s="145"/>
    </row>
    <row r="111" spans="1:16" s="22" customFormat="1" ht="38.25">
      <c r="A111" s="45" t="s">
        <v>126</v>
      </c>
      <c r="B111" s="27" t="s">
        <v>304</v>
      </c>
      <c r="C111" s="144">
        <f t="shared" si="16"/>
        <v>4464300</v>
      </c>
      <c r="D111" s="144">
        <v>4464300</v>
      </c>
      <c r="E111" s="144"/>
      <c r="F111" s="144"/>
      <c r="G111" s="144"/>
      <c r="H111" s="144">
        <f t="shared" si="17"/>
        <v>0</v>
      </c>
      <c r="I111" s="144"/>
      <c r="J111" s="144"/>
      <c r="K111" s="144"/>
      <c r="L111" s="144"/>
      <c r="M111" s="144"/>
      <c r="N111" s="143">
        <f t="shared" si="18"/>
        <v>4464300</v>
      </c>
      <c r="O111" s="145"/>
      <c r="P111" s="145"/>
    </row>
    <row r="112" spans="1:16" s="22" customFormat="1" ht="38.25">
      <c r="A112" s="45" t="s">
        <v>401</v>
      </c>
      <c r="B112" s="104" t="s">
        <v>269</v>
      </c>
      <c r="C112" s="144">
        <f>D112+G112</f>
        <v>1000000</v>
      </c>
      <c r="D112" s="144">
        <v>1000000</v>
      </c>
      <c r="E112" s="144"/>
      <c r="F112" s="144"/>
      <c r="G112" s="144"/>
      <c r="H112" s="144">
        <f>I112+L112</f>
        <v>0</v>
      </c>
      <c r="I112" s="144"/>
      <c r="J112" s="144"/>
      <c r="K112" s="144"/>
      <c r="L112" s="144"/>
      <c r="M112" s="144"/>
      <c r="N112" s="143">
        <f>C112+H112</f>
        <v>1000000</v>
      </c>
      <c r="O112" s="145"/>
      <c r="P112" s="145"/>
    </row>
    <row r="113" spans="1:16" s="22" customFormat="1" ht="38.25">
      <c r="A113" s="45" t="s">
        <v>396</v>
      </c>
      <c r="B113" s="104" t="s">
        <v>397</v>
      </c>
      <c r="C113" s="144">
        <f>D113+G113</f>
        <v>500000</v>
      </c>
      <c r="D113" s="144">
        <v>500000</v>
      </c>
      <c r="E113" s="144"/>
      <c r="F113" s="144"/>
      <c r="G113" s="144"/>
      <c r="H113" s="144"/>
      <c r="I113" s="144"/>
      <c r="J113" s="144"/>
      <c r="K113" s="144"/>
      <c r="L113" s="144"/>
      <c r="M113" s="144"/>
      <c r="N113" s="143">
        <f>C113+H113</f>
        <v>500000</v>
      </c>
      <c r="O113" s="145"/>
      <c r="P113" s="145"/>
    </row>
    <row r="114" spans="1:16" s="22" customFormat="1" ht="38.25">
      <c r="A114" s="45" t="s">
        <v>127</v>
      </c>
      <c r="B114" s="27" t="s">
        <v>305</v>
      </c>
      <c r="C114" s="144">
        <f t="shared" si="16"/>
        <v>14035400</v>
      </c>
      <c r="D114" s="144">
        <v>14035400</v>
      </c>
      <c r="E114" s="144"/>
      <c r="F114" s="144"/>
      <c r="G114" s="144"/>
      <c r="H114" s="144">
        <f t="shared" si="17"/>
        <v>0</v>
      </c>
      <c r="I114" s="144"/>
      <c r="J114" s="144"/>
      <c r="K114" s="144"/>
      <c r="L114" s="144"/>
      <c r="M114" s="144"/>
      <c r="N114" s="143">
        <f t="shared" si="18"/>
        <v>14035400</v>
      </c>
      <c r="O114" s="145"/>
      <c r="P114" s="145"/>
    </row>
    <row r="115" spans="1:16" s="22" customFormat="1" ht="76.5" hidden="1">
      <c r="A115" s="45" t="s">
        <v>127</v>
      </c>
      <c r="B115" s="26" t="s">
        <v>391</v>
      </c>
      <c r="C115" s="144">
        <f>D115+G115</f>
        <v>0</v>
      </c>
      <c r="D115" s="144"/>
      <c r="E115" s="144"/>
      <c r="F115" s="144"/>
      <c r="G115" s="144"/>
      <c r="H115" s="144">
        <f>I115+L115</f>
        <v>0</v>
      </c>
      <c r="I115" s="144"/>
      <c r="J115" s="144"/>
      <c r="K115" s="144"/>
      <c r="L115" s="144"/>
      <c r="M115" s="144"/>
      <c r="N115" s="143">
        <f>C115+H115</f>
        <v>0</v>
      </c>
      <c r="O115" s="145"/>
      <c r="P115" s="145"/>
    </row>
    <row r="116" spans="1:16" s="22" customFormat="1" ht="25.5">
      <c r="A116" s="45" t="s">
        <v>71</v>
      </c>
      <c r="B116" s="105" t="s">
        <v>229</v>
      </c>
      <c r="C116" s="144"/>
      <c r="D116" s="144"/>
      <c r="E116" s="144"/>
      <c r="F116" s="144"/>
      <c r="G116" s="144"/>
      <c r="H116" s="144">
        <f t="shared" si="17"/>
        <v>870831</v>
      </c>
      <c r="I116" s="144">
        <f>620000+160000+831+90000</f>
        <v>870831</v>
      </c>
      <c r="J116" s="144"/>
      <c r="K116" s="144"/>
      <c r="L116" s="144"/>
      <c r="M116" s="144"/>
      <c r="N116" s="143">
        <f t="shared" si="18"/>
        <v>870831</v>
      </c>
      <c r="O116" s="145"/>
      <c r="P116" s="145"/>
    </row>
    <row r="117" spans="1:16" s="22" customFormat="1" ht="12.75">
      <c r="A117" s="45" t="s">
        <v>73</v>
      </c>
      <c r="B117" s="27" t="s">
        <v>149</v>
      </c>
      <c r="C117" s="144">
        <f t="shared" si="16"/>
        <v>20000000</v>
      </c>
      <c r="D117" s="144">
        <f>D118+D119+D120+D121</f>
        <v>20000000</v>
      </c>
      <c r="E117" s="144">
        <f>E118+E119+E120+E121</f>
        <v>0</v>
      </c>
      <c r="F117" s="144">
        <f>F118+F119+F120+F121</f>
        <v>0</v>
      </c>
      <c r="G117" s="144">
        <f>G118+G119+G120+G121</f>
        <v>0</v>
      </c>
      <c r="H117" s="144">
        <f t="shared" si="17"/>
        <v>0</v>
      </c>
      <c r="I117" s="144">
        <f>I118+I119+I120+I121</f>
        <v>0</v>
      </c>
      <c r="J117" s="144">
        <f>J118+J119+J120+J121</f>
        <v>0</v>
      </c>
      <c r="K117" s="144">
        <f>K118+K119+K120+K121</f>
        <v>0</v>
      </c>
      <c r="L117" s="144">
        <f>L118+L119+L120+L121</f>
        <v>0</v>
      </c>
      <c r="M117" s="144">
        <f>M118+M119+M120+M121</f>
        <v>0</v>
      </c>
      <c r="N117" s="143">
        <f t="shared" si="18"/>
        <v>20000000</v>
      </c>
      <c r="O117" s="145"/>
      <c r="P117" s="145"/>
    </row>
    <row r="118" spans="1:16" s="22" customFormat="1" ht="51">
      <c r="A118" s="45"/>
      <c r="B118" s="105" t="s">
        <v>435</v>
      </c>
      <c r="C118" s="144">
        <f t="shared" si="16"/>
        <v>20000000</v>
      </c>
      <c r="D118" s="144">
        <v>20000000</v>
      </c>
      <c r="E118" s="144"/>
      <c r="F118" s="144"/>
      <c r="G118" s="144"/>
      <c r="H118" s="144"/>
      <c r="I118" s="144"/>
      <c r="J118" s="144"/>
      <c r="K118" s="144"/>
      <c r="L118" s="144"/>
      <c r="M118" s="144"/>
      <c r="N118" s="143">
        <f>C118+H118</f>
        <v>20000000</v>
      </c>
      <c r="O118" s="145"/>
      <c r="P118" s="145"/>
    </row>
    <row r="119" spans="1:16" s="22" customFormat="1" ht="38.25" hidden="1">
      <c r="A119" s="45"/>
      <c r="B119" s="104" t="s">
        <v>269</v>
      </c>
      <c r="C119" s="144">
        <f t="shared" si="16"/>
        <v>0</v>
      </c>
      <c r="D119" s="144"/>
      <c r="E119" s="144"/>
      <c r="F119" s="144"/>
      <c r="G119" s="144"/>
      <c r="H119" s="144">
        <f t="shared" si="17"/>
        <v>0</v>
      </c>
      <c r="I119" s="144"/>
      <c r="J119" s="144"/>
      <c r="K119" s="144"/>
      <c r="L119" s="144"/>
      <c r="M119" s="144"/>
      <c r="N119" s="143">
        <f t="shared" si="18"/>
        <v>0</v>
      </c>
      <c r="O119" s="145"/>
      <c r="P119" s="145"/>
    </row>
    <row r="120" spans="1:16" s="22" customFormat="1" ht="63.75" hidden="1">
      <c r="A120" s="45"/>
      <c r="B120" s="104" t="s">
        <v>315</v>
      </c>
      <c r="C120" s="144">
        <f t="shared" si="16"/>
        <v>0</v>
      </c>
      <c r="D120" s="144"/>
      <c r="E120" s="144"/>
      <c r="F120" s="144"/>
      <c r="G120" s="144"/>
      <c r="H120" s="144">
        <f t="shared" si="17"/>
        <v>0</v>
      </c>
      <c r="I120" s="144"/>
      <c r="J120" s="144"/>
      <c r="K120" s="144"/>
      <c r="L120" s="144"/>
      <c r="M120" s="144"/>
      <c r="N120" s="143">
        <f t="shared" si="18"/>
        <v>0</v>
      </c>
      <c r="O120" s="145"/>
      <c r="P120" s="145"/>
    </row>
    <row r="121" spans="1:16" s="22" customFormat="1" ht="38.25" hidden="1">
      <c r="A121" s="45"/>
      <c r="B121" s="104" t="s">
        <v>268</v>
      </c>
      <c r="C121" s="144">
        <f t="shared" si="16"/>
        <v>0</v>
      </c>
      <c r="D121" s="144"/>
      <c r="E121" s="144"/>
      <c r="F121" s="144"/>
      <c r="G121" s="144"/>
      <c r="H121" s="144">
        <f t="shared" si="17"/>
        <v>0</v>
      </c>
      <c r="I121" s="144"/>
      <c r="J121" s="144"/>
      <c r="K121" s="144"/>
      <c r="L121" s="144"/>
      <c r="M121" s="144"/>
      <c r="N121" s="143">
        <f t="shared" si="18"/>
        <v>0</v>
      </c>
      <c r="O121" s="145"/>
      <c r="P121" s="145"/>
    </row>
    <row r="122" spans="1:16" s="125" customFormat="1" ht="12.75">
      <c r="A122" s="124" t="s">
        <v>442</v>
      </c>
      <c r="B122" s="171" t="s">
        <v>139</v>
      </c>
      <c r="C122" s="160">
        <f>C123+C124</f>
        <v>17059458</v>
      </c>
      <c r="D122" s="160">
        <f>D123+D124</f>
        <v>17031458</v>
      </c>
      <c r="E122" s="160">
        <f>E123+E124</f>
        <v>10162190</v>
      </c>
      <c r="F122" s="160">
        <f>F123+F124</f>
        <v>535582</v>
      </c>
      <c r="G122" s="160">
        <f>G123+G124</f>
        <v>28000</v>
      </c>
      <c r="H122" s="160">
        <f>H123+H124+H131+H132</f>
        <v>2880459</v>
      </c>
      <c r="I122" s="160">
        <f>I123+I124+I131+I132</f>
        <v>1918459</v>
      </c>
      <c r="J122" s="160">
        <f>J123+J124+J131+J132</f>
        <v>264212</v>
      </c>
      <c r="K122" s="160">
        <f>K123+K124+K131+K132</f>
        <v>55662</v>
      </c>
      <c r="L122" s="160">
        <f>L123+L124+L131+L132</f>
        <v>962000</v>
      </c>
      <c r="M122" s="160">
        <f>M123+M124+M131+M132+M134</f>
        <v>900000</v>
      </c>
      <c r="N122" s="159">
        <f t="shared" si="18"/>
        <v>19939917</v>
      </c>
      <c r="O122" s="169"/>
      <c r="P122" s="169"/>
    </row>
    <row r="123" spans="1:16" s="22" customFormat="1" ht="12.75">
      <c r="A123" s="45" t="s">
        <v>24</v>
      </c>
      <c r="B123" s="52" t="s">
        <v>25</v>
      </c>
      <c r="C123" s="144">
        <f aca="true" t="shared" si="19" ref="C123:C130">D123+G123</f>
        <v>160358</v>
      </c>
      <c r="D123" s="144">
        <v>160358</v>
      </c>
      <c r="E123" s="144">
        <v>115087</v>
      </c>
      <c r="F123" s="144"/>
      <c r="G123" s="144"/>
      <c r="H123" s="144">
        <f aca="true" t="shared" si="20" ref="H123:H134">I123+L123</f>
        <v>0</v>
      </c>
      <c r="I123" s="144"/>
      <c r="J123" s="144"/>
      <c r="K123" s="144"/>
      <c r="L123" s="144"/>
      <c r="M123" s="144"/>
      <c r="N123" s="143">
        <f t="shared" si="18"/>
        <v>160358</v>
      </c>
      <c r="O123" s="145"/>
      <c r="P123" s="145"/>
    </row>
    <row r="124" spans="1:16" s="22" customFormat="1" ht="12.75">
      <c r="A124" s="45" t="s">
        <v>56</v>
      </c>
      <c r="B124" s="27" t="s">
        <v>57</v>
      </c>
      <c r="C124" s="144">
        <f t="shared" si="19"/>
        <v>16899100</v>
      </c>
      <c r="D124" s="144">
        <f>SUM(D125:D130)</f>
        <v>16871100</v>
      </c>
      <c r="E124" s="144">
        <f>SUM(E125:E130)</f>
        <v>10047103</v>
      </c>
      <c r="F124" s="144">
        <f>SUM(F125:F130)</f>
        <v>535582</v>
      </c>
      <c r="G124" s="144">
        <f>SUM(G125:G130)</f>
        <v>28000</v>
      </c>
      <c r="H124" s="144">
        <f t="shared" si="20"/>
        <v>868659</v>
      </c>
      <c r="I124" s="144">
        <f>SUM(I125:I130)</f>
        <v>818659</v>
      </c>
      <c r="J124" s="144">
        <f>SUM(J125:J130)</f>
        <v>264212</v>
      </c>
      <c r="K124" s="144">
        <f>SUM(K125:K130)</f>
        <v>55662</v>
      </c>
      <c r="L124" s="144">
        <f>SUM(L125:L130)</f>
        <v>50000</v>
      </c>
      <c r="M124" s="144">
        <f>SUM(M125:M130)</f>
        <v>0</v>
      </c>
      <c r="N124" s="143">
        <f t="shared" si="18"/>
        <v>17767759</v>
      </c>
      <c r="O124" s="145"/>
      <c r="P124" s="145"/>
    </row>
    <row r="125" spans="1:16" s="22" customFormat="1" ht="12.75">
      <c r="A125" s="45">
        <v>110102</v>
      </c>
      <c r="B125" s="27" t="s">
        <v>58</v>
      </c>
      <c r="C125" s="144">
        <f t="shared" si="19"/>
        <v>510423</v>
      </c>
      <c r="D125" s="144">
        <v>510423</v>
      </c>
      <c r="E125" s="144"/>
      <c r="F125" s="144"/>
      <c r="G125" s="144"/>
      <c r="H125" s="144">
        <f t="shared" si="20"/>
        <v>0</v>
      </c>
      <c r="I125" s="144"/>
      <c r="J125" s="144"/>
      <c r="K125" s="144"/>
      <c r="L125" s="144"/>
      <c r="M125" s="144"/>
      <c r="N125" s="143">
        <f t="shared" si="18"/>
        <v>510423</v>
      </c>
      <c r="O125" s="145"/>
      <c r="P125" s="145"/>
    </row>
    <row r="126" spans="1:16" s="22" customFormat="1" ht="12.75">
      <c r="A126" s="45">
        <v>110201</v>
      </c>
      <c r="B126" s="27" t="s">
        <v>59</v>
      </c>
      <c r="C126" s="144">
        <f t="shared" si="19"/>
        <v>2731234</v>
      </c>
      <c r="D126" s="144">
        <f>2731234-28000</f>
        <v>2703234</v>
      </c>
      <c r="E126" s="144">
        <v>1467263</v>
      </c>
      <c r="F126" s="144">
        <v>245621</v>
      </c>
      <c r="G126" s="144">
        <v>28000</v>
      </c>
      <c r="H126" s="144">
        <f t="shared" si="20"/>
        <v>18259</v>
      </c>
      <c r="I126" s="144">
        <v>18259</v>
      </c>
      <c r="J126" s="144"/>
      <c r="K126" s="144"/>
      <c r="L126" s="144"/>
      <c r="M126" s="144"/>
      <c r="N126" s="143">
        <f t="shared" si="18"/>
        <v>2749493</v>
      </c>
      <c r="O126" s="145"/>
      <c r="P126" s="145"/>
    </row>
    <row r="127" spans="1:16" s="22" customFormat="1" ht="25.5">
      <c r="A127" s="45">
        <v>110204</v>
      </c>
      <c r="B127" s="27" t="s">
        <v>302</v>
      </c>
      <c r="C127" s="144">
        <f t="shared" si="19"/>
        <v>1234312</v>
      </c>
      <c r="D127" s="144">
        <v>1234312</v>
      </c>
      <c r="E127" s="144"/>
      <c r="F127" s="144"/>
      <c r="G127" s="144"/>
      <c r="H127" s="144">
        <f t="shared" si="20"/>
        <v>0</v>
      </c>
      <c r="I127" s="144"/>
      <c r="J127" s="144"/>
      <c r="K127" s="144"/>
      <c r="L127" s="144"/>
      <c r="M127" s="144"/>
      <c r="N127" s="143">
        <f t="shared" si="18"/>
        <v>1234312</v>
      </c>
      <c r="O127" s="145"/>
      <c r="P127" s="145"/>
    </row>
    <row r="128" spans="1:16" s="22" customFormat="1" ht="12.75">
      <c r="A128" s="45">
        <v>110205</v>
      </c>
      <c r="B128" s="27" t="s">
        <v>60</v>
      </c>
      <c r="C128" s="144">
        <f t="shared" si="19"/>
        <v>11769104</v>
      </c>
      <c r="D128" s="144">
        <v>11769104</v>
      </c>
      <c r="E128" s="144">
        <v>8335264</v>
      </c>
      <c r="F128" s="144">
        <v>275079</v>
      </c>
      <c r="G128" s="144"/>
      <c r="H128" s="144">
        <f t="shared" si="20"/>
        <v>850000</v>
      </c>
      <c r="I128" s="144">
        <v>800000</v>
      </c>
      <c r="J128" s="144">
        <v>264212</v>
      </c>
      <c r="K128" s="144">
        <v>55662</v>
      </c>
      <c r="L128" s="144">
        <v>50000</v>
      </c>
      <c r="M128" s="144"/>
      <c r="N128" s="143">
        <f t="shared" si="18"/>
        <v>12619104</v>
      </c>
      <c r="O128" s="145"/>
      <c r="P128" s="145"/>
    </row>
    <row r="129" spans="1:16" s="22" customFormat="1" ht="102" hidden="1">
      <c r="A129" s="45" t="s">
        <v>418</v>
      </c>
      <c r="B129" s="27" t="s">
        <v>417</v>
      </c>
      <c r="C129" s="144">
        <f t="shared" si="19"/>
        <v>0</v>
      </c>
      <c r="D129" s="144"/>
      <c r="E129" s="144"/>
      <c r="F129" s="144"/>
      <c r="G129" s="144"/>
      <c r="H129" s="144">
        <f t="shared" si="20"/>
        <v>0</v>
      </c>
      <c r="I129" s="144"/>
      <c r="J129" s="144"/>
      <c r="K129" s="144"/>
      <c r="L129" s="144"/>
      <c r="M129" s="144"/>
      <c r="N129" s="143">
        <f t="shared" si="18"/>
        <v>0</v>
      </c>
      <c r="O129" s="145"/>
      <c r="P129" s="145"/>
    </row>
    <row r="130" spans="1:16" s="22" customFormat="1" ht="25.5">
      <c r="A130" s="45">
        <v>110502</v>
      </c>
      <c r="B130" s="27" t="s">
        <v>61</v>
      </c>
      <c r="C130" s="144">
        <f t="shared" si="19"/>
        <v>654027</v>
      </c>
      <c r="D130" s="144">
        <v>654027</v>
      </c>
      <c r="E130" s="144">
        <v>244576</v>
      </c>
      <c r="F130" s="144">
        <v>14882</v>
      </c>
      <c r="G130" s="144"/>
      <c r="H130" s="144">
        <f t="shared" si="20"/>
        <v>400</v>
      </c>
      <c r="I130" s="144">
        <v>400</v>
      </c>
      <c r="J130" s="144"/>
      <c r="K130" s="144"/>
      <c r="L130" s="144"/>
      <c r="M130" s="144"/>
      <c r="N130" s="143">
        <f t="shared" si="18"/>
        <v>654427</v>
      </c>
      <c r="O130" s="145"/>
      <c r="P130" s="145"/>
    </row>
    <row r="131" spans="1:16" s="22" customFormat="1" ht="12.75">
      <c r="A131" s="45" t="s">
        <v>261</v>
      </c>
      <c r="B131" s="26" t="s">
        <v>262</v>
      </c>
      <c r="C131" s="144"/>
      <c r="D131" s="144"/>
      <c r="E131" s="144"/>
      <c r="F131" s="144"/>
      <c r="G131" s="144"/>
      <c r="H131" s="144">
        <f t="shared" si="20"/>
        <v>900000</v>
      </c>
      <c r="I131" s="144"/>
      <c r="J131" s="144"/>
      <c r="K131" s="144"/>
      <c r="L131" s="144">
        <v>900000</v>
      </c>
      <c r="M131" s="144">
        <v>900000</v>
      </c>
      <c r="N131" s="143">
        <f t="shared" si="18"/>
        <v>900000</v>
      </c>
      <c r="O131" s="145"/>
      <c r="P131" s="145"/>
    </row>
    <row r="132" spans="1:16" s="22" customFormat="1" ht="25.5">
      <c r="A132" s="45" t="s">
        <v>71</v>
      </c>
      <c r="B132" s="105" t="s">
        <v>229</v>
      </c>
      <c r="C132" s="144"/>
      <c r="D132" s="144"/>
      <c r="E132" s="144"/>
      <c r="F132" s="144"/>
      <c r="G132" s="144"/>
      <c r="H132" s="144">
        <f t="shared" si="20"/>
        <v>1111800</v>
      </c>
      <c r="I132" s="144">
        <f>1018000+81800</f>
        <v>1099800</v>
      </c>
      <c r="J132" s="144"/>
      <c r="K132" s="144"/>
      <c r="L132" s="144">
        <v>12000</v>
      </c>
      <c r="M132" s="144"/>
      <c r="N132" s="143">
        <f t="shared" si="18"/>
        <v>1111800</v>
      </c>
      <c r="O132" s="145"/>
      <c r="P132" s="145"/>
    </row>
    <row r="133" spans="1:16" s="22" customFormat="1" ht="12.75">
      <c r="A133" s="25"/>
      <c r="B133" s="185" t="s">
        <v>236</v>
      </c>
      <c r="C133" s="144"/>
      <c r="D133" s="144"/>
      <c r="E133" s="144"/>
      <c r="F133" s="144"/>
      <c r="G133" s="144"/>
      <c r="H133" s="144"/>
      <c r="I133" s="144"/>
      <c r="J133" s="144"/>
      <c r="K133" s="144"/>
      <c r="L133" s="144"/>
      <c r="M133" s="144"/>
      <c r="N133" s="143"/>
      <c r="O133" s="145"/>
      <c r="P133" s="145"/>
    </row>
    <row r="134" spans="1:16" s="22" customFormat="1" ht="89.25">
      <c r="A134" s="25"/>
      <c r="B134" s="104" t="s">
        <v>407</v>
      </c>
      <c r="C134" s="144"/>
      <c r="D134" s="144"/>
      <c r="E134" s="144"/>
      <c r="F134" s="144"/>
      <c r="G134" s="144"/>
      <c r="H134" s="144">
        <f t="shared" si="20"/>
        <v>30000</v>
      </c>
      <c r="I134" s="144">
        <v>18000</v>
      </c>
      <c r="J134" s="144"/>
      <c r="K134" s="144"/>
      <c r="L134" s="144">
        <v>12000</v>
      </c>
      <c r="M134" s="144"/>
      <c r="N134" s="143">
        <f t="shared" si="18"/>
        <v>30000</v>
      </c>
      <c r="O134" s="145"/>
      <c r="P134" s="145"/>
    </row>
    <row r="135" spans="1:16" s="125" customFormat="1" ht="25.5">
      <c r="A135" s="170" t="s">
        <v>282</v>
      </c>
      <c r="B135" s="132" t="s">
        <v>140</v>
      </c>
      <c r="C135" s="160">
        <f>C136+C137</f>
        <v>79105986</v>
      </c>
      <c r="D135" s="160">
        <f>D136+D137</f>
        <v>78002986</v>
      </c>
      <c r="E135" s="160">
        <f>E136+E137</f>
        <v>44243177</v>
      </c>
      <c r="F135" s="160">
        <f>F136+F137</f>
        <v>4100560</v>
      </c>
      <c r="G135" s="160">
        <f>G136+G137</f>
        <v>1103000</v>
      </c>
      <c r="H135" s="160">
        <f>H136+H137+H148+H147</f>
        <v>3742934</v>
      </c>
      <c r="I135" s="160">
        <f>I136+I137+I148+I147</f>
        <v>1703434</v>
      </c>
      <c r="J135" s="160">
        <f>J136+J137+J148+J147</f>
        <v>1200</v>
      </c>
      <c r="K135" s="160">
        <f>K136+K137+K148+K147</f>
        <v>0</v>
      </c>
      <c r="L135" s="160">
        <f>L136+L137+L148+L147</f>
        <v>2039500</v>
      </c>
      <c r="M135" s="160">
        <f>M136+M137+M148+M147+M150</f>
        <v>1580000</v>
      </c>
      <c r="N135" s="159">
        <f t="shared" si="18"/>
        <v>82848920</v>
      </c>
      <c r="O135" s="169"/>
      <c r="P135" s="169"/>
    </row>
    <row r="136" spans="1:16" s="22" customFormat="1" ht="12.75">
      <c r="A136" s="45" t="s">
        <v>24</v>
      </c>
      <c r="B136" s="52" t="s">
        <v>25</v>
      </c>
      <c r="C136" s="144">
        <f aca="true" t="shared" si="21" ref="C136:C146">D136+G136</f>
        <v>283086</v>
      </c>
      <c r="D136" s="144">
        <v>283086</v>
      </c>
      <c r="E136" s="144">
        <v>170177</v>
      </c>
      <c r="F136" s="144">
        <v>21448</v>
      </c>
      <c r="G136" s="144"/>
      <c r="H136" s="144">
        <f aca="true" t="shared" si="22" ref="H136:H150">I136+L136</f>
        <v>0</v>
      </c>
      <c r="I136" s="144"/>
      <c r="J136" s="144"/>
      <c r="K136" s="144"/>
      <c r="L136" s="144"/>
      <c r="M136" s="144"/>
      <c r="N136" s="143">
        <f t="shared" si="18"/>
        <v>283086</v>
      </c>
      <c r="O136" s="145"/>
      <c r="P136" s="145"/>
    </row>
    <row r="137" spans="1:16" s="17" customFormat="1" ht="12.75">
      <c r="A137" s="46" t="s">
        <v>35</v>
      </c>
      <c r="B137" s="89" t="s">
        <v>36</v>
      </c>
      <c r="C137" s="144">
        <f t="shared" si="21"/>
        <v>78822900</v>
      </c>
      <c r="D137" s="144">
        <f>D138+D139+D140+D141+D142+D143+D144+D145+D146</f>
        <v>77719900</v>
      </c>
      <c r="E137" s="144">
        <f>E138+E139+E140+E141+E142+E143+E144+E145+E146</f>
        <v>44073000</v>
      </c>
      <c r="F137" s="144">
        <f>F138+F139+F140+F141+F142+F143+F144+F145+F146</f>
        <v>4079112</v>
      </c>
      <c r="G137" s="144">
        <f>G138+G139+G140+G141+G142+G143+G144+G145+G146</f>
        <v>1103000</v>
      </c>
      <c r="H137" s="144">
        <f t="shared" si="22"/>
        <v>450534</v>
      </c>
      <c r="I137" s="144">
        <f>I138+I139+I140+I141+I142+I143+I144+I145+I146</f>
        <v>381534</v>
      </c>
      <c r="J137" s="144">
        <f>J138+J139+J140+J141+J142+J143+J144+J145+J146</f>
        <v>1200</v>
      </c>
      <c r="K137" s="144">
        <f>K138+K139+K140+K141+K142+K143+K144+K145+K146</f>
        <v>0</v>
      </c>
      <c r="L137" s="144">
        <f>L138+L139+L140+L141+L142+L143+L144+L145+L146</f>
        <v>69000</v>
      </c>
      <c r="M137" s="144">
        <f>M138+M139+M140+M141+M142+M143+M144+M145+M146</f>
        <v>0</v>
      </c>
      <c r="N137" s="143">
        <f t="shared" si="18"/>
        <v>79273434</v>
      </c>
      <c r="O137" s="151"/>
      <c r="P137" s="151"/>
    </row>
    <row r="138" spans="1:16" s="22" customFormat="1" ht="12.75">
      <c r="A138" s="45" t="s">
        <v>37</v>
      </c>
      <c r="B138" s="27" t="s">
        <v>38</v>
      </c>
      <c r="C138" s="144">
        <f t="shared" si="21"/>
        <v>69367000</v>
      </c>
      <c r="D138" s="144">
        <f>68781000+17200+77800+98000</f>
        <v>68974000</v>
      </c>
      <c r="E138" s="144">
        <v>40966100</v>
      </c>
      <c r="F138" s="144">
        <v>3743042</v>
      </c>
      <c r="G138" s="144">
        <f>98000+295000</f>
        <v>393000</v>
      </c>
      <c r="H138" s="144">
        <f t="shared" si="22"/>
        <v>255534</v>
      </c>
      <c r="I138" s="144">
        <v>216534</v>
      </c>
      <c r="J138" s="144">
        <v>1200</v>
      </c>
      <c r="K138" s="144"/>
      <c r="L138" s="144">
        <v>39000</v>
      </c>
      <c r="M138" s="144"/>
      <c r="N138" s="143">
        <f t="shared" si="18"/>
        <v>69622534</v>
      </c>
      <c r="O138" s="145"/>
      <c r="P138" s="145"/>
    </row>
    <row r="139" spans="1:16" s="22" customFormat="1" ht="12.75">
      <c r="A139" s="45" t="s">
        <v>88</v>
      </c>
      <c r="B139" s="26" t="s">
        <v>89</v>
      </c>
      <c r="C139" s="144">
        <f t="shared" si="21"/>
        <v>2608900</v>
      </c>
      <c r="D139" s="144">
        <f>2585900+23000</f>
        <v>2608900</v>
      </c>
      <c r="E139" s="144">
        <v>1535700</v>
      </c>
      <c r="F139" s="144">
        <v>285750</v>
      </c>
      <c r="G139" s="144"/>
      <c r="H139" s="144">
        <f t="shared" si="22"/>
        <v>195000</v>
      </c>
      <c r="I139" s="144">
        <v>165000</v>
      </c>
      <c r="J139" s="144"/>
      <c r="K139" s="144"/>
      <c r="L139" s="144">
        <v>30000</v>
      </c>
      <c r="M139" s="144"/>
      <c r="N139" s="143">
        <f t="shared" si="18"/>
        <v>2803900</v>
      </c>
      <c r="O139" s="145"/>
      <c r="P139" s="145"/>
    </row>
    <row r="140" spans="1:16" s="22" customFormat="1" ht="51">
      <c r="A140" s="45" t="s">
        <v>39</v>
      </c>
      <c r="B140" s="27" t="s">
        <v>298</v>
      </c>
      <c r="C140" s="144">
        <f t="shared" si="21"/>
        <v>1186300</v>
      </c>
      <c r="D140" s="144">
        <v>1186300</v>
      </c>
      <c r="E140" s="144">
        <v>823100</v>
      </c>
      <c r="F140" s="144">
        <v>31200</v>
      </c>
      <c r="G140" s="144"/>
      <c r="H140" s="144">
        <f t="shared" si="22"/>
        <v>0</v>
      </c>
      <c r="I140" s="144"/>
      <c r="J140" s="144"/>
      <c r="K140" s="144"/>
      <c r="L140" s="144"/>
      <c r="M140" s="144"/>
      <c r="N140" s="143">
        <f t="shared" si="18"/>
        <v>1186300</v>
      </c>
      <c r="O140" s="145"/>
      <c r="P140" s="145"/>
    </row>
    <row r="141" spans="1:16" s="22" customFormat="1" ht="25.5">
      <c r="A141" s="45" t="s">
        <v>41</v>
      </c>
      <c r="B141" s="20" t="s">
        <v>42</v>
      </c>
      <c r="C141" s="144">
        <f t="shared" si="21"/>
        <v>816400</v>
      </c>
      <c r="D141" s="144">
        <v>816400</v>
      </c>
      <c r="E141" s="144">
        <v>560700</v>
      </c>
      <c r="F141" s="144">
        <v>19120</v>
      </c>
      <c r="G141" s="144"/>
      <c r="H141" s="144">
        <f t="shared" si="22"/>
        <v>0</v>
      </c>
      <c r="I141" s="144"/>
      <c r="J141" s="144"/>
      <c r="K141" s="144"/>
      <c r="L141" s="144"/>
      <c r="M141" s="144"/>
      <c r="N141" s="143">
        <f t="shared" si="18"/>
        <v>816400</v>
      </c>
      <c r="O141" s="145"/>
      <c r="P141" s="145"/>
    </row>
    <row r="142" spans="1:16" s="22" customFormat="1" ht="25.5">
      <c r="A142" s="45" t="s">
        <v>43</v>
      </c>
      <c r="B142" s="27" t="s">
        <v>170</v>
      </c>
      <c r="C142" s="144">
        <f t="shared" si="21"/>
        <v>88900</v>
      </c>
      <c r="D142" s="144">
        <v>88900</v>
      </c>
      <c r="E142" s="144">
        <v>58600</v>
      </c>
      <c r="F142" s="144"/>
      <c r="G142" s="144"/>
      <c r="H142" s="144">
        <f t="shared" si="22"/>
        <v>0</v>
      </c>
      <c r="I142" s="144"/>
      <c r="J142" s="144"/>
      <c r="K142" s="144"/>
      <c r="L142" s="144"/>
      <c r="M142" s="144"/>
      <c r="N142" s="143">
        <f t="shared" si="18"/>
        <v>88900</v>
      </c>
      <c r="O142" s="145"/>
      <c r="P142" s="145"/>
    </row>
    <row r="143" spans="1:16" s="22" customFormat="1" ht="12.75">
      <c r="A143" s="45" t="s">
        <v>44</v>
      </c>
      <c r="B143" s="27" t="s">
        <v>299</v>
      </c>
      <c r="C143" s="144">
        <f t="shared" si="21"/>
        <v>4098500</v>
      </c>
      <c r="D143" s="144">
        <f>3659500+300000-250000-311000</f>
        <v>3398500</v>
      </c>
      <c r="E143" s="144"/>
      <c r="F143" s="144"/>
      <c r="G143" s="144">
        <v>700000</v>
      </c>
      <c r="H143" s="144">
        <f t="shared" si="22"/>
        <v>0</v>
      </c>
      <c r="I143" s="144"/>
      <c r="J143" s="144"/>
      <c r="K143" s="144"/>
      <c r="L143" s="144"/>
      <c r="M143" s="144"/>
      <c r="N143" s="143">
        <f t="shared" si="18"/>
        <v>4098500</v>
      </c>
      <c r="O143" s="145"/>
      <c r="P143" s="145"/>
    </row>
    <row r="144" spans="1:16" s="22" customFormat="1" ht="38.25">
      <c r="A144" s="45" t="s">
        <v>46</v>
      </c>
      <c r="B144" s="27" t="s">
        <v>300</v>
      </c>
      <c r="C144" s="144">
        <f t="shared" si="21"/>
        <v>14200</v>
      </c>
      <c r="D144" s="144">
        <v>14200</v>
      </c>
      <c r="E144" s="144">
        <v>10400</v>
      </c>
      <c r="F144" s="144"/>
      <c r="G144" s="144"/>
      <c r="H144" s="144">
        <f t="shared" si="22"/>
        <v>0</v>
      </c>
      <c r="I144" s="144"/>
      <c r="J144" s="144"/>
      <c r="K144" s="144"/>
      <c r="L144" s="144"/>
      <c r="M144" s="144"/>
      <c r="N144" s="143">
        <f t="shared" si="18"/>
        <v>14200</v>
      </c>
      <c r="O144" s="145"/>
      <c r="P144" s="145"/>
    </row>
    <row r="145" spans="1:16" s="22" customFormat="1" ht="12.75">
      <c r="A145" s="45" t="s">
        <v>47</v>
      </c>
      <c r="B145" s="27" t="s">
        <v>48</v>
      </c>
      <c r="C145" s="144">
        <f t="shared" si="21"/>
        <v>256300</v>
      </c>
      <c r="D145" s="144">
        <v>246300</v>
      </c>
      <c r="E145" s="144">
        <v>118400</v>
      </c>
      <c r="F145" s="144"/>
      <c r="G145" s="144">
        <v>10000</v>
      </c>
      <c r="H145" s="144">
        <f t="shared" si="22"/>
        <v>0</v>
      </c>
      <c r="I145" s="144"/>
      <c r="J145" s="144"/>
      <c r="K145" s="144"/>
      <c r="L145" s="144"/>
      <c r="M145" s="144"/>
      <c r="N145" s="143">
        <f t="shared" si="18"/>
        <v>256300</v>
      </c>
      <c r="O145" s="145"/>
      <c r="P145" s="145"/>
    </row>
    <row r="146" spans="1:16" s="22" customFormat="1" ht="38.25">
      <c r="A146" s="45" t="s">
        <v>243</v>
      </c>
      <c r="B146" s="104" t="s">
        <v>439</v>
      </c>
      <c r="C146" s="144">
        <f t="shared" si="21"/>
        <v>386400</v>
      </c>
      <c r="D146" s="144">
        <v>386400</v>
      </c>
      <c r="E146" s="144"/>
      <c r="F146" s="144"/>
      <c r="G146" s="144"/>
      <c r="H146" s="144">
        <f t="shared" si="22"/>
        <v>0</v>
      </c>
      <c r="I146" s="144"/>
      <c r="J146" s="144"/>
      <c r="K146" s="144"/>
      <c r="L146" s="144"/>
      <c r="M146" s="144"/>
      <c r="N146" s="143">
        <f t="shared" si="18"/>
        <v>386400</v>
      </c>
      <c r="O146" s="145"/>
      <c r="P146" s="145"/>
    </row>
    <row r="147" spans="1:16" s="22" customFormat="1" ht="12.75">
      <c r="A147" s="45" t="s">
        <v>261</v>
      </c>
      <c r="B147" s="26" t="s">
        <v>262</v>
      </c>
      <c r="C147" s="144"/>
      <c r="D147" s="144"/>
      <c r="E147" s="144"/>
      <c r="F147" s="144"/>
      <c r="G147" s="144"/>
      <c r="H147" s="144">
        <f t="shared" si="22"/>
        <v>1580000</v>
      </c>
      <c r="I147" s="144"/>
      <c r="J147" s="144"/>
      <c r="K147" s="144"/>
      <c r="L147" s="144">
        <v>1580000</v>
      </c>
      <c r="M147" s="144">
        <v>1580000</v>
      </c>
      <c r="N147" s="143">
        <f>C147+H147</f>
        <v>1580000</v>
      </c>
      <c r="O147" s="145"/>
      <c r="P147" s="145"/>
    </row>
    <row r="148" spans="1:16" s="22" customFormat="1" ht="25.5">
      <c r="A148" s="45" t="s">
        <v>71</v>
      </c>
      <c r="B148" s="105" t="s">
        <v>229</v>
      </c>
      <c r="C148" s="144"/>
      <c r="D148" s="144"/>
      <c r="E148" s="144"/>
      <c r="F148" s="144"/>
      <c r="G148" s="144"/>
      <c r="H148" s="144">
        <f t="shared" si="22"/>
        <v>1712400</v>
      </c>
      <c r="I148" s="144">
        <f>230000+45700+980700+118500-53000</f>
        <v>1321900</v>
      </c>
      <c r="J148" s="144"/>
      <c r="K148" s="144"/>
      <c r="L148" s="144">
        <f>306000+31500+53000</f>
        <v>390500</v>
      </c>
      <c r="M148" s="144"/>
      <c r="N148" s="143">
        <f t="shared" si="18"/>
        <v>1712400</v>
      </c>
      <c r="O148" s="145"/>
      <c r="P148" s="145"/>
    </row>
    <row r="149" spans="1:16" s="22" customFormat="1" ht="12.75">
      <c r="A149" s="25"/>
      <c r="B149" s="104" t="s">
        <v>236</v>
      </c>
      <c r="C149" s="144"/>
      <c r="D149" s="144"/>
      <c r="E149" s="144"/>
      <c r="F149" s="144"/>
      <c r="G149" s="144"/>
      <c r="H149" s="144"/>
      <c r="I149" s="144"/>
      <c r="J149" s="144"/>
      <c r="K149" s="144"/>
      <c r="L149" s="144"/>
      <c r="M149" s="144"/>
      <c r="N149" s="143"/>
      <c r="O149" s="145"/>
      <c r="P149" s="145"/>
    </row>
    <row r="150" spans="1:16" s="22" customFormat="1" ht="89.25">
      <c r="A150" s="25" t="s">
        <v>71</v>
      </c>
      <c r="B150" s="104" t="s">
        <v>407</v>
      </c>
      <c r="C150" s="144"/>
      <c r="D150" s="144"/>
      <c r="E150" s="144"/>
      <c r="F150" s="144"/>
      <c r="G150" s="144"/>
      <c r="H150" s="144">
        <f t="shared" si="22"/>
        <v>351700</v>
      </c>
      <c r="I150" s="144">
        <v>45700</v>
      </c>
      <c r="J150" s="144"/>
      <c r="K150" s="144"/>
      <c r="L150" s="144">
        <v>306000</v>
      </c>
      <c r="M150" s="144"/>
      <c r="N150" s="143">
        <f t="shared" si="18"/>
        <v>351700</v>
      </c>
      <c r="O150" s="145"/>
      <c r="P150" s="145"/>
    </row>
    <row r="151" spans="1:16" s="125" customFormat="1" ht="38.25">
      <c r="A151" s="124" t="s">
        <v>283</v>
      </c>
      <c r="B151" s="126" t="s">
        <v>141</v>
      </c>
      <c r="C151" s="160">
        <f>C152+C153</f>
        <v>5138111</v>
      </c>
      <c r="D151" s="160">
        <f>D152+D153</f>
        <v>5118111</v>
      </c>
      <c r="E151" s="160">
        <f>E152+E153</f>
        <v>2210522</v>
      </c>
      <c r="F151" s="160">
        <f>F152+F153</f>
        <v>418475</v>
      </c>
      <c r="G151" s="160">
        <f>G152+G153</f>
        <v>20000</v>
      </c>
      <c r="H151" s="160">
        <f>H152+H153+H159</f>
        <v>180850</v>
      </c>
      <c r="I151" s="160">
        <f>I152+I153+I159</f>
        <v>178650</v>
      </c>
      <c r="J151" s="160">
        <f>J152+J153+J159</f>
        <v>38708</v>
      </c>
      <c r="K151" s="160">
        <f>K152+K153+K159</f>
        <v>10600</v>
      </c>
      <c r="L151" s="160">
        <f>L152+L153+L159</f>
        <v>2200</v>
      </c>
      <c r="M151" s="160">
        <f>M152+M153+M161</f>
        <v>0</v>
      </c>
      <c r="N151" s="159">
        <f t="shared" si="18"/>
        <v>5318961</v>
      </c>
      <c r="O151" s="169"/>
      <c r="P151" s="169"/>
    </row>
    <row r="152" spans="1:16" s="22" customFormat="1" ht="12.75">
      <c r="A152" s="45" t="s">
        <v>24</v>
      </c>
      <c r="B152" s="52" t="s">
        <v>25</v>
      </c>
      <c r="C152" s="144">
        <f aca="true" t="shared" si="23" ref="C152:C158">D152+G152</f>
        <v>241501</v>
      </c>
      <c r="D152" s="144">
        <v>241501</v>
      </c>
      <c r="E152" s="144">
        <v>156126</v>
      </c>
      <c r="F152" s="144">
        <v>9652</v>
      </c>
      <c r="G152" s="144"/>
      <c r="H152" s="144">
        <f aca="true" t="shared" si="24" ref="H152:H161">I152+L152</f>
        <v>0</v>
      </c>
      <c r="I152" s="144"/>
      <c r="J152" s="144"/>
      <c r="K152" s="144"/>
      <c r="L152" s="144"/>
      <c r="M152" s="144"/>
      <c r="N152" s="143">
        <f t="shared" si="18"/>
        <v>241501</v>
      </c>
      <c r="O152" s="145"/>
      <c r="P152" s="145"/>
    </row>
    <row r="153" spans="1:16" s="22" customFormat="1" ht="12.75">
      <c r="A153" s="45">
        <v>130000</v>
      </c>
      <c r="B153" s="27" t="s">
        <v>62</v>
      </c>
      <c r="C153" s="144">
        <f t="shared" si="23"/>
        <v>4896610</v>
      </c>
      <c r="D153" s="144">
        <f>D154+D155+D156+D157+D158</f>
        <v>4876610</v>
      </c>
      <c r="E153" s="144">
        <f>E154+E155+E156+E157+E158</f>
        <v>2054396</v>
      </c>
      <c r="F153" s="144">
        <f>F154+F155+F156+F157+F158</f>
        <v>408823</v>
      </c>
      <c r="G153" s="144">
        <f>G154+G155+G156+G157+G158</f>
        <v>20000</v>
      </c>
      <c r="H153" s="144">
        <f t="shared" si="24"/>
        <v>174850</v>
      </c>
      <c r="I153" s="144">
        <f>I154+I155+I156+I157+I158</f>
        <v>172650</v>
      </c>
      <c r="J153" s="144">
        <f>J154+J155+J156+J157+J158</f>
        <v>38708</v>
      </c>
      <c r="K153" s="144">
        <f>K154+K155+K156+K157+K158</f>
        <v>10600</v>
      </c>
      <c r="L153" s="144">
        <f>L154+L155+L156+L157+L158</f>
        <v>2200</v>
      </c>
      <c r="M153" s="144">
        <f>M154+M155+M156+M157+M158</f>
        <v>0</v>
      </c>
      <c r="N153" s="143">
        <f t="shared" si="18"/>
        <v>5071460</v>
      </c>
      <c r="O153" s="152"/>
      <c r="P153" s="145"/>
    </row>
    <row r="154" spans="1:16" s="22" customFormat="1" ht="25.5">
      <c r="A154" s="45">
        <v>130102</v>
      </c>
      <c r="B154" s="105" t="s">
        <v>63</v>
      </c>
      <c r="C154" s="144">
        <f t="shared" si="23"/>
        <v>200000</v>
      </c>
      <c r="D154" s="144">
        <v>200000</v>
      </c>
      <c r="E154" s="144"/>
      <c r="F154" s="144"/>
      <c r="G154" s="144"/>
      <c r="H154" s="144">
        <f t="shared" si="24"/>
        <v>0</v>
      </c>
      <c r="I154" s="144"/>
      <c r="J154" s="144"/>
      <c r="K154" s="144"/>
      <c r="L154" s="144"/>
      <c r="M154" s="144"/>
      <c r="N154" s="143">
        <f t="shared" si="18"/>
        <v>200000</v>
      </c>
      <c r="O154" s="145"/>
      <c r="P154" s="145"/>
    </row>
    <row r="155" spans="1:16" s="22" customFormat="1" ht="38.25">
      <c r="A155" s="45">
        <v>130107</v>
      </c>
      <c r="B155" s="105" t="s">
        <v>64</v>
      </c>
      <c r="C155" s="144">
        <f t="shared" si="23"/>
        <v>2559365</v>
      </c>
      <c r="D155" s="144">
        <f>2559365-20000</f>
        <v>2539365</v>
      </c>
      <c r="E155" s="144">
        <v>1590232</v>
      </c>
      <c r="F155" s="144">
        <v>213700</v>
      </c>
      <c r="G155" s="144">
        <v>20000</v>
      </c>
      <c r="H155" s="144">
        <f t="shared" si="24"/>
        <v>120000</v>
      </c>
      <c r="I155" s="144">
        <v>120000</v>
      </c>
      <c r="J155" s="144">
        <v>27000</v>
      </c>
      <c r="K155" s="144"/>
      <c r="L155" s="144"/>
      <c r="M155" s="144"/>
      <c r="N155" s="143">
        <f t="shared" si="18"/>
        <v>2679365</v>
      </c>
      <c r="O155" s="145"/>
      <c r="P155" s="145"/>
    </row>
    <row r="156" spans="1:16" s="22" customFormat="1" ht="25.5">
      <c r="A156" s="45">
        <v>130110</v>
      </c>
      <c r="B156" s="105" t="s">
        <v>65</v>
      </c>
      <c r="C156" s="144">
        <f t="shared" si="23"/>
        <v>1937878</v>
      </c>
      <c r="D156" s="144">
        <f>937878+1000000</f>
        <v>1937878</v>
      </c>
      <c r="E156" s="144">
        <v>337706</v>
      </c>
      <c r="F156" s="144">
        <v>180820</v>
      </c>
      <c r="G156" s="144"/>
      <c r="H156" s="144">
        <f t="shared" si="24"/>
        <v>33000</v>
      </c>
      <c r="I156" s="144">
        <v>33000</v>
      </c>
      <c r="J156" s="144">
        <v>3000</v>
      </c>
      <c r="K156" s="144">
        <v>8500</v>
      </c>
      <c r="L156" s="144"/>
      <c r="M156" s="144"/>
      <c r="N156" s="143">
        <f t="shared" si="18"/>
        <v>1970878</v>
      </c>
      <c r="O156" s="145"/>
      <c r="P156" s="145"/>
    </row>
    <row r="157" spans="1:16" s="22" customFormat="1" ht="12.75">
      <c r="A157" s="45" t="s">
        <v>265</v>
      </c>
      <c r="B157" s="105" t="s">
        <v>74</v>
      </c>
      <c r="C157" s="144">
        <f t="shared" si="23"/>
        <v>125475</v>
      </c>
      <c r="D157" s="144">
        <v>125475</v>
      </c>
      <c r="E157" s="144">
        <v>80713</v>
      </c>
      <c r="F157" s="144">
        <v>14303</v>
      </c>
      <c r="G157" s="144"/>
      <c r="H157" s="144">
        <f t="shared" si="24"/>
        <v>21850</v>
      </c>
      <c r="I157" s="144">
        <f>21850-2200</f>
        <v>19650</v>
      </c>
      <c r="J157" s="144">
        <v>8708</v>
      </c>
      <c r="K157" s="144">
        <v>2100</v>
      </c>
      <c r="L157" s="144">
        <v>2200</v>
      </c>
      <c r="M157" s="144"/>
      <c r="N157" s="143">
        <f t="shared" si="18"/>
        <v>147325</v>
      </c>
      <c r="O157" s="145"/>
      <c r="P157" s="145"/>
    </row>
    <row r="158" spans="1:16" s="22" customFormat="1" ht="12.75">
      <c r="A158" s="45">
        <v>130113</v>
      </c>
      <c r="B158" s="27" t="s">
        <v>48</v>
      </c>
      <c r="C158" s="144">
        <f t="shared" si="23"/>
        <v>73892</v>
      </c>
      <c r="D158" s="144">
        <v>73892</v>
      </c>
      <c r="E158" s="144">
        <v>45745</v>
      </c>
      <c r="F158" s="144"/>
      <c r="G158" s="144"/>
      <c r="H158" s="144">
        <f t="shared" si="24"/>
        <v>0</v>
      </c>
      <c r="I158" s="144"/>
      <c r="J158" s="144"/>
      <c r="K158" s="144"/>
      <c r="L158" s="144"/>
      <c r="M158" s="144"/>
      <c r="N158" s="143">
        <f t="shared" si="18"/>
        <v>73892</v>
      </c>
      <c r="O158" s="145"/>
      <c r="P158" s="145"/>
    </row>
    <row r="159" spans="1:16" s="22" customFormat="1" ht="38.25">
      <c r="A159" s="25" t="s">
        <v>71</v>
      </c>
      <c r="B159" s="105" t="s">
        <v>423</v>
      </c>
      <c r="C159" s="144"/>
      <c r="D159" s="144"/>
      <c r="E159" s="144"/>
      <c r="F159" s="144"/>
      <c r="G159" s="144"/>
      <c r="H159" s="144">
        <f t="shared" si="24"/>
        <v>6000</v>
      </c>
      <c r="I159" s="144">
        <v>6000</v>
      </c>
      <c r="J159" s="144"/>
      <c r="K159" s="144"/>
      <c r="L159" s="144"/>
      <c r="M159" s="144"/>
      <c r="N159" s="143">
        <f t="shared" si="18"/>
        <v>6000</v>
      </c>
      <c r="O159" s="145"/>
      <c r="P159" s="145"/>
    </row>
    <row r="160" spans="1:16" s="22" customFormat="1" ht="12.75">
      <c r="A160" s="25"/>
      <c r="B160" s="104" t="s">
        <v>236</v>
      </c>
      <c r="C160" s="144"/>
      <c r="D160" s="144"/>
      <c r="E160" s="144"/>
      <c r="F160" s="144"/>
      <c r="G160" s="144"/>
      <c r="H160" s="144"/>
      <c r="I160" s="144"/>
      <c r="J160" s="144"/>
      <c r="K160" s="144"/>
      <c r="L160" s="144"/>
      <c r="M160" s="144"/>
      <c r="N160" s="143"/>
      <c r="O160" s="145"/>
      <c r="P160" s="145"/>
    </row>
    <row r="161" spans="1:16" s="22" customFormat="1" ht="89.25">
      <c r="A161" s="25"/>
      <c r="B161" s="104" t="s">
        <v>407</v>
      </c>
      <c r="C161" s="144"/>
      <c r="D161" s="144"/>
      <c r="E161" s="144"/>
      <c r="F161" s="144"/>
      <c r="G161" s="144"/>
      <c r="H161" s="144">
        <f t="shared" si="24"/>
        <v>6000</v>
      </c>
      <c r="I161" s="144">
        <v>6000</v>
      </c>
      <c r="J161" s="144"/>
      <c r="K161" s="144"/>
      <c r="L161" s="144"/>
      <c r="M161" s="144"/>
      <c r="N161" s="143">
        <f t="shared" si="18"/>
        <v>6000</v>
      </c>
      <c r="O161" s="145"/>
      <c r="P161" s="145"/>
    </row>
    <row r="162" spans="1:16" s="125" customFormat="1" ht="25.5">
      <c r="A162" s="124" t="s">
        <v>284</v>
      </c>
      <c r="B162" s="126" t="s">
        <v>142</v>
      </c>
      <c r="C162" s="160">
        <f>C163+C164+C165+C166+C167+C168</f>
        <v>605345</v>
      </c>
      <c r="D162" s="160">
        <f>D163+D164+D165+D166+D167+D168</f>
        <v>585129</v>
      </c>
      <c r="E162" s="160">
        <f>E163+E164+E165+E166+E167</f>
        <v>230020</v>
      </c>
      <c r="F162" s="160">
        <f>F163+F164+F165+F166+F167</f>
        <v>0</v>
      </c>
      <c r="G162" s="160">
        <f>G163+G164+G165+G166+G167</f>
        <v>20216</v>
      </c>
      <c r="H162" s="160">
        <f aca="true" t="shared" si="25" ref="H162:M162">H163+H164+H165+H166+H167+H169</f>
        <v>5500</v>
      </c>
      <c r="I162" s="160">
        <f t="shared" si="25"/>
        <v>5500</v>
      </c>
      <c r="J162" s="160">
        <f t="shared" si="25"/>
        <v>0</v>
      </c>
      <c r="K162" s="160">
        <f t="shared" si="25"/>
        <v>0</v>
      </c>
      <c r="L162" s="160">
        <f t="shared" si="25"/>
        <v>0</v>
      </c>
      <c r="M162" s="160">
        <f t="shared" si="25"/>
        <v>0</v>
      </c>
      <c r="N162" s="159">
        <f t="shared" si="18"/>
        <v>610845</v>
      </c>
      <c r="O162" s="169"/>
      <c r="P162" s="169"/>
    </row>
    <row r="163" spans="1:16" s="22" customFormat="1" ht="12.75">
      <c r="A163" s="45" t="s">
        <v>24</v>
      </c>
      <c r="B163" s="52" t="s">
        <v>25</v>
      </c>
      <c r="C163" s="144">
        <f>D163+G163</f>
        <v>103645</v>
      </c>
      <c r="D163" s="144">
        <v>103645</v>
      </c>
      <c r="E163" s="144">
        <v>70120</v>
      </c>
      <c r="F163" s="144"/>
      <c r="G163" s="144"/>
      <c r="H163" s="144">
        <f aca="true" t="shared" si="26" ref="H163:H171">I163+L163</f>
        <v>0</v>
      </c>
      <c r="I163" s="144"/>
      <c r="J163" s="144"/>
      <c r="K163" s="144"/>
      <c r="L163" s="144"/>
      <c r="M163" s="144"/>
      <c r="N163" s="143">
        <f t="shared" si="18"/>
        <v>103645</v>
      </c>
      <c r="O163" s="145"/>
      <c r="P163" s="145"/>
    </row>
    <row r="164" spans="1:16" s="22" customFormat="1" ht="25.5">
      <c r="A164" s="45" t="s">
        <v>290</v>
      </c>
      <c r="B164" s="105" t="s">
        <v>385</v>
      </c>
      <c r="C164" s="144">
        <f>D164+G164</f>
        <v>269800</v>
      </c>
      <c r="D164" s="144">
        <f>269800-20216</f>
        <v>249584</v>
      </c>
      <c r="E164" s="144">
        <v>159900</v>
      </c>
      <c r="F164" s="144"/>
      <c r="G164" s="144">
        <v>20216</v>
      </c>
      <c r="H164" s="144">
        <f t="shared" si="26"/>
        <v>0</v>
      </c>
      <c r="I164" s="144"/>
      <c r="J164" s="144"/>
      <c r="K164" s="144"/>
      <c r="L164" s="144"/>
      <c r="M164" s="144"/>
      <c r="N164" s="143">
        <f t="shared" si="18"/>
        <v>269800</v>
      </c>
      <c r="O164" s="145"/>
      <c r="P164" s="145"/>
    </row>
    <row r="165" spans="1:16" s="22" customFormat="1" ht="25.5">
      <c r="A165" s="45" t="s">
        <v>291</v>
      </c>
      <c r="B165" s="105" t="s">
        <v>404</v>
      </c>
      <c r="C165" s="144">
        <f>D165+G165</f>
        <v>26900</v>
      </c>
      <c r="D165" s="144">
        <v>26900</v>
      </c>
      <c r="E165" s="144"/>
      <c r="F165" s="144"/>
      <c r="G165" s="144"/>
      <c r="H165" s="144">
        <f t="shared" si="26"/>
        <v>0</v>
      </c>
      <c r="I165" s="144"/>
      <c r="J165" s="144"/>
      <c r="K165" s="144"/>
      <c r="L165" s="144"/>
      <c r="M165" s="144"/>
      <c r="N165" s="143">
        <f t="shared" si="18"/>
        <v>26900</v>
      </c>
      <c r="O165" s="145"/>
      <c r="P165" s="145"/>
    </row>
    <row r="166" spans="1:16" s="22" customFormat="1" ht="38.25">
      <c r="A166" s="45" t="s">
        <v>51</v>
      </c>
      <c r="B166" s="105" t="s">
        <v>386</v>
      </c>
      <c r="C166" s="144">
        <f>D166+G166</f>
        <v>205000</v>
      </c>
      <c r="D166" s="144">
        <v>205000</v>
      </c>
      <c r="E166" s="144"/>
      <c r="F166" s="144"/>
      <c r="G166" s="144"/>
      <c r="H166" s="144">
        <f t="shared" si="26"/>
        <v>0</v>
      </c>
      <c r="I166" s="144"/>
      <c r="J166" s="144"/>
      <c r="K166" s="144"/>
      <c r="L166" s="144"/>
      <c r="M166" s="144"/>
      <c r="N166" s="143">
        <f t="shared" si="18"/>
        <v>205000</v>
      </c>
      <c r="O166" s="145"/>
      <c r="P166" s="145"/>
    </row>
    <row r="167" spans="1:16" s="22" customFormat="1" ht="38.25" hidden="1">
      <c r="A167" s="45" t="s">
        <v>292</v>
      </c>
      <c r="B167" s="27" t="s">
        <v>293</v>
      </c>
      <c r="C167" s="144"/>
      <c r="D167" s="144"/>
      <c r="E167" s="144"/>
      <c r="F167" s="144"/>
      <c r="G167" s="144"/>
      <c r="H167" s="144">
        <f t="shared" si="26"/>
        <v>0</v>
      </c>
      <c r="I167" s="144"/>
      <c r="J167" s="144"/>
      <c r="K167" s="144"/>
      <c r="L167" s="144"/>
      <c r="M167" s="144"/>
      <c r="N167" s="143">
        <f t="shared" si="18"/>
        <v>0</v>
      </c>
      <c r="O167" s="145"/>
      <c r="P167" s="145"/>
    </row>
    <row r="168" spans="1:16" s="22" customFormat="1" ht="63.75" hidden="1">
      <c r="A168" s="45" t="s">
        <v>376</v>
      </c>
      <c r="B168" s="27" t="s">
        <v>377</v>
      </c>
      <c r="C168" s="144">
        <f>D168+G168</f>
        <v>0</v>
      </c>
      <c r="D168" s="144">
        <f>21500-21500</f>
        <v>0</v>
      </c>
      <c r="E168" s="144"/>
      <c r="F168" s="144"/>
      <c r="G168" s="144"/>
      <c r="H168" s="144">
        <f t="shared" si="26"/>
        <v>0</v>
      </c>
      <c r="I168" s="144"/>
      <c r="J168" s="144"/>
      <c r="K168" s="144"/>
      <c r="L168" s="144"/>
      <c r="M168" s="144"/>
      <c r="N168" s="143">
        <f t="shared" si="18"/>
        <v>0</v>
      </c>
      <c r="O168" s="145"/>
      <c r="P168" s="145"/>
    </row>
    <row r="169" spans="1:16" s="22" customFormat="1" ht="25.5">
      <c r="A169" s="25" t="s">
        <v>71</v>
      </c>
      <c r="B169" s="105" t="s">
        <v>229</v>
      </c>
      <c r="C169" s="144"/>
      <c r="D169" s="144"/>
      <c r="E169" s="144"/>
      <c r="F169" s="144"/>
      <c r="G169" s="144"/>
      <c r="H169" s="144">
        <f t="shared" si="26"/>
        <v>5500</v>
      </c>
      <c r="I169" s="144">
        <v>5500</v>
      </c>
      <c r="J169" s="144">
        <f>J171</f>
        <v>0</v>
      </c>
      <c r="K169" s="144">
        <f>K171</f>
        <v>0</v>
      </c>
      <c r="L169" s="144">
        <f>L171</f>
        <v>0</v>
      </c>
      <c r="M169" s="144">
        <f>M171</f>
        <v>0</v>
      </c>
      <c r="N169" s="143">
        <f>C169+H169</f>
        <v>5500</v>
      </c>
      <c r="O169" s="145"/>
      <c r="P169" s="145"/>
    </row>
    <row r="170" spans="1:16" s="22" customFormat="1" ht="12.75">
      <c r="A170" s="25"/>
      <c r="B170" s="104" t="s">
        <v>236</v>
      </c>
      <c r="C170" s="144"/>
      <c r="D170" s="144"/>
      <c r="E170" s="144"/>
      <c r="F170" s="144"/>
      <c r="G170" s="144"/>
      <c r="H170" s="144"/>
      <c r="I170" s="144"/>
      <c r="J170" s="144"/>
      <c r="K170" s="144"/>
      <c r="L170" s="144"/>
      <c r="M170" s="144"/>
      <c r="N170" s="143"/>
      <c r="O170" s="145"/>
      <c r="P170" s="145"/>
    </row>
    <row r="171" spans="1:16" s="22" customFormat="1" ht="89.25">
      <c r="A171" s="25"/>
      <c r="B171" s="104" t="s">
        <v>407</v>
      </c>
      <c r="C171" s="144"/>
      <c r="D171" s="144"/>
      <c r="E171" s="144"/>
      <c r="F171" s="144"/>
      <c r="G171" s="144"/>
      <c r="H171" s="144">
        <f t="shared" si="26"/>
        <v>5500</v>
      </c>
      <c r="I171" s="144">
        <v>5500</v>
      </c>
      <c r="J171" s="144"/>
      <c r="K171" s="144"/>
      <c r="L171" s="144"/>
      <c r="M171" s="144"/>
      <c r="N171" s="143">
        <f>C171+H171</f>
        <v>5500</v>
      </c>
      <c r="O171" s="145"/>
      <c r="P171" s="145"/>
    </row>
    <row r="172" spans="1:16" s="125" customFormat="1" ht="25.5">
      <c r="A172" s="124" t="s">
        <v>257</v>
      </c>
      <c r="B172" s="126" t="s">
        <v>143</v>
      </c>
      <c r="C172" s="160">
        <f aca="true" t="shared" si="27" ref="C172:M172">C173</f>
        <v>311937</v>
      </c>
      <c r="D172" s="160">
        <f t="shared" si="27"/>
        <v>311937</v>
      </c>
      <c r="E172" s="160">
        <f t="shared" si="27"/>
        <v>192634</v>
      </c>
      <c r="F172" s="160">
        <f t="shared" si="27"/>
        <v>0</v>
      </c>
      <c r="G172" s="160">
        <f t="shared" si="27"/>
        <v>0</v>
      </c>
      <c r="H172" s="160">
        <f t="shared" si="27"/>
        <v>0</v>
      </c>
      <c r="I172" s="160">
        <f t="shared" si="27"/>
        <v>0</v>
      </c>
      <c r="J172" s="160">
        <f t="shared" si="27"/>
        <v>0</v>
      </c>
      <c r="K172" s="160">
        <f t="shared" si="27"/>
        <v>0</v>
      </c>
      <c r="L172" s="160">
        <f t="shared" si="27"/>
        <v>0</v>
      </c>
      <c r="M172" s="160">
        <f t="shared" si="27"/>
        <v>0</v>
      </c>
      <c r="N172" s="159">
        <f t="shared" si="18"/>
        <v>311937</v>
      </c>
      <c r="O172" s="169"/>
      <c r="P172" s="169"/>
    </row>
    <row r="173" spans="1:16" s="22" customFormat="1" ht="12.75">
      <c r="A173" s="45" t="s">
        <v>24</v>
      </c>
      <c r="B173" s="52" t="s">
        <v>25</v>
      </c>
      <c r="C173" s="144">
        <f>D173+G173</f>
        <v>311937</v>
      </c>
      <c r="D173" s="144">
        <v>311937</v>
      </c>
      <c r="E173" s="144">
        <v>192634</v>
      </c>
      <c r="F173" s="144"/>
      <c r="G173" s="144"/>
      <c r="H173" s="144">
        <f>I173+L173</f>
        <v>0</v>
      </c>
      <c r="I173" s="144"/>
      <c r="J173" s="144"/>
      <c r="K173" s="144"/>
      <c r="L173" s="144"/>
      <c r="M173" s="144"/>
      <c r="N173" s="143">
        <f t="shared" si="18"/>
        <v>311937</v>
      </c>
      <c r="O173" s="145"/>
      <c r="P173" s="145"/>
    </row>
    <row r="174" spans="1:16" s="125" customFormat="1" ht="25.5">
      <c r="A174" s="124" t="s">
        <v>258</v>
      </c>
      <c r="B174" s="126" t="s">
        <v>144</v>
      </c>
      <c r="C174" s="160">
        <f aca="true" t="shared" si="28" ref="C174:M174">C175</f>
        <v>311182</v>
      </c>
      <c r="D174" s="160">
        <f t="shared" si="28"/>
        <v>311182</v>
      </c>
      <c r="E174" s="160">
        <f t="shared" si="28"/>
        <v>195212</v>
      </c>
      <c r="F174" s="160">
        <f t="shared" si="28"/>
        <v>0</v>
      </c>
      <c r="G174" s="160">
        <f t="shared" si="28"/>
        <v>0</v>
      </c>
      <c r="H174" s="160">
        <f t="shared" si="28"/>
        <v>0</v>
      </c>
      <c r="I174" s="160">
        <f t="shared" si="28"/>
        <v>0</v>
      </c>
      <c r="J174" s="160">
        <f t="shared" si="28"/>
        <v>0</v>
      </c>
      <c r="K174" s="160">
        <f t="shared" si="28"/>
        <v>0</v>
      </c>
      <c r="L174" s="160">
        <f t="shared" si="28"/>
        <v>0</v>
      </c>
      <c r="M174" s="160">
        <f t="shared" si="28"/>
        <v>0</v>
      </c>
      <c r="N174" s="159">
        <f t="shared" si="18"/>
        <v>311182</v>
      </c>
      <c r="O174" s="169"/>
      <c r="P174" s="169"/>
    </row>
    <row r="175" spans="1:16" s="22" customFormat="1" ht="12.75">
      <c r="A175" s="45" t="s">
        <v>24</v>
      </c>
      <c r="B175" s="52" t="s">
        <v>25</v>
      </c>
      <c r="C175" s="144">
        <f>D175+G175</f>
        <v>311182</v>
      </c>
      <c r="D175" s="144">
        <f>311182</f>
        <v>311182</v>
      </c>
      <c r="E175" s="144">
        <v>195212</v>
      </c>
      <c r="F175" s="144"/>
      <c r="G175" s="144"/>
      <c r="H175" s="144">
        <f>I175+L175</f>
        <v>0</v>
      </c>
      <c r="I175" s="144"/>
      <c r="J175" s="144"/>
      <c r="K175" s="144"/>
      <c r="L175" s="144"/>
      <c r="M175" s="144"/>
      <c r="N175" s="143">
        <f t="shared" si="18"/>
        <v>311182</v>
      </c>
      <c r="O175" s="145"/>
      <c r="P175" s="145"/>
    </row>
    <row r="176" spans="1:16" s="125" customFormat="1" ht="25.5">
      <c r="A176" s="124" t="s">
        <v>285</v>
      </c>
      <c r="B176" s="126" t="s">
        <v>145</v>
      </c>
      <c r="C176" s="160">
        <f aca="true" t="shared" si="29" ref="C176:M176">C177</f>
        <v>735654</v>
      </c>
      <c r="D176" s="160">
        <f t="shared" si="29"/>
        <v>735654</v>
      </c>
      <c r="E176" s="160">
        <f t="shared" si="29"/>
        <v>217824</v>
      </c>
      <c r="F176" s="160">
        <f t="shared" si="29"/>
        <v>16337</v>
      </c>
      <c r="G176" s="160">
        <f t="shared" si="29"/>
        <v>0</v>
      </c>
      <c r="H176" s="160">
        <f t="shared" si="29"/>
        <v>0</v>
      </c>
      <c r="I176" s="160">
        <f t="shared" si="29"/>
        <v>0</v>
      </c>
      <c r="J176" s="160">
        <f t="shared" si="29"/>
        <v>0</v>
      </c>
      <c r="K176" s="160">
        <f t="shared" si="29"/>
        <v>0</v>
      </c>
      <c r="L176" s="160">
        <f t="shared" si="29"/>
        <v>0</v>
      </c>
      <c r="M176" s="160">
        <f t="shared" si="29"/>
        <v>0</v>
      </c>
      <c r="N176" s="159">
        <f t="shared" si="18"/>
        <v>735654</v>
      </c>
      <c r="O176" s="169"/>
      <c r="P176" s="169"/>
    </row>
    <row r="177" spans="1:16" s="22" customFormat="1" ht="12.75">
      <c r="A177" s="45" t="s">
        <v>24</v>
      </c>
      <c r="B177" s="52" t="s">
        <v>25</v>
      </c>
      <c r="C177" s="144">
        <f>D177+G177</f>
        <v>735654</v>
      </c>
      <c r="D177" s="144">
        <v>735654</v>
      </c>
      <c r="E177" s="144">
        <v>217824</v>
      </c>
      <c r="F177" s="144">
        <v>16337</v>
      </c>
      <c r="G177" s="144"/>
      <c r="H177" s="144">
        <f>I177+L177</f>
        <v>0</v>
      </c>
      <c r="I177" s="144"/>
      <c r="J177" s="144"/>
      <c r="K177" s="144"/>
      <c r="L177" s="144"/>
      <c r="M177" s="144"/>
      <c r="N177" s="143">
        <f t="shared" si="18"/>
        <v>735654</v>
      </c>
      <c r="O177" s="145"/>
      <c r="P177" s="145"/>
    </row>
    <row r="178" spans="1:16" s="125" customFormat="1" ht="38.25">
      <c r="A178" s="124" t="s">
        <v>286</v>
      </c>
      <c r="B178" s="126" t="s">
        <v>146</v>
      </c>
      <c r="C178" s="160">
        <f aca="true" t="shared" si="30" ref="C178:M178">C179+C180</f>
        <v>3440139</v>
      </c>
      <c r="D178" s="160">
        <f t="shared" si="30"/>
        <v>3070589</v>
      </c>
      <c r="E178" s="160">
        <f t="shared" si="30"/>
        <v>2031581</v>
      </c>
      <c r="F178" s="160">
        <f t="shared" si="30"/>
        <v>22527</v>
      </c>
      <c r="G178" s="160">
        <f t="shared" si="30"/>
        <v>369550</v>
      </c>
      <c r="H178" s="160">
        <f t="shared" si="30"/>
        <v>72480</v>
      </c>
      <c r="I178" s="160">
        <f t="shared" si="30"/>
        <v>62587</v>
      </c>
      <c r="J178" s="160">
        <f t="shared" si="30"/>
        <v>9485</v>
      </c>
      <c r="K178" s="160">
        <f t="shared" si="30"/>
        <v>0</v>
      </c>
      <c r="L178" s="160">
        <f t="shared" si="30"/>
        <v>9893</v>
      </c>
      <c r="M178" s="160">
        <f t="shared" si="30"/>
        <v>0</v>
      </c>
      <c r="N178" s="159">
        <f t="shared" si="18"/>
        <v>3512619</v>
      </c>
      <c r="O178" s="169"/>
      <c r="P178" s="169"/>
    </row>
    <row r="179" spans="1:16" s="22" customFormat="1" ht="12.75">
      <c r="A179" s="45" t="s">
        <v>24</v>
      </c>
      <c r="B179" s="52" t="s">
        <v>25</v>
      </c>
      <c r="C179" s="144">
        <f>D179+G179</f>
        <v>443139</v>
      </c>
      <c r="D179" s="144">
        <v>443139</v>
      </c>
      <c r="E179" s="144">
        <v>295166</v>
      </c>
      <c r="F179" s="144">
        <v>5500</v>
      </c>
      <c r="G179" s="144"/>
      <c r="H179" s="144">
        <f>I179+L179</f>
        <v>0</v>
      </c>
      <c r="I179" s="144"/>
      <c r="J179" s="144"/>
      <c r="K179" s="144"/>
      <c r="L179" s="144"/>
      <c r="M179" s="144"/>
      <c r="N179" s="143">
        <f t="shared" si="18"/>
        <v>443139</v>
      </c>
      <c r="O179" s="145"/>
      <c r="P179" s="145"/>
    </row>
    <row r="180" spans="1:16" s="22" customFormat="1" ht="38.25">
      <c r="A180" s="45">
        <v>210000</v>
      </c>
      <c r="B180" s="105" t="s">
        <v>307</v>
      </c>
      <c r="C180" s="144">
        <f>D180+G180</f>
        <v>2997000</v>
      </c>
      <c r="D180" s="144">
        <f>SUM(D181:D183)</f>
        <v>2627450</v>
      </c>
      <c r="E180" s="144">
        <f>SUM(E181:E183)</f>
        <v>1736415</v>
      </c>
      <c r="F180" s="144">
        <f>SUM(F181:F183)</f>
        <v>17027</v>
      </c>
      <c r="G180" s="144">
        <f>SUM(G181:G183)</f>
        <v>369550</v>
      </c>
      <c r="H180" s="144">
        <f>I180+L180</f>
        <v>72480</v>
      </c>
      <c r="I180" s="144">
        <f>SUM(I181:I183)</f>
        <v>62587</v>
      </c>
      <c r="J180" s="144">
        <f>SUM(J181:J183)</f>
        <v>9485</v>
      </c>
      <c r="K180" s="144">
        <f>SUM(K181:K183)</f>
        <v>0</v>
      </c>
      <c r="L180" s="144">
        <f>SUM(L181:L183)</f>
        <v>9893</v>
      </c>
      <c r="M180" s="144">
        <f>SUM(M181:M183)</f>
        <v>0</v>
      </c>
      <c r="N180" s="143">
        <f t="shared" si="18"/>
        <v>3069480</v>
      </c>
      <c r="O180" s="145"/>
      <c r="P180" s="145"/>
    </row>
    <row r="181" spans="1:16" s="22" customFormat="1" ht="38.25">
      <c r="A181" s="45" t="s">
        <v>69</v>
      </c>
      <c r="B181" s="105" t="s">
        <v>308</v>
      </c>
      <c r="C181" s="144">
        <f>D181+G181</f>
        <v>500000</v>
      </c>
      <c r="D181" s="144">
        <v>130450</v>
      </c>
      <c r="E181" s="144"/>
      <c r="F181" s="144"/>
      <c r="G181" s="144">
        <v>369550</v>
      </c>
      <c r="H181" s="144">
        <f>I181+L181</f>
        <v>0</v>
      </c>
      <c r="I181" s="144"/>
      <c r="J181" s="144"/>
      <c r="K181" s="144"/>
      <c r="L181" s="144"/>
      <c r="M181" s="144"/>
      <c r="N181" s="143">
        <f t="shared" si="18"/>
        <v>500000</v>
      </c>
      <c r="O181" s="145"/>
      <c r="P181" s="145"/>
    </row>
    <row r="182" spans="1:16" s="22" customFormat="1" ht="38.25">
      <c r="A182" s="45" t="s">
        <v>69</v>
      </c>
      <c r="B182" s="105" t="s">
        <v>274</v>
      </c>
      <c r="C182" s="144">
        <f>D182+G182</f>
        <v>1174000</v>
      </c>
      <c r="D182" s="144">
        <v>1174000</v>
      </c>
      <c r="E182" s="144">
        <v>798484</v>
      </c>
      <c r="F182" s="144">
        <v>2220</v>
      </c>
      <c r="G182" s="144"/>
      <c r="H182" s="144">
        <f>I182+L182</f>
        <v>54000</v>
      </c>
      <c r="I182" s="144">
        <v>54000</v>
      </c>
      <c r="J182" s="144">
        <v>9485</v>
      </c>
      <c r="K182" s="144"/>
      <c r="L182" s="144"/>
      <c r="M182" s="144"/>
      <c r="N182" s="143">
        <f t="shared" si="18"/>
        <v>1228000</v>
      </c>
      <c r="O182" s="145"/>
      <c r="P182" s="145"/>
    </row>
    <row r="183" spans="1:16" s="22" customFormat="1" ht="25.5">
      <c r="A183" s="45">
        <v>210110</v>
      </c>
      <c r="B183" s="105" t="s">
        <v>70</v>
      </c>
      <c r="C183" s="144">
        <f>D183+G183</f>
        <v>1323000</v>
      </c>
      <c r="D183" s="144">
        <v>1323000</v>
      </c>
      <c r="E183" s="144">
        <v>937931</v>
      </c>
      <c r="F183" s="144">
        <v>14807</v>
      </c>
      <c r="G183" s="144"/>
      <c r="H183" s="144">
        <f>I183+L183</f>
        <v>18480</v>
      </c>
      <c r="I183" s="144">
        <v>8587</v>
      </c>
      <c r="J183" s="144"/>
      <c r="K183" s="144"/>
      <c r="L183" s="144">
        <v>9893</v>
      </c>
      <c r="M183" s="144"/>
      <c r="N183" s="143">
        <f t="shared" si="18"/>
        <v>1341480</v>
      </c>
      <c r="O183" s="145"/>
      <c r="P183" s="145"/>
    </row>
    <row r="184" spans="1:16" s="125" customFormat="1" ht="25.5">
      <c r="A184" s="124" t="s">
        <v>287</v>
      </c>
      <c r="B184" s="132" t="s">
        <v>157</v>
      </c>
      <c r="C184" s="160">
        <f>C185+C187</f>
        <v>308648</v>
      </c>
      <c r="D184" s="160">
        <f>D185+D187</f>
        <v>308648</v>
      </c>
      <c r="E184" s="160">
        <f>E185+E187</f>
        <v>186538</v>
      </c>
      <c r="F184" s="160">
        <f>F185+F187</f>
        <v>5652</v>
      </c>
      <c r="G184" s="160">
        <f>G185+G187</f>
        <v>0</v>
      </c>
      <c r="H184" s="160">
        <f>H185+H187+H186+H188</f>
        <v>24750000</v>
      </c>
      <c r="I184" s="160">
        <f>I185+I187+I186+I188</f>
        <v>0</v>
      </c>
      <c r="J184" s="160">
        <f>J185+J187+J186+J188</f>
        <v>0</v>
      </c>
      <c r="K184" s="160">
        <f>K185+K187+K186+K188</f>
        <v>0</v>
      </c>
      <c r="L184" s="160">
        <f>L185+L187+L186+L188</f>
        <v>24750000</v>
      </c>
      <c r="M184" s="160">
        <f>M185+M187+M186</f>
        <v>14250000</v>
      </c>
      <c r="N184" s="159">
        <f t="shared" si="18"/>
        <v>25058648</v>
      </c>
      <c r="O184" s="169"/>
      <c r="P184" s="169"/>
    </row>
    <row r="185" spans="1:16" s="22" customFormat="1" ht="12.75">
      <c r="A185" s="45" t="s">
        <v>24</v>
      </c>
      <c r="B185" s="52" t="s">
        <v>25</v>
      </c>
      <c r="C185" s="144">
        <f>D185+G185</f>
        <v>308648</v>
      </c>
      <c r="D185" s="144">
        <v>308648</v>
      </c>
      <c r="E185" s="144">
        <v>186538</v>
      </c>
      <c r="F185" s="144">
        <v>5652</v>
      </c>
      <c r="G185" s="144"/>
      <c r="H185" s="144">
        <f>I185+L185</f>
        <v>0</v>
      </c>
      <c r="I185" s="144"/>
      <c r="J185" s="144"/>
      <c r="K185" s="144"/>
      <c r="L185" s="144"/>
      <c r="M185" s="144"/>
      <c r="N185" s="143">
        <f t="shared" si="18"/>
        <v>308648</v>
      </c>
      <c r="O185" s="145"/>
      <c r="P185" s="145"/>
    </row>
    <row r="186" spans="1:16" s="22" customFormat="1" ht="12.75" hidden="1">
      <c r="A186" s="45" t="s">
        <v>261</v>
      </c>
      <c r="B186" s="26" t="s">
        <v>262</v>
      </c>
      <c r="C186" s="144"/>
      <c r="D186" s="144"/>
      <c r="E186" s="144"/>
      <c r="F186" s="144"/>
      <c r="G186" s="144"/>
      <c r="H186" s="144">
        <f>I186+L186</f>
        <v>0</v>
      </c>
      <c r="I186" s="144"/>
      <c r="J186" s="144"/>
      <c r="K186" s="144"/>
      <c r="L186" s="144"/>
      <c r="M186" s="144"/>
      <c r="N186" s="143">
        <f>C186+H186</f>
        <v>0</v>
      </c>
      <c r="O186" s="145"/>
      <c r="P186" s="145"/>
    </row>
    <row r="187" spans="1:16" s="22" customFormat="1" ht="38.25">
      <c r="A187" s="45" t="s">
        <v>321</v>
      </c>
      <c r="B187" s="27" t="s">
        <v>322</v>
      </c>
      <c r="C187" s="144">
        <f>D187+G187</f>
        <v>0</v>
      </c>
      <c r="D187" s="144"/>
      <c r="E187" s="144"/>
      <c r="F187" s="144"/>
      <c r="G187" s="144"/>
      <c r="H187" s="144">
        <f>I187+L187</f>
        <v>14250000</v>
      </c>
      <c r="I187" s="144"/>
      <c r="J187" s="144"/>
      <c r="K187" s="144"/>
      <c r="L187" s="144">
        <f>14000000+6500000+3250000-9500000</f>
        <v>14250000</v>
      </c>
      <c r="M187" s="144">
        <f>14000000+6500000+3250000-9500000</f>
        <v>14250000</v>
      </c>
      <c r="N187" s="143">
        <f aca="true" t="shared" si="31" ref="N187:N216">C187+H187</f>
        <v>14250000</v>
      </c>
      <c r="O187" s="145"/>
      <c r="P187" s="145"/>
    </row>
    <row r="188" spans="1:16" s="22" customFormat="1" ht="25.5">
      <c r="A188" s="45" t="s">
        <v>71</v>
      </c>
      <c r="B188" s="27" t="s">
        <v>229</v>
      </c>
      <c r="C188" s="144"/>
      <c r="D188" s="144"/>
      <c r="E188" s="144"/>
      <c r="F188" s="144"/>
      <c r="G188" s="144"/>
      <c r="H188" s="144">
        <f>I188+L188</f>
        <v>10500000</v>
      </c>
      <c r="I188" s="144"/>
      <c r="J188" s="144"/>
      <c r="K188" s="144"/>
      <c r="L188" s="144">
        <f>9100000+1400000</f>
        <v>10500000</v>
      </c>
      <c r="M188" s="144"/>
      <c r="N188" s="143">
        <f t="shared" si="31"/>
        <v>10500000</v>
      </c>
      <c r="O188" s="145"/>
      <c r="P188" s="145"/>
    </row>
    <row r="189" spans="1:16" s="125" customFormat="1" ht="12.75">
      <c r="A189" s="124" t="s">
        <v>288</v>
      </c>
      <c r="B189" s="126" t="s">
        <v>147</v>
      </c>
      <c r="C189" s="160">
        <f>C190+C191+C192+C193+C194+C196+C195+C197</f>
        <v>395496610</v>
      </c>
      <c r="D189" s="160">
        <f>D190+D191+D192+D193+D194+D196+D195+D197</f>
        <v>389346610</v>
      </c>
      <c r="E189" s="160">
        <f>E190+E191+E192+E193+E194+E196+E195+E197</f>
        <v>338044</v>
      </c>
      <c r="F189" s="160">
        <f>F190+F191+F192+F193+F194+F196+F195+F197</f>
        <v>10492</v>
      </c>
      <c r="G189" s="160">
        <f>G190+G191+G192+G193+G194+G196+G195+G197</f>
        <v>6150000</v>
      </c>
      <c r="H189" s="181">
        <f aca="true" t="shared" si="32" ref="H189:M189">H190+H191+H192+H193+H194+H196</f>
        <v>0</v>
      </c>
      <c r="I189" s="181">
        <f t="shared" si="32"/>
        <v>0</v>
      </c>
      <c r="J189" s="160">
        <f t="shared" si="32"/>
        <v>0</v>
      </c>
      <c r="K189" s="160">
        <f t="shared" si="32"/>
        <v>0</v>
      </c>
      <c r="L189" s="160">
        <f t="shared" si="32"/>
        <v>0</v>
      </c>
      <c r="M189" s="160">
        <f t="shared" si="32"/>
        <v>0</v>
      </c>
      <c r="N189" s="182">
        <f t="shared" si="31"/>
        <v>395496610</v>
      </c>
      <c r="O189" s="169"/>
      <c r="P189" s="169"/>
    </row>
    <row r="190" spans="1:16" s="22" customFormat="1" ht="12.75">
      <c r="A190" s="45" t="s">
        <v>24</v>
      </c>
      <c r="B190" s="52" t="s">
        <v>25</v>
      </c>
      <c r="C190" s="144">
        <f aca="true" t="shared" si="33" ref="C190:C197">D190+G190</f>
        <v>595300</v>
      </c>
      <c r="D190" s="144">
        <f>594715+585</f>
        <v>595300</v>
      </c>
      <c r="E190" s="144">
        <v>338044</v>
      </c>
      <c r="F190" s="144">
        <v>10492</v>
      </c>
      <c r="G190" s="144"/>
      <c r="H190" s="144">
        <f aca="true" t="shared" si="34" ref="H190:H196">I190+L190</f>
        <v>0</v>
      </c>
      <c r="I190" s="144"/>
      <c r="J190" s="144"/>
      <c r="K190" s="144"/>
      <c r="L190" s="144"/>
      <c r="M190" s="144"/>
      <c r="N190" s="143">
        <f t="shared" si="31"/>
        <v>595300</v>
      </c>
      <c r="O190" s="145"/>
      <c r="P190" s="145"/>
    </row>
    <row r="191" spans="1:14" s="17" customFormat="1" ht="89.25" hidden="1">
      <c r="A191" s="119" t="s">
        <v>419</v>
      </c>
      <c r="B191" s="80" t="s">
        <v>420</v>
      </c>
      <c r="C191" s="148">
        <f t="shared" si="33"/>
        <v>0</v>
      </c>
      <c r="D191" s="148"/>
      <c r="E191" s="148"/>
      <c r="F191" s="148"/>
      <c r="G191" s="148"/>
      <c r="H191" s="179">
        <f t="shared" si="34"/>
        <v>0</v>
      </c>
      <c r="I191" s="179"/>
      <c r="J191" s="148"/>
      <c r="K191" s="148"/>
      <c r="L191" s="148"/>
      <c r="M191" s="148"/>
      <c r="N191" s="180">
        <f t="shared" si="31"/>
        <v>0</v>
      </c>
    </row>
    <row r="192" spans="1:16" s="22" customFormat="1" ht="25.5">
      <c r="A192" s="45" t="s">
        <v>76</v>
      </c>
      <c r="B192" s="27" t="s">
        <v>77</v>
      </c>
      <c r="C192" s="144">
        <f t="shared" si="33"/>
        <v>81725000</v>
      </c>
      <c r="D192" s="144">
        <v>81725000</v>
      </c>
      <c r="E192" s="144"/>
      <c r="F192" s="144"/>
      <c r="G192" s="144"/>
      <c r="H192" s="144">
        <f t="shared" si="34"/>
        <v>0</v>
      </c>
      <c r="I192" s="144"/>
      <c r="J192" s="144"/>
      <c r="K192" s="144"/>
      <c r="L192" s="144"/>
      <c r="M192" s="144"/>
      <c r="N192" s="143">
        <f t="shared" si="31"/>
        <v>81725000</v>
      </c>
      <c r="O192" s="145"/>
      <c r="P192" s="145"/>
    </row>
    <row r="193" spans="1:16" s="22" customFormat="1" ht="25.5">
      <c r="A193" s="45" t="s">
        <v>263</v>
      </c>
      <c r="B193" s="105" t="s">
        <v>310</v>
      </c>
      <c r="C193" s="144">
        <f t="shared" si="33"/>
        <v>43300</v>
      </c>
      <c r="D193" s="144">
        <f>40000+3300</f>
        <v>43300</v>
      </c>
      <c r="E193" s="144"/>
      <c r="F193" s="144"/>
      <c r="G193" s="144"/>
      <c r="H193" s="144">
        <f t="shared" si="34"/>
        <v>0</v>
      </c>
      <c r="I193" s="144"/>
      <c r="J193" s="144"/>
      <c r="K193" s="144"/>
      <c r="L193" s="144"/>
      <c r="M193" s="144"/>
      <c r="N193" s="143">
        <f t="shared" si="31"/>
        <v>43300</v>
      </c>
      <c r="O193" s="145"/>
      <c r="P193" s="145"/>
    </row>
    <row r="194" spans="1:16" s="22" customFormat="1" ht="12.75">
      <c r="A194" s="45" t="s">
        <v>275</v>
      </c>
      <c r="B194" s="178" t="s">
        <v>311</v>
      </c>
      <c r="C194" s="144">
        <f t="shared" si="33"/>
        <v>306968462</v>
      </c>
      <c r="D194" s="144">
        <f>307055603-87141</f>
        <v>306968462</v>
      </c>
      <c r="E194" s="144"/>
      <c r="F194" s="144"/>
      <c r="G194" s="144"/>
      <c r="H194" s="144">
        <f t="shared" si="34"/>
        <v>0</v>
      </c>
      <c r="I194" s="144"/>
      <c r="J194" s="144"/>
      <c r="K194" s="144"/>
      <c r="L194" s="144"/>
      <c r="M194" s="144"/>
      <c r="N194" s="143">
        <f t="shared" si="31"/>
        <v>306968462</v>
      </c>
      <c r="O194" s="145"/>
      <c r="P194" s="145"/>
    </row>
    <row r="195" spans="1:16" s="22" customFormat="1" ht="12.75">
      <c r="A195" s="45" t="s">
        <v>73</v>
      </c>
      <c r="B195" s="178" t="s">
        <v>149</v>
      </c>
      <c r="C195" s="144">
        <f t="shared" si="33"/>
        <v>2900000</v>
      </c>
      <c r="D195" s="144"/>
      <c r="E195" s="144"/>
      <c r="F195" s="144"/>
      <c r="G195" s="144">
        <f>3000000-100000</f>
        <v>2900000</v>
      </c>
      <c r="H195" s="144"/>
      <c r="I195" s="144"/>
      <c r="J195" s="144"/>
      <c r="K195" s="144"/>
      <c r="L195" s="144"/>
      <c r="M195" s="144"/>
      <c r="N195" s="143">
        <f t="shared" si="31"/>
        <v>2900000</v>
      </c>
      <c r="O195" s="145"/>
      <c r="P195" s="145"/>
    </row>
    <row r="196" spans="1:16" s="22" customFormat="1" ht="38.25">
      <c r="A196" s="45" t="s">
        <v>264</v>
      </c>
      <c r="B196" s="105" t="s">
        <v>168</v>
      </c>
      <c r="C196" s="144">
        <f t="shared" si="33"/>
        <v>3250000</v>
      </c>
      <c r="D196" s="144"/>
      <c r="E196" s="144"/>
      <c r="F196" s="144"/>
      <c r="G196" s="144">
        <v>3250000</v>
      </c>
      <c r="H196" s="144">
        <f t="shared" si="34"/>
        <v>0</v>
      </c>
      <c r="I196" s="144"/>
      <c r="J196" s="144"/>
      <c r="K196" s="144"/>
      <c r="L196" s="144"/>
      <c r="M196" s="144"/>
      <c r="N196" s="143">
        <f t="shared" si="31"/>
        <v>3250000</v>
      </c>
      <c r="O196" s="145"/>
      <c r="P196" s="145"/>
    </row>
    <row r="197" spans="1:16" s="22" customFormat="1" ht="76.5">
      <c r="A197" s="45" t="s">
        <v>447</v>
      </c>
      <c r="B197" s="105" t="s">
        <v>448</v>
      </c>
      <c r="C197" s="144">
        <f t="shared" si="33"/>
        <v>14548</v>
      </c>
      <c r="D197" s="144">
        <v>14548</v>
      </c>
      <c r="E197" s="144"/>
      <c r="F197" s="144"/>
      <c r="G197" s="144"/>
      <c r="H197" s="144"/>
      <c r="I197" s="144"/>
      <c r="J197" s="144"/>
      <c r="K197" s="144"/>
      <c r="L197" s="144"/>
      <c r="M197" s="144"/>
      <c r="N197" s="143">
        <f t="shared" si="31"/>
        <v>14548</v>
      </c>
      <c r="O197" s="145"/>
      <c r="P197" s="145"/>
    </row>
    <row r="198" spans="1:16" s="125" customFormat="1" ht="25.5">
      <c r="A198" s="124" t="s">
        <v>289</v>
      </c>
      <c r="B198" s="126" t="s">
        <v>266</v>
      </c>
      <c r="C198" s="160">
        <f>C199+C201+C204+C205+C206+C207+C209+C200+C202+C208+C210</f>
        <v>21337091</v>
      </c>
      <c r="D198" s="160">
        <f>D199+D201+D204+D205+D206+D207+D209+D200+D202+D208+D210</f>
        <v>16337091</v>
      </c>
      <c r="E198" s="160">
        <f>E199+E201+E204+E205+E206+E207+E209+E200+E202+E208+E210</f>
        <v>334271</v>
      </c>
      <c r="F198" s="160">
        <f>F199+F201+F204+F205+F206+F207+F209+F200+F202+F208+F210</f>
        <v>0</v>
      </c>
      <c r="G198" s="160">
        <f>G199+G201+G204+G205+G206+G207+G209+G200+G202+G208+G210</f>
        <v>5000000</v>
      </c>
      <c r="H198" s="160">
        <f aca="true" t="shared" si="35" ref="H198:M198">H199+H201+H204+H205+H206+H207+H211+H203</f>
        <v>278072204</v>
      </c>
      <c r="I198" s="160">
        <f t="shared" si="35"/>
        <v>931667</v>
      </c>
      <c r="J198" s="160">
        <f t="shared" si="35"/>
        <v>0</v>
      </c>
      <c r="K198" s="160">
        <f t="shared" si="35"/>
        <v>0</v>
      </c>
      <c r="L198" s="160">
        <f t="shared" si="35"/>
        <v>277140537</v>
      </c>
      <c r="M198" s="160">
        <f t="shared" si="35"/>
        <v>257976204</v>
      </c>
      <c r="N198" s="159">
        <f t="shared" si="31"/>
        <v>299409295</v>
      </c>
      <c r="O198" s="169"/>
      <c r="P198" s="169"/>
    </row>
    <row r="199" spans="1:16" s="22" customFormat="1" ht="12.75">
      <c r="A199" s="45" t="s">
        <v>24</v>
      </c>
      <c r="B199" s="52" t="s">
        <v>25</v>
      </c>
      <c r="C199" s="144">
        <f aca="true" t="shared" si="36" ref="C199:C210">D199+G199</f>
        <v>490159</v>
      </c>
      <c r="D199" s="144">
        <v>490159</v>
      </c>
      <c r="E199" s="144">
        <v>334271</v>
      </c>
      <c r="F199" s="144"/>
      <c r="G199" s="144"/>
      <c r="H199" s="144">
        <f aca="true" t="shared" si="37" ref="H199:H213">I199+L199</f>
        <v>0</v>
      </c>
      <c r="I199" s="144"/>
      <c r="J199" s="144"/>
      <c r="K199" s="144"/>
      <c r="L199" s="144"/>
      <c r="M199" s="144"/>
      <c r="N199" s="143">
        <f t="shared" si="31"/>
        <v>490159</v>
      </c>
      <c r="O199" s="145"/>
      <c r="P199" s="145"/>
    </row>
    <row r="200" spans="1:16" s="22" customFormat="1" ht="38.25" hidden="1">
      <c r="A200" s="45" t="s">
        <v>399</v>
      </c>
      <c r="B200" s="52" t="s">
        <v>413</v>
      </c>
      <c r="C200" s="144">
        <f t="shared" si="36"/>
        <v>0</v>
      </c>
      <c r="D200" s="144"/>
      <c r="E200" s="144"/>
      <c r="F200" s="144"/>
      <c r="G200" s="144"/>
      <c r="H200" s="144"/>
      <c r="I200" s="144"/>
      <c r="J200" s="144"/>
      <c r="K200" s="144"/>
      <c r="L200" s="144"/>
      <c r="M200" s="144"/>
      <c r="N200" s="143">
        <f t="shared" si="31"/>
        <v>0</v>
      </c>
      <c r="O200" s="145"/>
      <c r="P200" s="145"/>
    </row>
    <row r="201" spans="1:16" s="22" customFormat="1" ht="12.75">
      <c r="A201" s="45" t="s">
        <v>261</v>
      </c>
      <c r="B201" s="27" t="s">
        <v>262</v>
      </c>
      <c r="C201" s="144">
        <f t="shared" si="36"/>
        <v>0</v>
      </c>
      <c r="D201" s="144"/>
      <c r="E201" s="144"/>
      <c r="F201" s="144"/>
      <c r="G201" s="144"/>
      <c r="H201" s="144">
        <f t="shared" si="37"/>
        <v>257476204</v>
      </c>
      <c r="I201" s="144"/>
      <c r="J201" s="144"/>
      <c r="K201" s="144"/>
      <c r="L201" s="144">
        <f>15896204+233100000+8480000</f>
        <v>257476204</v>
      </c>
      <c r="M201" s="144">
        <f>15896204+233100000+8480000</f>
        <v>257476204</v>
      </c>
      <c r="N201" s="143">
        <f t="shared" si="31"/>
        <v>257476204</v>
      </c>
      <c r="O201" s="145"/>
      <c r="P201" s="145"/>
    </row>
    <row r="202" spans="1:16" s="22" customFormat="1" ht="204" hidden="1">
      <c r="A202" s="45" t="s">
        <v>411</v>
      </c>
      <c r="B202" s="26" t="s">
        <v>412</v>
      </c>
      <c r="C202" s="144">
        <f t="shared" si="36"/>
        <v>0</v>
      </c>
      <c r="D202" s="144"/>
      <c r="E202" s="144"/>
      <c r="F202" s="144"/>
      <c r="G202" s="144"/>
      <c r="H202" s="144"/>
      <c r="I202" s="144"/>
      <c r="J202" s="144"/>
      <c r="K202" s="144"/>
      <c r="L202" s="144"/>
      <c r="M202" s="144"/>
      <c r="N202" s="143">
        <f t="shared" si="31"/>
        <v>0</v>
      </c>
      <c r="O202" s="145"/>
      <c r="P202" s="145"/>
    </row>
    <row r="203" spans="1:16" s="22" customFormat="1" ht="38.25" hidden="1">
      <c r="A203" s="45" t="s">
        <v>414</v>
      </c>
      <c r="B203" s="26" t="s">
        <v>415</v>
      </c>
      <c r="C203" s="144"/>
      <c r="D203" s="144"/>
      <c r="E203" s="144"/>
      <c r="F203" s="144"/>
      <c r="G203" s="144"/>
      <c r="H203" s="144">
        <f t="shared" si="37"/>
        <v>0</v>
      </c>
      <c r="I203" s="144"/>
      <c r="J203" s="144"/>
      <c r="K203" s="144"/>
      <c r="L203" s="144"/>
      <c r="M203" s="144"/>
      <c r="N203" s="143">
        <f t="shared" si="31"/>
        <v>0</v>
      </c>
      <c r="O203" s="145"/>
      <c r="P203" s="145"/>
    </row>
    <row r="204" spans="1:16" s="22" customFormat="1" ht="63.75" hidden="1">
      <c r="A204" s="45" t="s">
        <v>313</v>
      </c>
      <c r="B204" s="16" t="s">
        <v>314</v>
      </c>
      <c r="C204" s="144">
        <f t="shared" si="36"/>
        <v>0</v>
      </c>
      <c r="D204" s="144"/>
      <c r="E204" s="144"/>
      <c r="F204" s="144"/>
      <c r="G204" s="144"/>
      <c r="H204" s="144">
        <f t="shared" si="37"/>
        <v>0</v>
      </c>
      <c r="I204" s="144"/>
      <c r="J204" s="144"/>
      <c r="K204" s="144"/>
      <c r="L204" s="144"/>
      <c r="M204" s="144"/>
      <c r="N204" s="143">
        <f t="shared" si="31"/>
        <v>0</v>
      </c>
      <c r="O204" s="145"/>
      <c r="P204" s="145"/>
    </row>
    <row r="205" spans="1:16" s="22" customFormat="1" ht="12.75">
      <c r="A205" s="45" t="s">
        <v>330</v>
      </c>
      <c r="B205" s="16" t="s">
        <v>331</v>
      </c>
      <c r="C205" s="144">
        <f t="shared" si="36"/>
        <v>0</v>
      </c>
      <c r="D205" s="144"/>
      <c r="E205" s="144"/>
      <c r="F205" s="144"/>
      <c r="G205" s="144"/>
      <c r="H205" s="144">
        <f t="shared" si="37"/>
        <v>500000</v>
      </c>
      <c r="I205" s="144"/>
      <c r="J205" s="144"/>
      <c r="K205" s="144"/>
      <c r="L205" s="144">
        <v>500000</v>
      </c>
      <c r="M205" s="144">
        <v>500000</v>
      </c>
      <c r="N205" s="143">
        <f t="shared" si="31"/>
        <v>500000</v>
      </c>
      <c r="O205" s="145"/>
      <c r="P205" s="145"/>
    </row>
    <row r="206" spans="1:16" s="22" customFormat="1" ht="25.5" hidden="1">
      <c r="A206" s="45" t="s">
        <v>67</v>
      </c>
      <c r="B206" s="27" t="s">
        <v>68</v>
      </c>
      <c r="C206" s="144">
        <f t="shared" si="36"/>
        <v>0</v>
      </c>
      <c r="D206" s="144"/>
      <c r="E206" s="144"/>
      <c r="F206" s="144"/>
      <c r="G206" s="144"/>
      <c r="H206" s="144">
        <f t="shared" si="37"/>
        <v>0</v>
      </c>
      <c r="I206" s="144"/>
      <c r="J206" s="144"/>
      <c r="K206" s="144"/>
      <c r="L206" s="144"/>
      <c r="M206" s="144"/>
      <c r="N206" s="143">
        <f t="shared" si="31"/>
        <v>0</v>
      </c>
      <c r="O206" s="145"/>
      <c r="P206" s="145"/>
    </row>
    <row r="207" spans="1:16" s="22" customFormat="1" ht="38.25" hidden="1">
      <c r="A207" s="45" t="s">
        <v>321</v>
      </c>
      <c r="B207" s="27" t="s">
        <v>322</v>
      </c>
      <c r="C207" s="144">
        <f t="shared" si="36"/>
        <v>0</v>
      </c>
      <c r="D207" s="144"/>
      <c r="E207" s="144"/>
      <c r="F207" s="144"/>
      <c r="G207" s="144"/>
      <c r="H207" s="144">
        <f t="shared" si="37"/>
        <v>0</v>
      </c>
      <c r="I207" s="144"/>
      <c r="J207" s="144"/>
      <c r="K207" s="144"/>
      <c r="L207" s="144"/>
      <c r="M207" s="144"/>
      <c r="N207" s="143">
        <f t="shared" si="31"/>
        <v>0</v>
      </c>
      <c r="O207" s="145"/>
      <c r="P207" s="145"/>
    </row>
    <row r="208" spans="1:16" s="22" customFormat="1" ht="38.25">
      <c r="A208" s="45" t="s">
        <v>433</v>
      </c>
      <c r="B208" s="27" t="s">
        <v>434</v>
      </c>
      <c r="C208" s="144">
        <f t="shared" si="36"/>
        <v>5000000</v>
      </c>
      <c r="D208" s="144"/>
      <c r="E208" s="144"/>
      <c r="F208" s="144"/>
      <c r="G208" s="144">
        <v>5000000</v>
      </c>
      <c r="H208" s="144">
        <f t="shared" si="37"/>
        <v>0</v>
      </c>
      <c r="I208" s="144"/>
      <c r="J208" s="144"/>
      <c r="K208" s="144"/>
      <c r="L208" s="144"/>
      <c r="M208" s="144"/>
      <c r="N208" s="143">
        <f t="shared" si="31"/>
        <v>5000000</v>
      </c>
      <c r="O208" s="145"/>
      <c r="P208" s="145"/>
    </row>
    <row r="209" spans="1:16" s="22" customFormat="1" ht="12.75">
      <c r="A209" s="45" t="s">
        <v>271</v>
      </c>
      <c r="B209" s="105" t="s">
        <v>249</v>
      </c>
      <c r="C209" s="144">
        <f t="shared" si="36"/>
        <v>15846932</v>
      </c>
      <c r="D209" s="144">
        <f>15846932</f>
        <v>15846932</v>
      </c>
      <c r="E209" s="144"/>
      <c r="F209" s="144"/>
      <c r="G209" s="144"/>
      <c r="H209" s="144">
        <f t="shared" si="37"/>
        <v>0</v>
      </c>
      <c r="I209" s="144"/>
      <c r="J209" s="144"/>
      <c r="K209" s="144"/>
      <c r="L209" s="144"/>
      <c r="M209" s="144"/>
      <c r="N209" s="143">
        <f>C209+H209</f>
        <v>15846932</v>
      </c>
      <c r="O209" s="145"/>
      <c r="P209" s="145"/>
    </row>
    <row r="210" spans="1:16" s="22" customFormat="1" ht="51" hidden="1">
      <c r="A210" s="25"/>
      <c r="B210" s="105" t="s">
        <v>435</v>
      </c>
      <c r="C210" s="144">
        <f t="shared" si="36"/>
        <v>0</v>
      </c>
      <c r="D210" s="144"/>
      <c r="E210" s="144"/>
      <c r="F210" s="144"/>
      <c r="G210" s="144"/>
      <c r="H210" s="144"/>
      <c r="I210" s="144"/>
      <c r="J210" s="144"/>
      <c r="K210" s="144"/>
      <c r="L210" s="144"/>
      <c r="M210" s="144"/>
      <c r="N210" s="143">
        <f>C210+H210</f>
        <v>0</v>
      </c>
      <c r="O210" s="145"/>
      <c r="P210" s="145"/>
    </row>
    <row r="211" spans="1:16" s="22" customFormat="1" ht="38.25">
      <c r="A211" s="25" t="s">
        <v>71</v>
      </c>
      <c r="B211" s="105" t="s">
        <v>423</v>
      </c>
      <c r="C211" s="144"/>
      <c r="D211" s="144"/>
      <c r="E211" s="144"/>
      <c r="F211" s="144"/>
      <c r="G211" s="144"/>
      <c r="H211" s="144">
        <f t="shared" si="37"/>
        <v>20096000</v>
      </c>
      <c r="I211" s="144">
        <f>841441+90226</f>
        <v>931667</v>
      </c>
      <c r="J211" s="144"/>
      <c r="K211" s="144"/>
      <c r="L211" s="144">
        <f>22164333-1000000-2000000</f>
        <v>19164333</v>
      </c>
      <c r="M211" s="144">
        <f>M213</f>
        <v>0</v>
      </c>
      <c r="N211" s="143">
        <f>C211+H211</f>
        <v>20096000</v>
      </c>
      <c r="O211" s="145"/>
      <c r="P211" s="145"/>
    </row>
    <row r="212" spans="1:16" s="22" customFormat="1" ht="12.75">
      <c r="A212" s="25"/>
      <c r="B212" s="104" t="s">
        <v>236</v>
      </c>
      <c r="C212" s="144"/>
      <c r="D212" s="144"/>
      <c r="E212" s="144"/>
      <c r="F212" s="144"/>
      <c r="G212" s="144"/>
      <c r="H212" s="144"/>
      <c r="I212" s="144"/>
      <c r="J212" s="144"/>
      <c r="K212" s="144"/>
      <c r="L212" s="144"/>
      <c r="M212" s="144"/>
      <c r="N212" s="143"/>
      <c r="O212" s="145"/>
      <c r="P212" s="145"/>
    </row>
    <row r="213" spans="1:16" s="22" customFormat="1" ht="90" customHeight="1">
      <c r="A213" s="25"/>
      <c r="B213" s="104" t="s">
        <v>407</v>
      </c>
      <c r="C213" s="144"/>
      <c r="D213" s="144"/>
      <c r="E213" s="144"/>
      <c r="F213" s="144"/>
      <c r="G213" s="144"/>
      <c r="H213" s="144">
        <f t="shared" si="37"/>
        <v>46000</v>
      </c>
      <c r="I213" s="144"/>
      <c r="J213" s="144"/>
      <c r="K213" s="144"/>
      <c r="L213" s="144">
        <v>46000</v>
      </c>
      <c r="M213" s="144"/>
      <c r="N213" s="143">
        <f>C213+H213</f>
        <v>46000</v>
      </c>
      <c r="O213" s="145"/>
      <c r="P213" s="145"/>
    </row>
    <row r="214" spans="1:16" s="125" customFormat="1" ht="25.5">
      <c r="A214" s="124" t="s">
        <v>276</v>
      </c>
      <c r="B214" s="126" t="s">
        <v>0</v>
      </c>
      <c r="C214" s="160">
        <f>C215</f>
        <v>287141</v>
      </c>
      <c r="D214" s="160">
        <f>D215</f>
        <v>212641</v>
      </c>
      <c r="E214" s="160">
        <f>E215</f>
        <v>104030</v>
      </c>
      <c r="F214" s="160">
        <f>F215</f>
        <v>12950</v>
      </c>
      <c r="G214" s="160">
        <f>G215</f>
        <v>74500</v>
      </c>
      <c r="H214" s="160"/>
      <c r="I214" s="160"/>
      <c r="J214" s="160"/>
      <c r="K214" s="160"/>
      <c r="L214" s="160"/>
      <c r="M214" s="160"/>
      <c r="N214" s="159"/>
      <c r="O214" s="169"/>
      <c r="P214" s="169"/>
    </row>
    <row r="215" spans="1:16" s="22" customFormat="1" ht="12.75">
      <c r="A215" s="25" t="s">
        <v>24</v>
      </c>
      <c r="B215" s="52" t="s">
        <v>25</v>
      </c>
      <c r="C215" s="144">
        <f>D215+G215</f>
        <v>287141</v>
      </c>
      <c r="D215" s="144">
        <v>212641</v>
      </c>
      <c r="E215" s="144">
        <v>104030</v>
      </c>
      <c r="F215" s="144">
        <v>12950</v>
      </c>
      <c r="G215" s="144">
        <v>74500</v>
      </c>
      <c r="H215" s="144"/>
      <c r="I215" s="144"/>
      <c r="J215" s="144"/>
      <c r="K215" s="144"/>
      <c r="L215" s="144"/>
      <c r="M215" s="144"/>
      <c r="N215" s="143"/>
      <c r="O215" s="145"/>
      <c r="P215" s="145"/>
    </row>
    <row r="216" spans="1:16" s="22" customFormat="1" ht="15">
      <c r="A216" s="45"/>
      <c r="B216" s="106" t="s">
        <v>169</v>
      </c>
      <c r="C216" s="144">
        <f aca="true" t="shared" si="38" ref="C216:M216">C9+C28+C33+C51+C71+C75+C80+C100+C122+C135+C151+C162+C172+C174+C176+C178+C184+C189+C198+C214</f>
        <v>643273407</v>
      </c>
      <c r="D216" s="144">
        <f t="shared" si="38"/>
        <v>614378241</v>
      </c>
      <c r="E216" s="144">
        <f t="shared" si="38"/>
        <v>80175850</v>
      </c>
      <c r="F216" s="144">
        <f t="shared" si="38"/>
        <v>12382845</v>
      </c>
      <c r="G216" s="144">
        <f t="shared" si="38"/>
        <v>28895166</v>
      </c>
      <c r="H216" s="144">
        <f t="shared" si="38"/>
        <v>385259936</v>
      </c>
      <c r="I216" s="144">
        <f t="shared" si="38"/>
        <v>33427474</v>
      </c>
      <c r="J216" s="144">
        <f t="shared" si="38"/>
        <v>1205356</v>
      </c>
      <c r="K216" s="144">
        <f t="shared" si="38"/>
        <v>4121884</v>
      </c>
      <c r="L216" s="144">
        <f t="shared" si="38"/>
        <v>351832462</v>
      </c>
      <c r="M216" s="144">
        <f t="shared" si="38"/>
        <v>303725704</v>
      </c>
      <c r="N216" s="143">
        <f t="shared" si="31"/>
        <v>1028533343</v>
      </c>
      <c r="O216" s="145"/>
      <c r="P216" s="145"/>
    </row>
    <row r="217" spans="1:14" s="22" customFormat="1" ht="15">
      <c r="A217" s="97"/>
      <c r="B217" s="98"/>
      <c r="C217" s="99"/>
      <c r="D217" s="99"/>
      <c r="E217" s="99"/>
      <c r="F217" s="99"/>
      <c r="G217" s="99"/>
      <c r="H217" s="99"/>
      <c r="I217" s="99"/>
      <c r="J217" s="99"/>
      <c r="K217" s="99"/>
      <c r="L217" s="99"/>
      <c r="M217" s="99"/>
      <c r="N217" s="56"/>
    </row>
    <row r="218" spans="1:13" s="22" customFormat="1" ht="12.75">
      <c r="A218" s="57"/>
      <c r="B218" s="58"/>
      <c r="C218" s="59"/>
      <c r="D218" s="30"/>
      <c r="E218" s="30"/>
      <c r="F218" s="30"/>
      <c r="G218" s="30"/>
      <c r="H218" s="30"/>
      <c r="I218" s="30"/>
      <c r="J218" s="30"/>
      <c r="K218" s="30"/>
      <c r="L218" s="30"/>
      <c r="M218" s="30"/>
    </row>
    <row r="219" s="22" customFormat="1" ht="12.75">
      <c r="A219" s="60"/>
    </row>
    <row r="220" spans="1:13" s="22" customFormat="1" ht="18">
      <c r="A220" s="32" t="s">
        <v>251</v>
      </c>
      <c r="B220" s="56"/>
      <c r="C220" s="161"/>
      <c r="D220" s="56"/>
      <c r="E220" s="56"/>
      <c r="F220" s="56"/>
      <c r="L220" s="32" t="s">
        <v>252</v>
      </c>
      <c r="M220" s="32"/>
    </row>
    <row r="221" s="22" customFormat="1" ht="12.75">
      <c r="A221" s="60"/>
    </row>
    <row r="222" spans="1:14" s="22" customFormat="1" ht="12.75">
      <c r="A222" s="60"/>
      <c r="C222" s="54"/>
      <c r="D222" s="54"/>
      <c r="E222" s="54"/>
      <c r="F222" s="54"/>
      <c r="G222" s="54"/>
      <c r="H222" s="54"/>
      <c r="I222" s="54"/>
      <c r="J222" s="54"/>
      <c r="K222" s="54"/>
      <c r="L222" s="54"/>
      <c r="M222" s="54"/>
      <c r="N222" s="54"/>
    </row>
    <row r="223" s="22" customFormat="1" ht="12.75">
      <c r="A223" s="60"/>
    </row>
    <row r="224" spans="1:8" s="22" customFormat="1" ht="12.75">
      <c r="A224" s="60"/>
      <c r="C224" s="54">
        <f>C222-C223</f>
        <v>0</v>
      </c>
      <c r="H224" s="54"/>
    </row>
    <row r="225" spans="1:8" s="22" customFormat="1" ht="12.75">
      <c r="A225" s="60"/>
      <c r="H225" s="54"/>
    </row>
    <row r="226" spans="1:3" s="22" customFormat="1" ht="12.75">
      <c r="A226" s="60"/>
      <c r="C226" s="54"/>
    </row>
    <row r="227" s="22" customFormat="1" ht="12.75">
      <c r="A227" s="60"/>
    </row>
    <row r="228" s="22" customFormat="1" ht="12.75">
      <c r="A228" s="60"/>
    </row>
    <row r="229" s="22" customFormat="1" ht="12.75">
      <c r="A229" s="60"/>
    </row>
    <row r="230" s="22" customFormat="1" ht="12.75">
      <c r="A230" s="60"/>
    </row>
    <row r="231" s="22" customFormat="1" ht="12.75">
      <c r="A231" s="60"/>
    </row>
    <row r="232" s="22" customFormat="1" ht="12.75">
      <c r="A232" s="60"/>
    </row>
    <row r="233" s="22" customFormat="1" ht="12.75">
      <c r="A233" s="60"/>
    </row>
    <row r="234" s="22" customFormat="1" ht="12.75">
      <c r="A234" s="60"/>
    </row>
    <row r="235" s="22" customFormat="1" ht="12.75">
      <c r="A235" s="60"/>
    </row>
    <row r="236" s="22" customFormat="1" ht="12.75">
      <c r="A236" s="60"/>
    </row>
    <row r="237" s="22" customFormat="1" ht="12.75">
      <c r="A237" s="60"/>
    </row>
    <row r="238" s="22" customFormat="1" ht="12.75">
      <c r="A238" s="60"/>
    </row>
    <row r="239" s="22" customFormat="1" ht="12.75">
      <c r="A239" s="60"/>
    </row>
    <row r="240" s="22" customFormat="1" ht="12.75">
      <c r="A240" s="60"/>
    </row>
    <row r="241" s="22" customFormat="1" ht="12.75">
      <c r="A241" s="60"/>
    </row>
    <row r="242" s="22" customFormat="1" ht="12.75">
      <c r="A242" s="60"/>
    </row>
    <row r="243" s="22" customFormat="1" ht="12.75">
      <c r="A243" s="60"/>
    </row>
    <row r="244" s="22" customFormat="1" ht="12.75">
      <c r="A244" s="60"/>
    </row>
    <row r="245" s="22" customFormat="1" ht="12.75">
      <c r="A245" s="60"/>
    </row>
    <row r="246" s="22" customFormat="1" ht="12.75">
      <c r="A246" s="60"/>
    </row>
    <row r="247" s="22" customFormat="1" ht="12.75">
      <c r="A247" s="60"/>
    </row>
    <row r="248" s="22" customFormat="1" ht="12.75">
      <c r="A248" s="60"/>
    </row>
    <row r="249" s="22" customFormat="1" ht="12.75">
      <c r="A249" s="60"/>
    </row>
    <row r="250" s="22" customFormat="1" ht="12.75">
      <c r="A250" s="60"/>
    </row>
    <row r="251" s="22" customFormat="1" ht="12.75">
      <c r="A251" s="60"/>
    </row>
    <row r="252" s="22" customFormat="1" ht="12.75">
      <c r="A252" s="60"/>
    </row>
    <row r="253" s="22" customFormat="1" ht="12.75">
      <c r="A253" s="60"/>
    </row>
    <row r="254" s="22" customFormat="1" ht="12.75">
      <c r="A254" s="60"/>
    </row>
    <row r="255" s="22" customFormat="1" ht="12.75">
      <c r="A255" s="60"/>
    </row>
    <row r="256" s="22" customFormat="1" ht="12.75">
      <c r="A256" s="60"/>
    </row>
    <row r="257" s="22" customFormat="1" ht="12.75">
      <c r="A257" s="60"/>
    </row>
    <row r="258" s="22" customFormat="1" ht="12.75">
      <c r="A258" s="60"/>
    </row>
    <row r="259" s="22" customFormat="1" ht="12.75">
      <c r="A259" s="60"/>
    </row>
    <row r="260" s="22" customFormat="1" ht="12.75">
      <c r="A260" s="60"/>
    </row>
    <row r="261" s="22" customFormat="1" ht="12.75">
      <c r="A261" s="60"/>
    </row>
    <row r="262" s="22" customFormat="1" ht="12.75">
      <c r="A262" s="60"/>
    </row>
    <row r="263" s="22" customFormat="1" ht="12.75">
      <c r="A263" s="60"/>
    </row>
    <row r="264" s="22" customFormat="1" ht="12.75">
      <c r="A264" s="60"/>
    </row>
    <row r="265" s="22" customFormat="1" ht="12.75">
      <c r="A265" s="60"/>
    </row>
    <row r="266" s="22" customFormat="1" ht="12.75">
      <c r="A266" s="60"/>
    </row>
    <row r="267" s="22" customFormat="1" ht="12.75">
      <c r="A267" s="60"/>
    </row>
    <row r="268" s="22" customFormat="1" ht="12.75">
      <c r="A268" s="60"/>
    </row>
    <row r="269" s="22" customFormat="1" ht="12.75">
      <c r="A269" s="60"/>
    </row>
    <row r="270" s="22" customFormat="1" ht="12.75">
      <c r="A270" s="60"/>
    </row>
    <row r="271" s="22" customFormat="1" ht="12.75">
      <c r="A271" s="60"/>
    </row>
    <row r="272" s="22" customFormat="1" ht="12.75">
      <c r="A272" s="60"/>
    </row>
    <row r="273" s="22" customFormat="1" ht="12.75">
      <c r="A273" s="60"/>
    </row>
    <row r="274" s="22" customFormat="1" ht="12.75">
      <c r="A274" s="60"/>
    </row>
    <row r="275" s="22" customFormat="1" ht="12.75">
      <c r="A275" s="60"/>
    </row>
    <row r="276" s="22" customFormat="1" ht="12.75">
      <c r="A276" s="60"/>
    </row>
    <row r="277" s="22" customFormat="1" ht="12.75">
      <c r="A277" s="60"/>
    </row>
    <row r="278" s="22" customFormat="1" ht="12.75">
      <c r="A278" s="60"/>
    </row>
    <row r="279" s="22" customFormat="1" ht="12.75">
      <c r="A279" s="60"/>
    </row>
    <row r="280" s="22" customFormat="1" ht="12.75">
      <c r="A280" s="60"/>
    </row>
    <row r="281" s="22" customFormat="1" ht="12.75">
      <c r="A281" s="60"/>
    </row>
    <row r="282" s="22" customFormat="1" ht="12.75">
      <c r="A282" s="60"/>
    </row>
    <row r="283" s="22" customFormat="1" ht="12.75">
      <c r="A283" s="60"/>
    </row>
    <row r="284" s="22" customFormat="1" ht="12.75">
      <c r="A284" s="60"/>
    </row>
    <row r="285" s="22" customFormat="1" ht="12.75">
      <c r="A285" s="60"/>
    </row>
    <row r="286" s="22" customFormat="1" ht="12.75">
      <c r="A286" s="60"/>
    </row>
    <row r="287" s="22" customFormat="1" ht="12.75">
      <c r="A287" s="60"/>
    </row>
    <row r="288" s="22" customFormat="1" ht="12.75">
      <c r="A288" s="60"/>
    </row>
    <row r="289" s="22" customFormat="1" ht="12.75">
      <c r="A289" s="60"/>
    </row>
    <row r="290" s="22" customFormat="1" ht="12.75">
      <c r="A290" s="60"/>
    </row>
    <row r="291" s="22" customFormat="1" ht="12.75">
      <c r="A291" s="60"/>
    </row>
    <row r="292" s="22" customFormat="1" ht="12.75">
      <c r="A292" s="60"/>
    </row>
    <row r="293" s="22" customFormat="1" ht="12.75">
      <c r="A293" s="60"/>
    </row>
    <row r="294" s="22" customFormat="1" ht="12.75">
      <c r="A294" s="60"/>
    </row>
    <row r="295" s="22" customFormat="1" ht="12.75">
      <c r="A295" s="60"/>
    </row>
    <row r="296" s="22" customFormat="1" ht="12.75">
      <c r="A296" s="60"/>
    </row>
    <row r="297" s="22" customFormat="1" ht="12.75">
      <c r="A297" s="60"/>
    </row>
    <row r="298" s="22" customFormat="1" ht="12.75">
      <c r="A298" s="60"/>
    </row>
    <row r="299" s="22" customFormat="1" ht="12.75">
      <c r="A299" s="60"/>
    </row>
    <row r="300" s="22" customFormat="1" ht="12.75">
      <c r="A300" s="60"/>
    </row>
    <row r="301" s="22" customFormat="1" ht="12.75">
      <c r="A301" s="60"/>
    </row>
    <row r="302" s="22" customFormat="1" ht="12.75">
      <c r="A302" s="60"/>
    </row>
    <row r="303" s="22" customFormat="1" ht="12.75">
      <c r="A303" s="60"/>
    </row>
    <row r="304" s="22" customFormat="1" ht="12.75">
      <c r="A304" s="60"/>
    </row>
    <row r="305" s="22" customFormat="1" ht="12.75">
      <c r="A305" s="60"/>
    </row>
    <row r="306" s="22" customFormat="1" ht="12.75">
      <c r="A306" s="60"/>
    </row>
    <row r="307" s="22" customFormat="1" ht="12.75">
      <c r="A307" s="60"/>
    </row>
    <row r="308" s="22" customFormat="1" ht="12.75">
      <c r="A308" s="60"/>
    </row>
    <row r="309" s="22" customFormat="1" ht="12.75">
      <c r="A309" s="60"/>
    </row>
    <row r="310" s="22" customFormat="1" ht="12.75">
      <c r="A310" s="60"/>
    </row>
    <row r="311" s="22" customFormat="1" ht="12.75">
      <c r="A311" s="60"/>
    </row>
    <row r="312" s="22" customFormat="1" ht="12.75">
      <c r="A312" s="60"/>
    </row>
    <row r="313" s="22" customFormat="1" ht="12.75">
      <c r="A313" s="60"/>
    </row>
    <row r="314" s="22" customFormat="1" ht="12.75">
      <c r="A314" s="60"/>
    </row>
    <row r="315" s="22" customFormat="1" ht="12.75">
      <c r="A315" s="60"/>
    </row>
    <row r="316" s="22" customFormat="1" ht="12.75">
      <c r="A316" s="60"/>
    </row>
    <row r="317" s="22" customFormat="1" ht="12.75">
      <c r="A317" s="60"/>
    </row>
    <row r="318" s="22" customFormat="1" ht="12.75">
      <c r="A318" s="60"/>
    </row>
    <row r="319" s="22" customFormat="1" ht="12.75">
      <c r="A319" s="60"/>
    </row>
    <row r="320" s="22" customFormat="1" ht="12.75">
      <c r="A320" s="60"/>
    </row>
    <row r="321" s="22" customFormat="1" ht="12.75">
      <c r="A321" s="60"/>
    </row>
    <row r="322" s="22" customFormat="1" ht="12.75">
      <c r="A322" s="60"/>
    </row>
    <row r="323" s="22" customFormat="1" ht="12.75">
      <c r="A323" s="60"/>
    </row>
    <row r="324" s="22" customFormat="1" ht="12.75">
      <c r="A324" s="60"/>
    </row>
    <row r="325" s="22" customFormat="1" ht="12.75">
      <c r="A325" s="60"/>
    </row>
    <row r="326" s="22" customFormat="1" ht="12.75">
      <c r="A326" s="60"/>
    </row>
    <row r="327" s="22" customFormat="1" ht="12.75">
      <c r="A327" s="60"/>
    </row>
    <row r="328" s="22" customFormat="1" ht="12.75">
      <c r="A328" s="60"/>
    </row>
    <row r="329" s="22" customFormat="1" ht="12.75">
      <c r="A329" s="60"/>
    </row>
    <row r="330" s="22" customFormat="1" ht="12.75">
      <c r="A330" s="60"/>
    </row>
    <row r="331" s="22" customFormat="1" ht="12.75">
      <c r="A331" s="60"/>
    </row>
    <row r="332" s="22" customFormat="1" ht="12.75">
      <c r="A332" s="60"/>
    </row>
    <row r="333" s="22" customFormat="1" ht="12.75">
      <c r="A333" s="60"/>
    </row>
    <row r="334" s="22" customFormat="1" ht="12.75">
      <c r="A334" s="60"/>
    </row>
    <row r="335" s="22" customFormat="1" ht="12.75">
      <c r="A335" s="60"/>
    </row>
    <row r="336" s="22" customFormat="1" ht="12.75">
      <c r="A336" s="60"/>
    </row>
    <row r="337" s="22" customFormat="1" ht="12.75">
      <c r="A337" s="60"/>
    </row>
    <row r="338" s="22" customFormat="1" ht="12.75">
      <c r="A338" s="60"/>
    </row>
    <row r="339" s="22" customFormat="1" ht="12.75">
      <c r="A339" s="60"/>
    </row>
    <row r="340" s="22" customFormat="1" ht="12.75">
      <c r="A340" s="60"/>
    </row>
    <row r="341" s="22" customFormat="1" ht="12.75">
      <c r="A341" s="60"/>
    </row>
    <row r="342" s="22" customFormat="1" ht="12.75">
      <c r="A342" s="60"/>
    </row>
    <row r="343" s="22" customFormat="1" ht="12.75">
      <c r="A343" s="60"/>
    </row>
    <row r="344" s="22" customFormat="1" ht="12.75">
      <c r="A344" s="60"/>
    </row>
    <row r="345" s="22" customFormat="1" ht="12.75">
      <c r="A345" s="60"/>
    </row>
    <row r="346" s="22" customFormat="1" ht="12.75">
      <c r="A346" s="60"/>
    </row>
    <row r="347" s="22" customFormat="1" ht="12.75">
      <c r="A347" s="60"/>
    </row>
    <row r="348" s="22" customFormat="1" ht="12.75">
      <c r="A348" s="60"/>
    </row>
    <row r="349" s="22" customFormat="1" ht="12.75">
      <c r="A349" s="60"/>
    </row>
    <row r="350" s="22" customFormat="1" ht="12.75">
      <c r="A350" s="60"/>
    </row>
    <row r="351" s="22" customFormat="1" ht="12.75">
      <c r="A351" s="60"/>
    </row>
    <row r="352" s="22" customFormat="1" ht="12.75">
      <c r="A352" s="60"/>
    </row>
    <row r="353" s="22" customFormat="1" ht="12.75">
      <c r="A353" s="60"/>
    </row>
    <row r="354" s="22" customFormat="1" ht="12.75">
      <c r="A354" s="60"/>
    </row>
    <row r="355" s="22" customFormat="1" ht="12.75">
      <c r="A355" s="60"/>
    </row>
    <row r="356" s="22" customFormat="1" ht="12.75">
      <c r="A356" s="60"/>
    </row>
    <row r="357" s="22" customFormat="1" ht="12.75">
      <c r="A357" s="60"/>
    </row>
    <row r="358" s="22" customFormat="1" ht="12.75">
      <c r="A358" s="60"/>
    </row>
    <row r="359" s="22" customFormat="1" ht="12.75">
      <c r="A359" s="60"/>
    </row>
    <row r="360" s="22" customFormat="1" ht="12.75">
      <c r="A360" s="60"/>
    </row>
    <row r="361" s="22" customFormat="1" ht="12.75">
      <c r="A361" s="60"/>
    </row>
    <row r="362" s="22" customFormat="1" ht="12.75">
      <c r="A362" s="60"/>
    </row>
    <row r="363" s="22" customFormat="1" ht="12.75">
      <c r="A363" s="60"/>
    </row>
    <row r="364" s="22" customFormat="1" ht="12.75">
      <c r="A364" s="60"/>
    </row>
    <row r="365" s="22" customFormat="1" ht="12.75">
      <c r="A365" s="60"/>
    </row>
    <row r="366" s="22" customFormat="1" ht="12.75">
      <c r="A366" s="60"/>
    </row>
    <row r="367" s="22" customFormat="1" ht="12.75">
      <c r="A367" s="60"/>
    </row>
    <row r="368" s="22" customFormat="1" ht="12.75">
      <c r="A368" s="60"/>
    </row>
    <row r="369" s="22" customFormat="1" ht="12.75">
      <c r="A369" s="60"/>
    </row>
    <row r="370" s="22" customFormat="1" ht="12.75">
      <c r="A370" s="60"/>
    </row>
    <row r="371" s="22" customFormat="1" ht="12.75">
      <c r="A371" s="60"/>
    </row>
    <row r="372" s="22" customFormat="1" ht="12.75">
      <c r="A372" s="60"/>
    </row>
    <row r="373" s="22" customFormat="1" ht="12.75">
      <c r="A373" s="60"/>
    </row>
    <row r="374" s="22" customFormat="1" ht="12.75">
      <c r="A374" s="60"/>
    </row>
    <row r="375" s="22" customFormat="1" ht="12.75">
      <c r="A375" s="60"/>
    </row>
    <row r="376" s="22" customFormat="1" ht="12.75">
      <c r="A376" s="60"/>
    </row>
    <row r="377" s="22" customFormat="1" ht="12.75">
      <c r="A377" s="60"/>
    </row>
    <row r="378" s="22" customFormat="1" ht="12.75">
      <c r="A378" s="60"/>
    </row>
    <row r="379" s="22" customFormat="1" ht="12.75">
      <c r="A379" s="60"/>
    </row>
    <row r="380" s="22" customFormat="1" ht="12.75">
      <c r="A380" s="60"/>
    </row>
    <row r="381" s="22" customFormat="1" ht="12.75">
      <c r="A381" s="60"/>
    </row>
    <row r="382" s="22" customFormat="1" ht="12.75">
      <c r="A382" s="60"/>
    </row>
    <row r="383" s="22" customFormat="1" ht="12.75">
      <c r="A383" s="60"/>
    </row>
    <row r="384" s="22" customFormat="1" ht="12.75">
      <c r="A384" s="60"/>
    </row>
    <row r="385" s="22" customFormat="1" ht="12.75">
      <c r="A385" s="60"/>
    </row>
    <row r="386" s="22" customFormat="1" ht="12.75">
      <c r="A386" s="60"/>
    </row>
    <row r="387" s="22" customFormat="1" ht="12.75">
      <c r="A387" s="60"/>
    </row>
    <row r="388" s="22" customFormat="1" ht="12.75">
      <c r="A388" s="60"/>
    </row>
    <row r="389" s="22" customFormat="1" ht="12.75">
      <c r="A389" s="60"/>
    </row>
    <row r="390" s="22" customFormat="1" ht="12.75">
      <c r="A390" s="60"/>
    </row>
    <row r="391" s="22" customFormat="1" ht="12.75">
      <c r="A391" s="60"/>
    </row>
    <row r="392" s="22" customFormat="1" ht="12.75">
      <c r="A392" s="60"/>
    </row>
    <row r="393" s="22" customFormat="1" ht="12.75">
      <c r="A393" s="60"/>
    </row>
    <row r="394" s="22" customFormat="1" ht="12.75">
      <c r="A394" s="60"/>
    </row>
    <row r="395" s="22" customFormat="1" ht="12.75">
      <c r="A395" s="60"/>
    </row>
    <row r="396" s="22" customFormat="1" ht="12.75">
      <c r="A396" s="60"/>
    </row>
    <row r="397" s="22" customFormat="1" ht="12.75">
      <c r="A397" s="60"/>
    </row>
    <row r="398" s="22" customFormat="1" ht="12.75">
      <c r="A398" s="60"/>
    </row>
    <row r="399" s="22" customFormat="1" ht="12.75">
      <c r="A399" s="60"/>
    </row>
    <row r="400" s="22" customFormat="1" ht="12.75">
      <c r="A400" s="60"/>
    </row>
    <row r="401" s="22" customFormat="1" ht="12.75">
      <c r="A401" s="60"/>
    </row>
    <row r="402" s="22" customFormat="1" ht="12.75">
      <c r="A402" s="60"/>
    </row>
    <row r="403" s="22" customFormat="1" ht="12.75">
      <c r="A403" s="60"/>
    </row>
    <row r="404" s="22" customFormat="1" ht="12.75">
      <c r="A404" s="60"/>
    </row>
    <row r="405" s="22" customFormat="1" ht="12.75">
      <c r="A405" s="60"/>
    </row>
    <row r="406" s="22" customFormat="1" ht="12.75">
      <c r="A406" s="60"/>
    </row>
    <row r="407" s="22" customFormat="1" ht="12.75">
      <c r="A407" s="60"/>
    </row>
    <row r="408" s="22" customFormat="1" ht="12.75">
      <c r="A408" s="60"/>
    </row>
    <row r="409" s="22" customFormat="1" ht="12.75">
      <c r="A409" s="60"/>
    </row>
    <row r="410" s="22" customFormat="1" ht="12.75">
      <c r="A410" s="60"/>
    </row>
    <row r="411" s="22" customFormat="1" ht="12.75">
      <c r="A411" s="60"/>
    </row>
    <row r="412" s="22" customFormat="1" ht="12.75">
      <c r="A412" s="60"/>
    </row>
    <row r="413" s="22" customFormat="1" ht="12.75">
      <c r="A413" s="60"/>
    </row>
    <row r="414" s="22" customFormat="1" ht="12.75">
      <c r="A414" s="60"/>
    </row>
    <row r="415" s="22" customFormat="1" ht="12.75">
      <c r="A415" s="60"/>
    </row>
    <row r="416" s="22" customFormat="1" ht="12.75">
      <c r="A416" s="60"/>
    </row>
    <row r="417" s="22" customFormat="1" ht="12.75">
      <c r="A417" s="60"/>
    </row>
    <row r="418" s="22" customFormat="1" ht="12.75">
      <c r="A418" s="60"/>
    </row>
    <row r="419" s="22" customFormat="1" ht="12.75">
      <c r="A419" s="60"/>
    </row>
    <row r="420" s="22" customFormat="1" ht="12.75">
      <c r="A420" s="60"/>
    </row>
    <row r="421" s="22" customFormat="1" ht="12.75">
      <c r="A421" s="60"/>
    </row>
    <row r="422" s="22" customFormat="1" ht="12.75">
      <c r="A422" s="60"/>
    </row>
    <row r="423" s="22" customFormat="1" ht="12.75">
      <c r="A423" s="60"/>
    </row>
    <row r="424" s="22" customFormat="1" ht="12.75">
      <c r="A424" s="60"/>
    </row>
    <row r="425" s="22" customFormat="1" ht="12.75">
      <c r="A425" s="60"/>
    </row>
    <row r="426" s="22" customFormat="1" ht="12.75">
      <c r="A426" s="60"/>
    </row>
    <row r="427" s="22" customFormat="1" ht="12.75">
      <c r="A427" s="60"/>
    </row>
    <row r="428" s="22" customFormat="1" ht="12.75">
      <c r="A428" s="60"/>
    </row>
    <row r="429" s="22" customFormat="1" ht="12.75">
      <c r="A429" s="60"/>
    </row>
    <row r="430" s="22" customFormat="1" ht="12.75">
      <c r="A430" s="60"/>
    </row>
    <row r="431" s="22" customFormat="1" ht="12.75">
      <c r="A431" s="60"/>
    </row>
    <row r="432" s="22" customFormat="1" ht="12.75">
      <c r="A432" s="60"/>
    </row>
    <row r="433" s="22" customFormat="1" ht="12.75">
      <c r="A433" s="60"/>
    </row>
    <row r="434" s="22" customFormat="1" ht="12.75">
      <c r="A434" s="60"/>
    </row>
    <row r="435" s="22" customFormat="1" ht="12.75">
      <c r="A435" s="60"/>
    </row>
    <row r="436" s="22" customFormat="1" ht="12.75">
      <c r="A436" s="60"/>
    </row>
    <row r="437" s="22" customFormat="1" ht="12.75">
      <c r="A437" s="60"/>
    </row>
    <row r="438" s="22" customFormat="1" ht="12.75">
      <c r="A438" s="60"/>
    </row>
    <row r="439" s="22" customFormat="1" ht="12.75">
      <c r="A439" s="60"/>
    </row>
    <row r="440" s="22" customFormat="1" ht="12.75">
      <c r="A440" s="60"/>
    </row>
    <row r="441" s="22" customFormat="1" ht="12.75">
      <c r="A441" s="60"/>
    </row>
    <row r="442" s="22" customFormat="1" ht="12.75">
      <c r="A442" s="60"/>
    </row>
    <row r="443" s="22" customFormat="1" ht="12.75">
      <c r="A443" s="60"/>
    </row>
    <row r="444" s="22" customFormat="1" ht="12.75">
      <c r="A444" s="60"/>
    </row>
    <row r="445" s="22" customFormat="1" ht="12.75">
      <c r="A445" s="60"/>
    </row>
    <row r="446" s="22" customFormat="1" ht="12.75">
      <c r="A446" s="60"/>
    </row>
    <row r="447" s="22" customFormat="1" ht="12.75">
      <c r="A447" s="60"/>
    </row>
    <row r="448" s="22" customFormat="1" ht="12.75">
      <c r="A448" s="60"/>
    </row>
    <row r="449" s="22" customFormat="1" ht="12.75">
      <c r="A449" s="60"/>
    </row>
    <row r="450" s="22" customFormat="1" ht="12.75">
      <c r="A450" s="60"/>
    </row>
    <row r="451" s="22" customFormat="1" ht="12.75">
      <c r="A451" s="60"/>
    </row>
    <row r="452" s="22" customFormat="1" ht="12.75">
      <c r="A452" s="60"/>
    </row>
    <row r="453" s="22" customFormat="1" ht="12.75">
      <c r="A453" s="60"/>
    </row>
    <row r="454" s="22" customFormat="1" ht="12.75">
      <c r="A454" s="60"/>
    </row>
    <row r="455" s="22" customFormat="1" ht="12.75">
      <c r="A455" s="60"/>
    </row>
    <row r="456" s="22" customFormat="1" ht="12.75">
      <c r="A456" s="60"/>
    </row>
    <row r="457" s="22" customFormat="1" ht="12.75">
      <c r="A457" s="60"/>
    </row>
    <row r="458" s="22" customFormat="1" ht="12.75">
      <c r="A458" s="60"/>
    </row>
    <row r="459" s="22" customFormat="1" ht="12.75">
      <c r="A459" s="60"/>
    </row>
    <row r="460" s="22" customFormat="1" ht="12.75">
      <c r="A460" s="60"/>
    </row>
    <row r="461" s="22" customFormat="1" ht="12.75">
      <c r="A461" s="60"/>
    </row>
    <row r="462" s="22" customFormat="1" ht="12.75">
      <c r="A462" s="60"/>
    </row>
    <row r="463" s="22" customFormat="1" ht="12.75">
      <c r="A463" s="60"/>
    </row>
    <row r="464" s="22" customFormat="1" ht="12.75">
      <c r="A464" s="60"/>
    </row>
    <row r="465" s="22" customFormat="1" ht="12.75">
      <c r="A465" s="60"/>
    </row>
    <row r="466" s="22" customFormat="1" ht="12.75">
      <c r="A466" s="60"/>
    </row>
    <row r="467" s="22" customFormat="1" ht="12.75">
      <c r="A467" s="60"/>
    </row>
    <row r="468" s="22" customFormat="1" ht="12.75">
      <c r="A468" s="60"/>
    </row>
    <row r="469" s="22" customFormat="1" ht="12.75">
      <c r="A469" s="60"/>
    </row>
    <row r="470" s="22" customFormat="1" ht="12.75">
      <c r="A470" s="60"/>
    </row>
    <row r="471" s="22" customFormat="1" ht="12.75">
      <c r="A471" s="60"/>
    </row>
    <row r="472" s="22" customFormat="1" ht="12.75">
      <c r="A472" s="60"/>
    </row>
    <row r="473" s="22" customFormat="1" ht="12.75">
      <c r="A473" s="60"/>
    </row>
    <row r="474" s="22" customFormat="1" ht="12.75">
      <c r="A474" s="60"/>
    </row>
    <row r="475" s="22" customFormat="1" ht="12.75">
      <c r="A475" s="60"/>
    </row>
    <row r="476" s="22" customFormat="1" ht="12.75">
      <c r="A476" s="60"/>
    </row>
    <row r="477" s="22" customFormat="1" ht="12.75">
      <c r="A477" s="60"/>
    </row>
    <row r="478" s="22" customFormat="1" ht="12.75">
      <c r="A478" s="60"/>
    </row>
    <row r="479" s="22" customFormat="1" ht="12.75">
      <c r="A479" s="60"/>
    </row>
    <row r="480" s="22" customFormat="1" ht="12.75">
      <c r="A480" s="60"/>
    </row>
    <row r="481" s="22" customFormat="1" ht="12.75">
      <c r="A481" s="60"/>
    </row>
    <row r="482" s="22" customFormat="1" ht="12.75">
      <c r="A482" s="60"/>
    </row>
    <row r="483" s="22" customFormat="1" ht="12.75">
      <c r="A483" s="60"/>
    </row>
    <row r="484" s="22" customFormat="1" ht="12.75">
      <c r="A484" s="60"/>
    </row>
    <row r="485" s="22" customFormat="1" ht="12.75">
      <c r="A485" s="60"/>
    </row>
    <row r="486" s="22" customFormat="1" ht="12.75">
      <c r="A486" s="60"/>
    </row>
    <row r="487" s="22" customFormat="1" ht="12.75">
      <c r="A487" s="60"/>
    </row>
    <row r="488" s="22" customFormat="1" ht="12.75">
      <c r="A488" s="60"/>
    </row>
    <row r="489" s="22" customFormat="1" ht="12.75">
      <c r="A489" s="60"/>
    </row>
    <row r="490" s="22" customFormat="1" ht="12.75">
      <c r="A490" s="60"/>
    </row>
    <row r="491" s="22" customFormat="1" ht="12.75">
      <c r="A491" s="60"/>
    </row>
    <row r="492" s="22" customFormat="1" ht="12.75">
      <c r="A492" s="60"/>
    </row>
    <row r="493" s="22" customFormat="1" ht="12.75">
      <c r="A493" s="60"/>
    </row>
    <row r="494" s="22" customFormat="1" ht="12.75">
      <c r="A494" s="60"/>
    </row>
    <row r="495" s="22" customFormat="1" ht="12.75">
      <c r="A495" s="60"/>
    </row>
    <row r="496" s="22" customFormat="1" ht="12.75">
      <c r="A496" s="60"/>
    </row>
    <row r="497" s="22" customFormat="1" ht="12.75">
      <c r="A497" s="60"/>
    </row>
    <row r="498" s="22" customFormat="1" ht="12.75">
      <c r="A498" s="60"/>
    </row>
    <row r="499" s="22" customFormat="1" ht="12.75">
      <c r="A499" s="60"/>
    </row>
    <row r="500" s="22" customFormat="1" ht="12.75">
      <c r="A500" s="60"/>
    </row>
    <row r="501" s="22" customFormat="1" ht="12.75">
      <c r="A501" s="60"/>
    </row>
    <row r="502" s="22" customFormat="1" ht="12.75">
      <c r="A502" s="60"/>
    </row>
    <row r="503" s="22" customFormat="1" ht="12.75">
      <c r="A503" s="60"/>
    </row>
    <row r="504" s="22" customFormat="1" ht="12.75">
      <c r="A504" s="60"/>
    </row>
    <row r="505" s="22" customFormat="1" ht="12.75">
      <c r="A505" s="60"/>
    </row>
    <row r="506" s="22" customFormat="1" ht="12.75">
      <c r="A506" s="60"/>
    </row>
    <row r="507" s="22" customFormat="1" ht="12.75">
      <c r="A507" s="60"/>
    </row>
    <row r="508" s="22" customFormat="1" ht="12.75">
      <c r="A508" s="60"/>
    </row>
    <row r="509" s="22" customFormat="1" ht="12.75">
      <c r="A509" s="60"/>
    </row>
    <row r="510" s="22" customFormat="1" ht="12.75">
      <c r="A510" s="60"/>
    </row>
    <row r="511" s="22" customFormat="1" ht="12.75">
      <c r="A511" s="60"/>
    </row>
    <row r="512" s="22" customFormat="1" ht="12.75">
      <c r="A512" s="60"/>
    </row>
    <row r="513" s="22" customFormat="1" ht="12.75">
      <c r="A513" s="60"/>
    </row>
    <row r="514" s="22" customFormat="1" ht="12.75">
      <c r="A514" s="60"/>
    </row>
    <row r="515" s="22" customFormat="1" ht="12.75">
      <c r="A515" s="60"/>
    </row>
    <row r="516" s="22" customFormat="1" ht="12.75">
      <c r="A516" s="60"/>
    </row>
    <row r="517" s="22" customFormat="1" ht="12.75">
      <c r="A517" s="60"/>
    </row>
    <row r="518" s="22" customFormat="1" ht="12.75">
      <c r="A518" s="60"/>
    </row>
    <row r="519" s="22" customFormat="1" ht="12.75">
      <c r="A519" s="60"/>
    </row>
    <row r="520" s="22" customFormat="1" ht="12.75">
      <c r="A520" s="60"/>
    </row>
    <row r="521" s="22" customFormat="1" ht="12.75">
      <c r="A521" s="60"/>
    </row>
    <row r="522" s="22" customFormat="1" ht="12.75">
      <c r="A522" s="60"/>
    </row>
    <row r="523" s="22" customFormat="1" ht="12.75">
      <c r="A523" s="60"/>
    </row>
    <row r="524" s="22" customFormat="1" ht="12.75">
      <c r="A524" s="60"/>
    </row>
    <row r="525" s="22" customFormat="1" ht="12.75">
      <c r="A525" s="60"/>
    </row>
    <row r="526" s="22" customFormat="1" ht="12.75">
      <c r="A526" s="60"/>
    </row>
    <row r="527" s="22" customFormat="1" ht="12.75">
      <c r="A527" s="60"/>
    </row>
    <row r="528" s="22" customFormat="1" ht="12.75">
      <c r="A528" s="60"/>
    </row>
    <row r="529" s="22" customFormat="1" ht="12.75">
      <c r="A529" s="60"/>
    </row>
    <row r="530" s="22" customFormat="1" ht="12.75">
      <c r="A530" s="60"/>
    </row>
    <row r="531" s="22" customFormat="1" ht="12.75">
      <c r="A531" s="60"/>
    </row>
    <row r="532" s="22" customFormat="1" ht="12.75">
      <c r="A532" s="60"/>
    </row>
    <row r="533" s="22" customFormat="1" ht="12.75">
      <c r="A533" s="60"/>
    </row>
    <row r="534" s="22" customFormat="1" ht="12.75">
      <c r="A534" s="60"/>
    </row>
    <row r="535" s="22" customFormat="1" ht="12.75">
      <c r="A535" s="60"/>
    </row>
    <row r="536" s="22" customFormat="1" ht="12.75">
      <c r="A536" s="60"/>
    </row>
    <row r="537" s="22" customFormat="1" ht="12.75">
      <c r="A537" s="60"/>
    </row>
    <row r="538" s="22" customFormat="1" ht="12.75">
      <c r="A538" s="60"/>
    </row>
    <row r="539" s="22" customFormat="1" ht="12.75">
      <c r="A539" s="60"/>
    </row>
  </sheetData>
  <mergeCells count="12">
    <mergeCell ref="G1:I1"/>
    <mergeCell ref="A4:M4"/>
    <mergeCell ref="L1:N1"/>
    <mergeCell ref="L2:N2"/>
    <mergeCell ref="G2:I2"/>
    <mergeCell ref="G3:I3"/>
    <mergeCell ref="M5:N5"/>
    <mergeCell ref="A6:A7"/>
    <mergeCell ref="B6:B7"/>
    <mergeCell ref="H6:M6"/>
    <mergeCell ref="N6:N7"/>
    <mergeCell ref="C6:G6"/>
  </mergeCells>
  <printOptions/>
  <pageMargins left="0.9055118110236221" right="0.34" top="0.49" bottom="0.31" header="0.41" footer="0.29"/>
  <pageSetup fitToHeight="22" horizontalDpi="300" verticalDpi="3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P80"/>
  <sheetViews>
    <sheetView showZeros="0" view="pageBreakPreview" zoomScale="75" zoomScaleNormal="75" zoomScaleSheetLayoutView="75" workbookViewId="0" topLeftCell="A5">
      <pane xSplit="2" ySplit="6" topLeftCell="F59" activePane="bottomRight" state="frozen"/>
      <selection pane="topLeft" activeCell="A5" sqref="A5"/>
      <selection pane="topRight" activeCell="C5" sqref="C5"/>
      <selection pane="bottomLeft" activeCell="A11" sqref="A11"/>
      <selection pane="bottomRight" activeCell="H73" sqref="H73"/>
    </sheetView>
  </sheetViews>
  <sheetFormatPr defaultColWidth="9.00390625" defaultRowHeight="12.75"/>
  <cols>
    <col min="1" max="1" width="8.00390625" style="17" customWidth="1"/>
    <col min="2" max="2" width="38.75390625" style="17" customWidth="1"/>
    <col min="3" max="3" width="12.125" style="17" customWidth="1"/>
    <col min="4" max="5" width="11.875" style="17" customWidth="1"/>
    <col min="6" max="6" width="9.875" style="17" customWidth="1"/>
    <col min="7" max="7" width="11.25390625" style="17" customWidth="1"/>
    <col min="8" max="8" width="13.25390625" style="17" customWidth="1"/>
    <col min="9" max="9" width="12.875" style="17" customWidth="1"/>
    <col min="10" max="10" width="11.875" style="17" customWidth="1"/>
    <col min="11" max="11" width="10.125" style="17" customWidth="1"/>
    <col min="12" max="12" width="11.625" style="17" customWidth="1"/>
    <col min="13" max="13" width="10.875" style="17" customWidth="1"/>
    <col min="14" max="14" width="13.375" style="17" customWidth="1"/>
    <col min="15" max="16384" width="9.125" style="17" customWidth="1"/>
  </cols>
  <sheetData>
    <row r="1" spans="12:14" ht="18">
      <c r="L1" s="196" t="s">
        <v>325</v>
      </c>
      <c r="M1" s="196"/>
      <c r="N1" s="196"/>
    </row>
    <row r="2" spans="12:14" ht="18">
      <c r="L2" s="196" t="s">
        <v>158</v>
      </c>
      <c r="M2" s="196"/>
      <c r="N2" s="196"/>
    </row>
    <row r="3" spans="12:14" ht="18">
      <c r="L3" s="196" t="s">
        <v>159</v>
      </c>
      <c r="M3" s="196"/>
      <c r="N3" s="196"/>
    </row>
    <row r="4" ht="21" customHeight="1">
      <c r="L4" s="48"/>
    </row>
    <row r="5" spans="1:13" ht="18">
      <c r="A5" s="197" t="s">
        <v>11</v>
      </c>
      <c r="B5" s="197"/>
      <c r="C5" s="197"/>
      <c r="D5" s="197"/>
      <c r="E5" s="197"/>
      <c r="F5" s="197"/>
      <c r="G5" s="197"/>
      <c r="H5" s="197"/>
      <c r="I5" s="197"/>
      <c r="J5" s="197"/>
      <c r="K5" s="197"/>
      <c r="L5" s="197"/>
      <c r="M5" s="197"/>
    </row>
    <row r="6" ht="15.75" customHeight="1"/>
    <row r="7" spans="12:13" ht="16.5" customHeight="1">
      <c r="L7" s="187" t="s">
        <v>379</v>
      </c>
      <c r="M7" s="187"/>
    </row>
    <row r="8" spans="1:14" ht="12.75">
      <c r="A8" s="188" t="s">
        <v>339</v>
      </c>
      <c r="B8" s="189" t="s">
        <v>338</v>
      </c>
      <c r="C8" s="194" t="s">
        <v>16</v>
      </c>
      <c r="D8" s="194"/>
      <c r="E8" s="194"/>
      <c r="F8" s="194"/>
      <c r="G8" s="194"/>
      <c r="H8" s="194" t="s">
        <v>17</v>
      </c>
      <c r="I8" s="194"/>
      <c r="J8" s="194"/>
      <c r="K8" s="194"/>
      <c r="L8" s="194"/>
      <c r="M8" s="194"/>
      <c r="N8" s="194" t="s">
        <v>97</v>
      </c>
    </row>
    <row r="9" spans="1:14" ht="51">
      <c r="A9" s="188"/>
      <c r="B9" s="190"/>
      <c r="C9" s="19" t="s">
        <v>18</v>
      </c>
      <c r="D9" s="18" t="s">
        <v>19</v>
      </c>
      <c r="E9" s="18" t="s">
        <v>20</v>
      </c>
      <c r="F9" s="18" t="s">
        <v>21</v>
      </c>
      <c r="G9" s="18" t="s">
        <v>22</v>
      </c>
      <c r="H9" s="19" t="s">
        <v>18</v>
      </c>
      <c r="I9" s="18" t="s">
        <v>19</v>
      </c>
      <c r="J9" s="18" t="s">
        <v>20</v>
      </c>
      <c r="K9" s="18" t="s">
        <v>21</v>
      </c>
      <c r="L9" s="18" t="s">
        <v>22</v>
      </c>
      <c r="M9" s="18" t="s">
        <v>23</v>
      </c>
      <c r="N9" s="194"/>
    </row>
    <row r="10" spans="1:14" ht="12.75">
      <c r="A10" s="46">
        <v>1</v>
      </c>
      <c r="B10" s="14">
        <v>2</v>
      </c>
      <c r="C10" s="14">
        <v>3</v>
      </c>
      <c r="D10" s="14">
        <v>4</v>
      </c>
      <c r="E10" s="14">
        <v>5</v>
      </c>
      <c r="F10" s="14">
        <v>6</v>
      </c>
      <c r="G10" s="14">
        <v>7</v>
      </c>
      <c r="H10" s="14">
        <v>8</v>
      </c>
      <c r="I10" s="14">
        <v>9</v>
      </c>
      <c r="J10" s="14">
        <v>10</v>
      </c>
      <c r="K10" s="14">
        <v>11</v>
      </c>
      <c r="L10" s="14">
        <v>12</v>
      </c>
      <c r="M10" s="14">
        <v>13</v>
      </c>
      <c r="N10" s="12">
        <v>14</v>
      </c>
    </row>
    <row r="11" spans="1:14" s="125" customFormat="1" ht="12.75">
      <c r="A11" s="124" t="s">
        <v>276</v>
      </c>
      <c r="B11" s="126" t="s">
        <v>366</v>
      </c>
      <c r="C11" s="160">
        <f>D11+G11</f>
        <v>26621626</v>
      </c>
      <c r="D11" s="160">
        <f>D12+D13+D18+D19+D20</f>
        <v>26621626</v>
      </c>
      <c r="E11" s="160">
        <f>E12+E13+E18+E19+E20</f>
        <v>16608768</v>
      </c>
      <c r="F11" s="160">
        <f>F12+F13+F18+F19+F20</f>
        <v>1831774</v>
      </c>
      <c r="G11" s="160">
        <f>G12+G13+G18+G19+G20</f>
        <v>0</v>
      </c>
      <c r="H11" s="160">
        <f>I11+L11</f>
        <v>1679773</v>
      </c>
      <c r="I11" s="160">
        <f>I12+I13+I18+I19+I20</f>
        <v>1522673</v>
      </c>
      <c r="J11" s="160">
        <f>J12+J13+J18+J19+J20</f>
        <v>578500</v>
      </c>
      <c r="K11" s="160">
        <f>K12+K13+K18+K19+K20</f>
        <v>187974</v>
      </c>
      <c r="L11" s="160">
        <f>L12+L13+L18+L19+L20</f>
        <v>157100</v>
      </c>
      <c r="M11" s="160">
        <f>M12+M13+M18+M19+M20</f>
        <v>0</v>
      </c>
      <c r="N11" s="159">
        <f>C11+H11</f>
        <v>28301399</v>
      </c>
    </row>
    <row r="12" spans="1:14" ht="12.75">
      <c r="A12" s="46" t="s">
        <v>24</v>
      </c>
      <c r="B12" s="20" t="s">
        <v>25</v>
      </c>
      <c r="C12" s="148">
        <f aca="true" t="shared" si="0" ref="C12:C75">D12+G12</f>
        <v>1404886</v>
      </c>
      <c r="D12" s="148">
        <f>1414719+2615-12448</f>
        <v>1404886</v>
      </c>
      <c r="E12" s="148">
        <f>829612-9140</f>
        <v>820472</v>
      </c>
      <c r="F12" s="148">
        <v>99074</v>
      </c>
      <c r="G12" s="148"/>
      <c r="H12" s="148">
        <f aca="true" t="shared" si="1" ref="H12:H75">I12+L12</f>
        <v>78068</v>
      </c>
      <c r="I12" s="148">
        <v>72968</v>
      </c>
      <c r="J12" s="148"/>
      <c r="K12" s="148">
        <v>62868</v>
      </c>
      <c r="L12" s="148">
        <v>5100</v>
      </c>
      <c r="M12" s="148"/>
      <c r="N12" s="147">
        <f aca="true" t="shared" si="2" ref="N12:N75">C12+H12</f>
        <v>1482954</v>
      </c>
    </row>
    <row r="13" spans="1:14" ht="15.75" customHeight="1">
      <c r="A13" s="46" t="s">
        <v>35</v>
      </c>
      <c r="B13" s="20" t="s">
        <v>116</v>
      </c>
      <c r="C13" s="148">
        <f t="shared" si="0"/>
        <v>25131200</v>
      </c>
      <c r="D13" s="148">
        <f>D14+D15+D17+D16</f>
        <v>25131200</v>
      </c>
      <c r="E13" s="148">
        <f aca="true" t="shared" si="3" ref="E13:M13">E14+E15+E17+E16</f>
        <v>15788296</v>
      </c>
      <c r="F13" s="148">
        <f t="shared" si="3"/>
        <v>1732700</v>
      </c>
      <c r="G13" s="148">
        <f t="shared" si="3"/>
        <v>0</v>
      </c>
      <c r="H13" s="148">
        <f t="shared" si="3"/>
        <v>1396705</v>
      </c>
      <c r="I13" s="148">
        <f t="shared" si="3"/>
        <v>1339705</v>
      </c>
      <c r="J13" s="148">
        <f t="shared" si="3"/>
        <v>578500</v>
      </c>
      <c r="K13" s="148">
        <f t="shared" si="3"/>
        <v>125106</v>
      </c>
      <c r="L13" s="148">
        <f t="shared" si="3"/>
        <v>57000</v>
      </c>
      <c r="M13" s="148">
        <f t="shared" si="3"/>
        <v>0</v>
      </c>
      <c r="N13" s="147">
        <f t="shared" si="2"/>
        <v>26527905</v>
      </c>
    </row>
    <row r="14" spans="1:14" ht="15.75" customHeight="1">
      <c r="A14" s="46" t="s">
        <v>37</v>
      </c>
      <c r="B14" s="20" t="s">
        <v>312</v>
      </c>
      <c r="C14" s="148">
        <f t="shared" si="0"/>
        <v>19113213</v>
      </c>
      <c r="D14" s="148">
        <f>19085213+28000</f>
        <v>19113213</v>
      </c>
      <c r="E14" s="153">
        <v>12013375</v>
      </c>
      <c r="F14" s="148">
        <v>1388015</v>
      </c>
      <c r="G14" s="148"/>
      <c r="H14" s="148">
        <f t="shared" si="1"/>
        <v>547786</v>
      </c>
      <c r="I14" s="148">
        <v>520786</v>
      </c>
      <c r="J14" s="148">
        <v>169500</v>
      </c>
      <c r="K14" s="148">
        <v>91700</v>
      </c>
      <c r="L14" s="148">
        <v>27000</v>
      </c>
      <c r="M14" s="148"/>
      <c r="N14" s="147">
        <f t="shared" si="2"/>
        <v>19660999</v>
      </c>
    </row>
    <row r="15" spans="1:14" ht="15.75" customHeight="1">
      <c r="A15" s="46" t="s">
        <v>88</v>
      </c>
      <c r="B15" s="20" t="s">
        <v>89</v>
      </c>
      <c r="C15" s="148">
        <f t="shared" si="0"/>
        <v>2503084</v>
      </c>
      <c r="D15" s="148">
        <v>2503084</v>
      </c>
      <c r="E15" s="148">
        <v>1563901</v>
      </c>
      <c r="F15" s="148">
        <v>250055</v>
      </c>
      <c r="G15" s="148"/>
      <c r="H15" s="148">
        <f t="shared" si="1"/>
        <v>16406</v>
      </c>
      <c r="I15" s="148">
        <v>16406</v>
      </c>
      <c r="J15" s="148"/>
      <c r="K15" s="148">
        <v>15206</v>
      </c>
      <c r="L15" s="148"/>
      <c r="M15" s="148"/>
      <c r="N15" s="147">
        <f t="shared" si="2"/>
        <v>2519490</v>
      </c>
    </row>
    <row r="16" spans="1:14" ht="16.5" customHeight="1">
      <c r="A16" s="45" t="s">
        <v>39</v>
      </c>
      <c r="B16" s="53" t="s">
        <v>120</v>
      </c>
      <c r="C16" s="148">
        <f>D16+G16</f>
        <v>2034596</v>
      </c>
      <c r="D16" s="154">
        <v>2034596</v>
      </c>
      <c r="E16" s="148">
        <v>1414089</v>
      </c>
      <c r="F16" s="148">
        <v>25061</v>
      </c>
      <c r="G16" s="148"/>
      <c r="H16" s="148">
        <f>I16+L16</f>
        <v>2013</v>
      </c>
      <c r="I16" s="148">
        <v>2013</v>
      </c>
      <c r="J16" s="148"/>
      <c r="K16" s="148"/>
      <c r="L16" s="148"/>
      <c r="M16" s="148"/>
      <c r="N16" s="147">
        <f>C16+H16</f>
        <v>2036609</v>
      </c>
    </row>
    <row r="17" spans="1:14" ht="25.5">
      <c r="A17" s="46" t="s">
        <v>41</v>
      </c>
      <c r="B17" s="20" t="s">
        <v>42</v>
      </c>
      <c r="C17" s="148">
        <f t="shared" si="0"/>
        <v>1480307</v>
      </c>
      <c r="D17" s="154">
        <v>1480307</v>
      </c>
      <c r="E17" s="148">
        <v>796931</v>
      </c>
      <c r="F17" s="148">
        <v>69569</v>
      </c>
      <c r="G17" s="148"/>
      <c r="H17" s="148">
        <f t="shared" si="1"/>
        <v>830500</v>
      </c>
      <c r="I17" s="148">
        <v>800500</v>
      </c>
      <c r="J17" s="148">
        <v>409000</v>
      </c>
      <c r="K17" s="148">
        <v>18200</v>
      </c>
      <c r="L17" s="148">
        <v>30000</v>
      </c>
      <c r="M17" s="148"/>
      <c r="N17" s="147">
        <f t="shared" si="2"/>
        <v>2310807</v>
      </c>
    </row>
    <row r="18" spans="1:14" ht="40.5" customHeight="1" hidden="1">
      <c r="A18" s="46" t="s">
        <v>167</v>
      </c>
      <c r="B18" s="80" t="s">
        <v>239</v>
      </c>
      <c r="C18" s="148">
        <f t="shared" si="0"/>
        <v>0</v>
      </c>
      <c r="D18" s="148"/>
      <c r="E18" s="148"/>
      <c r="F18" s="148"/>
      <c r="G18" s="148"/>
      <c r="H18" s="148">
        <f t="shared" si="1"/>
        <v>0</v>
      </c>
      <c r="I18" s="148"/>
      <c r="J18" s="148"/>
      <c r="K18" s="148"/>
      <c r="L18" s="148"/>
      <c r="M18" s="148"/>
      <c r="N18" s="147">
        <f t="shared" si="2"/>
        <v>0</v>
      </c>
    </row>
    <row r="19" spans="1:14" ht="12.75">
      <c r="A19" s="49" t="s">
        <v>71</v>
      </c>
      <c r="B19" s="20" t="s">
        <v>93</v>
      </c>
      <c r="C19" s="148">
        <f t="shared" si="0"/>
        <v>0</v>
      </c>
      <c r="D19" s="148"/>
      <c r="E19" s="148"/>
      <c r="F19" s="148"/>
      <c r="G19" s="148"/>
      <c r="H19" s="148">
        <f t="shared" si="1"/>
        <v>205000</v>
      </c>
      <c r="I19" s="148">
        <v>110000</v>
      </c>
      <c r="J19" s="148"/>
      <c r="K19" s="148"/>
      <c r="L19" s="148">
        <v>95000</v>
      </c>
      <c r="M19" s="148"/>
      <c r="N19" s="147">
        <f t="shared" si="2"/>
        <v>205000</v>
      </c>
    </row>
    <row r="20" spans="1:14" ht="12.75">
      <c r="A20" s="49" t="s">
        <v>73</v>
      </c>
      <c r="B20" s="80" t="s">
        <v>74</v>
      </c>
      <c r="C20" s="148">
        <f t="shared" si="0"/>
        <v>85540</v>
      </c>
      <c r="D20" s="148">
        <f>D21+D22+D23</f>
        <v>85540</v>
      </c>
      <c r="E20" s="148">
        <f>E21+E22+E23</f>
        <v>0</v>
      </c>
      <c r="F20" s="148">
        <f>F21+F22+F23</f>
        <v>0</v>
      </c>
      <c r="G20" s="148">
        <f>G21+G22+G23</f>
        <v>0</v>
      </c>
      <c r="H20" s="148">
        <f t="shared" si="1"/>
        <v>0</v>
      </c>
      <c r="I20" s="148">
        <f>I21+I22+I23</f>
        <v>0</v>
      </c>
      <c r="J20" s="148">
        <f>J21+J22+J23</f>
        <v>0</v>
      </c>
      <c r="K20" s="148">
        <f>K21+K22+K23</f>
        <v>0</v>
      </c>
      <c r="L20" s="148">
        <f>L21+L22+L23</f>
        <v>0</v>
      </c>
      <c r="M20" s="148">
        <f>M21+M22+M23</f>
        <v>0</v>
      </c>
      <c r="N20" s="147">
        <f t="shared" si="2"/>
        <v>85540</v>
      </c>
    </row>
    <row r="21" spans="1:14" ht="28.5" customHeight="1">
      <c r="A21" s="49"/>
      <c r="B21" s="80" t="s">
        <v>255</v>
      </c>
      <c r="C21" s="148">
        <f t="shared" si="0"/>
        <v>53040</v>
      </c>
      <c r="D21" s="148">
        <v>53040</v>
      </c>
      <c r="E21" s="148"/>
      <c r="F21" s="148"/>
      <c r="G21" s="148"/>
      <c r="H21" s="148">
        <f t="shared" si="1"/>
        <v>0</v>
      </c>
      <c r="I21" s="148"/>
      <c r="J21" s="148"/>
      <c r="K21" s="148"/>
      <c r="L21" s="148"/>
      <c r="M21" s="148"/>
      <c r="N21" s="147">
        <f t="shared" si="2"/>
        <v>53040</v>
      </c>
    </row>
    <row r="22" spans="1:14" ht="30.75" customHeight="1">
      <c r="A22" s="49"/>
      <c r="B22" s="80" t="s">
        <v>254</v>
      </c>
      <c r="C22" s="148">
        <f t="shared" si="0"/>
        <v>32500</v>
      </c>
      <c r="D22" s="162">
        <v>32500</v>
      </c>
      <c r="E22" s="148"/>
      <c r="F22" s="148"/>
      <c r="G22" s="148"/>
      <c r="H22" s="148">
        <f t="shared" si="1"/>
        <v>0</v>
      </c>
      <c r="I22" s="148"/>
      <c r="J22" s="148"/>
      <c r="K22" s="148"/>
      <c r="L22" s="148"/>
      <c r="M22" s="148"/>
      <c r="N22" s="147">
        <f t="shared" si="2"/>
        <v>32500</v>
      </c>
    </row>
    <row r="23" spans="1:14" ht="29.25" customHeight="1" hidden="1">
      <c r="A23" s="49"/>
      <c r="B23" s="80" t="s">
        <v>244</v>
      </c>
      <c r="C23" s="148">
        <f t="shared" si="0"/>
        <v>0</v>
      </c>
      <c r="D23" s="148"/>
      <c r="E23" s="148"/>
      <c r="F23" s="148"/>
      <c r="G23" s="148"/>
      <c r="H23" s="148">
        <f t="shared" si="1"/>
        <v>0</v>
      </c>
      <c r="I23" s="148"/>
      <c r="J23" s="148"/>
      <c r="K23" s="148"/>
      <c r="L23" s="148"/>
      <c r="M23" s="148"/>
      <c r="N23" s="147">
        <f t="shared" si="2"/>
        <v>0</v>
      </c>
    </row>
    <row r="24" spans="1:14" s="125" customFormat="1" ht="25.5">
      <c r="A24" s="124" t="s">
        <v>280</v>
      </c>
      <c r="B24" s="132" t="s">
        <v>367</v>
      </c>
      <c r="C24" s="160">
        <f>D24+G24</f>
        <v>38189477</v>
      </c>
      <c r="D24" s="160">
        <f>D25+D26+D35</f>
        <v>38189477</v>
      </c>
      <c r="E24" s="160">
        <f>E25+E26+E35</f>
        <v>23100786</v>
      </c>
      <c r="F24" s="160">
        <f>F25+F26+F35</f>
        <v>3030325</v>
      </c>
      <c r="G24" s="160">
        <f>G25+G26+G35</f>
        <v>0</v>
      </c>
      <c r="H24" s="160">
        <f t="shared" si="1"/>
        <v>2368693</v>
      </c>
      <c r="I24" s="160">
        <f>I25+I26</f>
        <v>2368693</v>
      </c>
      <c r="J24" s="160">
        <f>J25+J26</f>
        <v>395000</v>
      </c>
      <c r="K24" s="160">
        <f>K25+K26</f>
        <v>54466</v>
      </c>
      <c r="L24" s="160">
        <f>L25+L26</f>
        <v>0</v>
      </c>
      <c r="M24" s="160">
        <f>M25+M26</f>
        <v>0</v>
      </c>
      <c r="N24" s="159">
        <f t="shared" si="2"/>
        <v>40558170</v>
      </c>
    </row>
    <row r="25" spans="1:14" ht="14.25" customHeight="1">
      <c r="A25" s="46" t="s">
        <v>24</v>
      </c>
      <c r="B25" s="20" t="s">
        <v>25</v>
      </c>
      <c r="C25" s="148">
        <f t="shared" si="0"/>
        <v>120707</v>
      </c>
      <c r="D25" s="148">
        <v>120707</v>
      </c>
      <c r="E25" s="148">
        <v>84776</v>
      </c>
      <c r="F25" s="148"/>
      <c r="G25" s="148"/>
      <c r="H25" s="148">
        <f t="shared" si="1"/>
        <v>0</v>
      </c>
      <c r="I25" s="148"/>
      <c r="J25" s="148"/>
      <c r="K25" s="148"/>
      <c r="L25" s="148"/>
      <c r="M25" s="148"/>
      <c r="N25" s="147">
        <f t="shared" si="2"/>
        <v>120707</v>
      </c>
    </row>
    <row r="26" spans="1:14" ht="12.75">
      <c r="A26" s="46" t="s">
        <v>26</v>
      </c>
      <c r="B26" s="20" t="s">
        <v>27</v>
      </c>
      <c r="C26" s="148">
        <f t="shared" si="0"/>
        <v>38060000</v>
      </c>
      <c r="D26" s="148">
        <f>D27+D28+D30+D31+D32+D29+D33+D34</f>
        <v>38060000</v>
      </c>
      <c r="E26" s="148">
        <f>E27+E28+E30+E31+E32+E29+E33+E34</f>
        <v>23016010</v>
      </c>
      <c r="F26" s="148">
        <f>F27+F28+F30+F31+F32+F29+F33+F34</f>
        <v>3030325</v>
      </c>
      <c r="G26" s="148">
        <f>G27+G28+G30+G31+G32+G29+G33+G34</f>
        <v>0</v>
      </c>
      <c r="H26" s="148">
        <f t="shared" si="1"/>
        <v>2368693</v>
      </c>
      <c r="I26" s="148">
        <f>I27+I28+I30+I31+I32+I29+I33+I34</f>
        <v>2368693</v>
      </c>
      <c r="J26" s="148">
        <f>J27+J28+J30+J31+J32+J29+J33+J34</f>
        <v>395000</v>
      </c>
      <c r="K26" s="148">
        <f>K27+K28+K30+K31+K32+K29+K33+K34</f>
        <v>54466</v>
      </c>
      <c r="L26" s="148">
        <f>L27+L28+L30+L31+L32+L29+L33+L34</f>
        <v>0</v>
      </c>
      <c r="M26" s="148">
        <f>M27+M28+M30+M31+M32+M29</f>
        <v>0</v>
      </c>
      <c r="N26" s="147">
        <f t="shared" si="2"/>
        <v>40428693</v>
      </c>
    </row>
    <row r="27" spans="1:14" ht="12.75">
      <c r="A27" s="119" t="s">
        <v>82</v>
      </c>
      <c r="B27" s="80" t="s">
        <v>78</v>
      </c>
      <c r="C27" s="148">
        <f t="shared" si="0"/>
        <v>12363583</v>
      </c>
      <c r="D27" s="148">
        <v>12363583</v>
      </c>
      <c r="E27" s="148">
        <v>6684484</v>
      </c>
      <c r="F27" s="148">
        <v>1152662</v>
      </c>
      <c r="G27" s="148"/>
      <c r="H27" s="148">
        <f t="shared" si="1"/>
        <v>1439201</v>
      </c>
      <c r="I27" s="148">
        <v>1439201</v>
      </c>
      <c r="J27" s="148">
        <v>20000</v>
      </c>
      <c r="K27" s="148">
        <v>1392</v>
      </c>
      <c r="L27" s="148"/>
      <c r="M27" s="148"/>
      <c r="N27" s="147">
        <f t="shared" si="2"/>
        <v>13802784</v>
      </c>
    </row>
    <row r="28" spans="1:14" ht="51">
      <c r="A28" s="119" t="s">
        <v>28</v>
      </c>
      <c r="B28" s="16" t="s">
        <v>294</v>
      </c>
      <c r="C28" s="148">
        <f t="shared" si="0"/>
        <v>24659822</v>
      </c>
      <c r="D28" s="148">
        <v>24659822</v>
      </c>
      <c r="E28" s="148">
        <v>15664055</v>
      </c>
      <c r="F28" s="148">
        <v>1875771</v>
      </c>
      <c r="G28" s="148"/>
      <c r="H28" s="148">
        <f t="shared" si="1"/>
        <v>875682</v>
      </c>
      <c r="I28" s="148">
        <v>875682</v>
      </c>
      <c r="J28" s="148">
        <v>375000</v>
      </c>
      <c r="K28" s="148">
        <v>52164</v>
      </c>
      <c r="L28" s="148"/>
      <c r="M28" s="148"/>
      <c r="N28" s="147">
        <f t="shared" si="2"/>
        <v>25535504</v>
      </c>
    </row>
    <row r="29" spans="1:14" ht="51" hidden="1">
      <c r="A29" s="45" t="s">
        <v>389</v>
      </c>
      <c r="B29" s="52" t="s">
        <v>390</v>
      </c>
      <c r="C29" s="148">
        <f t="shared" si="0"/>
        <v>0</v>
      </c>
      <c r="D29" s="148"/>
      <c r="E29" s="148"/>
      <c r="F29" s="148"/>
      <c r="G29" s="148"/>
      <c r="H29" s="148">
        <f t="shared" si="1"/>
        <v>0</v>
      </c>
      <c r="I29" s="148"/>
      <c r="J29" s="148"/>
      <c r="K29" s="148"/>
      <c r="L29" s="148"/>
      <c r="M29" s="148"/>
      <c r="N29" s="147">
        <f t="shared" si="2"/>
        <v>0</v>
      </c>
    </row>
    <row r="30" spans="1:14" ht="25.5">
      <c r="A30" s="119" t="s">
        <v>31</v>
      </c>
      <c r="B30" s="108" t="s">
        <v>295</v>
      </c>
      <c r="C30" s="148">
        <f t="shared" si="0"/>
        <v>233053</v>
      </c>
      <c r="D30" s="148">
        <v>233053</v>
      </c>
      <c r="E30" s="148">
        <v>167798</v>
      </c>
      <c r="F30" s="148"/>
      <c r="G30" s="148"/>
      <c r="H30" s="148">
        <f t="shared" si="1"/>
        <v>0</v>
      </c>
      <c r="I30" s="148"/>
      <c r="J30" s="148"/>
      <c r="K30" s="148"/>
      <c r="L30" s="148"/>
      <c r="M30" s="148"/>
      <c r="N30" s="147">
        <f t="shared" si="2"/>
        <v>233053</v>
      </c>
    </row>
    <row r="31" spans="1:14" ht="25.5">
      <c r="A31" s="119" t="s">
        <v>32</v>
      </c>
      <c r="B31" s="80" t="s">
        <v>296</v>
      </c>
      <c r="C31" s="148">
        <f t="shared" si="0"/>
        <v>534114</v>
      </c>
      <c r="D31" s="148">
        <v>534114</v>
      </c>
      <c r="E31" s="148">
        <v>349320</v>
      </c>
      <c r="F31" s="148"/>
      <c r="G31" s="148"/>
      <c r="H31" s="148">
        <f t="shared" si="1"/>
        <v>46000</v>
      </c>
      <c r="I31" s="148">
        <v>46000</v>
      </c>
      <c r="J31" s="148"/>
      <c r="K31" s="148"/>
      <c r="L31" s="148"/>
      <c r="M31" s="148"/>
      <c r="N31" s="147">
        <f t="shared" si="2"/>
        <v>580114</v>
      </c>
    </row>
    <row r="32" spans="1:14" ht="25.5">
      <c r="A32" s="119" t="s">
        <v>33</v>
      </c>
      <c r="B32" s="80" t="s">
        <v>15</v>
      </c>
      <c r="C32" s="148">
        <f t="shared" si="0"/>
        <v>244783</v>
      </c>
      <c r="D32" s="148">
        <v>244783</v>
      </c>
      <c r="E32" s="148">
        <v>150353</v>
      </c>
      <c r="F32" s="148">
        <v>1892</v>
      </c>
      <c r="G32" s="148"/>
      <c r="H32" s="148">
        <f t="shared" si="1"/>
        <v>7810</v>
      </c>
      <c r="I32" s="148">
        <v>7810</v>
      </c>
      <c r="J32" s="148"/>
      <c r="K32" s="148">
        <v>910</v>
      </c>
      <c r="L32" s="148"/>
      <c r="M32" s="148"/>
      <c r="N32" s="147">
        <f t="shared" si="2"/>
        <v>252593</v>
      </c>
    </row>
    <row r="33" spans="1:14" ht="38.25">
      <c r="A33" s="45" t="s">
        <v>387</v>
      </c>
      <c r="B33" s="27" t="s">
        <v>388</v>
      </c>
      <c r="C33" s="148">
        <f t="shared" si="0"/>
        <v>24645</v>
      </c>
      <c r="D33" s="148">
        <v>24645</v>
      </c>
      <c r="E33" s="148"/>
      <c r="F33" s="148"/>
      <c r="G33" s="148"/>
      <c r="H33" s="148">
        <f t="shared" si="1"/>
        <v>0</v>
      </c>
      <c r="I33" s="148"/>
      <c r="J33" s="148"/>
      <c r="K33" s="148"/>
      <c r="L33" s="148"/>
      <c r="M33" s="148"/>
      <c r="N33" s="147">
        <f t="shared" si="2"/>
        <v>24645</v>
      </c>
    </row>
    <row r="34" spans="1:16" s="22" customFormat="1" ht="89.25" hidden="1">
      <c r="A34" s="45" t="s">
        <v>416</v>
      </c>
      <c r="B34" s="27" t="s">
        <v>417</v>
      </c>
      <c r="C34" s="144">
        <f t="shared" si="0"/>
        <v>0</v>
      </c>
      <c r="D34" s="144"/>
      <c r="E34" s="144"/>
      <c r="F34" s="144"/>
      <c r="G34" s="144"/>
      <c r="H34" s="144">
        <f t="shared" si="1"/>
        <v>0</v>
      </c>
      <c r="I34" s="144"/>
      <c r="J34" s="144"/>
      <c r="K34" s="144"/>
      <c r="L34" s="144"/>
      <c r="M34" s="144"/>
      <c r="N34" s="143">
        <f t="shared" si="2"/>
        <v>0</v>
      </c>
      <c r="O34" s="145"/>
      <c r="P34" s="145"/>
    </row>
    <row r="35" spans="1:16" s="22" customFormat="1" ht="63.75">
      <c r="A35" s="45" t="s">
        <v>323</v>
      </c>
      <c r="B35" s="27" t="s">
        <v>436</v>
      </c>
      <c r="C35" s="144">
        <f t="shared" si="0"/>
        <v>8770</v>
      </c>
      <c r="D35" s="148">
        <v>8770</v>
      </c>
      <c r="E35" s="144"/>
      <c r="F35" s="144"/>
      <c r="G35" s="144"/>
      <c r="H35" s="144">
        <f t="shared" si="1"/>
        <v>0</v>
      </c>
      <c r="I35" s="144"/>
      <c r="J35" s="144"/>
      <c r="K35" s="144"/>
      <c r="L35" s="144"/>
      <c r="M35" s="144"/>
      <c r="N35" s="143">
        <f t="shared" si="2"/>
        <v>8770</v>
      </c>
      <c r="O35" s="145"/>
      <c r="P35" s="145"/>
    </row>
    <row r="36" spans="1:14" s="125" customFormat="1" ht="38.25">
      <c r="A36" s="124" t="s">
        <v>281</v>
      </c>
      <c r="B36" s="126" t="s">
        <v>368</v>
      </c>
      <c r="C36" s="160">
        <f>D36+G36</f>
        <v>18083837</v>
      </c>
      <c r="D36" s="160">
        <f>D37+D38</f>
        <v>18055837</v>
      </c>
      <c r="E36" s="160">
        <f>E37+E38</f>
        <v>753470</v>
      </c>
      <c r="F36" s="160">
        <f>F37+F38</f>
        <v>22280</v>
      </c>
      <c r="G36" s="160">
        <f>G37+G38</f>
        <v>28000</v>
      </c>
      <c r="H36" s="160">
        <f t="shared" si="1"/>
        <v>0</v>
      </c>
      <c r="I36" s="160">
        <f>I37+I38</f>
        <v>0</v>
      </c>
      <c r="J36" s="160">
        <f>J37+J38</f>
        <v>0</v>
      </c>
      <c r="K36" s="160">
        <f>K37+K38</f>
        <v>0</v>
      </c>
      <c r="L36" s="160">
        <f>L37+L38</f>
        <v>0</v>
      </c>
      <c r="M36" s="160">
        <f>M37+M38</f>
        <v>0</v>
      </c>
      <c r="N36" s="159">
        <f t="shared" si="2"/>
        <v>18083837</v>
      </c>
    </row>
    <row r="37" spans="1:14" ht="12.75">
      <c r="A37" s="46" t="s">
        <v>24</v>
      </c>
      <c r="B37" s="20" t="s">
        <v>25</v>
      </c>
      <c r="C37" s="148">
        <f t="shared" si="0"/>
        <v>1125203</v>
      </c>
      <c r="D37" s="148">
        <f>1095167+2036</f>
        <v>1097203</v>
      </c>
      <c r="E37" s="148">
        <v>753470</v>
      </c>
      <c r="F37" s="148">
        <v>22280</v>
      </c>
      <c r="G37" s="148">
        <v>28000</v>
      </c>
      <c r="H37" s="148">
        <f t="shared" si="1"/>
        <v>0</v>
      </c>
      <c r="I37" s="148"/>
      <c r="J37" s="148"/>
      <c r="K37" s="148"/>
      <c r="L37" s="148"/>
      <c r="M37" s="148"/>
      <c r="N37" s="147">
        <f t="shared" si="2"/>
        <v>1125203</v>
      </c>
    </row>
    <row r="38" spans="1:14" ht="25.5">
      <c r="A38" s="46" t="s">
        <v>49</v>
      </c>
      <c r="B38" s="89" t="s">
        <v>150</v>
      </c>
      <c r="C38" s="148">
        <f t="shared" si="0"/>
        <v>16958634</v>
      </c>
      <c r="D38" s="148">
        <f>D39+D40+D41+D42+D43+D44+D45+D46+D47+D48+D49+D50+D51+D52+D53+D55+D56+D60+D63+D67+D61+D62+D54</f>
        <v>16958634</v>
      </c>
      <c r="E38" s="148"/>
      <c r="F38" s="148"/>
      <c r="G38" s="148"/>
      <c r="H38" s="148">
        <f t="shared" si="1"/>
        <v>0</v>
      </c>
      <c r="I38" s="148"/>
      <c r="J38" s="148"/>
      <c r="K38" s="148"/>
      <c r="L38" s="148"/>
      <c r="M38" s="148"/>
      <c r="N38" s="147">
        <f>C38+H38</f>
        <v>16958634</v>
      </c>
    </row>
    <row r="39" spans="1:14" ht="102">
      <c r="A39" s="46" t="s">
        <v>165</v>
      </c>
      <c r="B39" s="89" t="s">
        <v>443</v>
      </c>
      <c r="C39" s="148">
        <f t="shared" si="0"/>
        <v>8208644</v>
      </c>
      <c r="D39" s="148">
        <v>8208644</v>
      </c>
      <c r="E39" s="148"/>
      <c r="F39" s="148"/>
      <c r="G39" s="148"/>
      <c r="H39" s="148">
        <f t="shared" si="1"/>
        <v>0</v>
      </c>
      <c r="I39" s="148"/>
      <c r="J39" s="148"/>
      <c r="K39" s="148"/>
      <c r="L39" s="148"/>
      <c r="M39" s="148"/>
      <c r="N39" s="147">
        <f t="shared" si="2"/>
        <v>8208644</v>
      </c>
    </row>
    <row r="40" spans="1:14" ht="63.75">
      <c r="A40" s="46" t="s">
        <v>171</v>
      </c>
      <c r="B40" s="89" t="s">
        <v>444</v>
      </c>
      <c r="C40" s="148">
        <f t="shared" si="0"/>
        <v>115507</v>
      </c>
      <c r="D40" s="148">
        <v>115507</v>
      </c>
      <c r="E40" s="148"/>
      <c r="F40" s="148"/>
      <c r="G40" s="148"/>
      <c r="H40" s="148">
        <f t="shared" si="1"/>
        <v>0</v>
      </c>
      <c r="I40" s="148"/>
      <c r="J40" s="148"/>
      <c r="K40" s="148"/>
      <c r="L40" s="148"/>
      <c r="M40" s="148"/>
      <c r="N40" s="147">
        <f t="shared" si="2"/>
        <v>115507</v>
      </c>
    </row>
    <row r="41" spans="1:14" ht="89.25">
      <c r="A41" s="46" t="s">
        <v>172</v>
      </c>
      <c r="B41" s="20" t="s">
        <v>445</v>
      </c>
      <c r="C41" s="148">
        <f t="shared" si="0"/>
        <v>1160333</v>
      </c>
      <c r="D41" s="148">
        <v>1160333</v>
      </c>
      <c r="E41" s="148"/>
      <c r="F41" s="148"/>
      <c r="G41" s="148"/>
      <c r="H41" s="148">
        <f t="shared" si="1"/>
        <v>0</v>
      </c>
      <c r="I41" s="148"/>
      <c r="J41" s="148"/>
      <c r="K41" s="148"/>
      <c r="L41" s="148"/>
      <c r="M41" s="148"/>
      <c r="N41" s="147">
        <f t="shared" si="2"/>
        <v>1160333</v>
      </c>
    </row>
    <row r="42" spans="1:14" ht="344.25">
      <c r="A42" s="46" t="s">
        <v>173</v>
      </c>
      <c r="B42" s="20" t="s">
        <v>1</v>
      </c>
      <c r="C42" s="148">
        <f t="shared" si="0"/>
        <v>467168</v>
      </c>
      <c r="D42" s="148">
        <v>467168</v>
      </c>
      <c r="E42" s="148"/>
      <c r="F42" s="148"/>
      <c r="G42" s="148"/>
      <c r="H42" s="148">
        <f t="shared" si="1"/>
        <v>0</v>
      </c>
      <c r="I42" s="148"/>
      <c r="J42" s="148"/>
      <c r="K42" s="148"/>
      <c r="L42" s="148"/>
      <c r="M42" s="148"/>
      <c r="N42" s="147">
        <f t="shared" si="2"/>
        <v>467168</v>
      </c>
    </row>
    <row r="43" spans="1:14" ht="280.5">
      <c r="A43" s="46" t="s">
        <v>174</v>
      </c>
      <c r="B43" s="20" t="s">
        <v>2</v>
      </c>
      <c r="C43" s="148">
        <f t="shared" si="0"/>
        <v>2248</v>
      </c>
      <c r="D43" s="148">
        <v>2248</v>
      </c>
      <c r="E43" s="148"/>
      <c r="F43" s="148"/>
      <c r="G43" s="148"/>
      <c r="H43" s="148">
        <f t="shared" si="1"/>
        <v>0</v>
      </c>
      <c r="I43" s="148"/>
      <c r="J43" s="148"/>
      <c r="K43" s="148"/>
      <c r="L43" s="148"/>
      <c r="M43" s="148"/>
      <c r="N43" s="147">
        <f t="shared" si="2"/>
        <v>2248</v>
      </c>
    </row>
    <row r="44" spans="1:14" ht="127.5">
      <c r="A44" s="46" t="s">
        <v>166</v>
      </c>
      <c r="B44" s="20" t="s">
        <v>13</v>
      </c>
      <c r="C44" s="148">
        <f t="shared" si="0"/>
        <v>30972</v>
      </c>
      <c r="D44" s="148">
        <v>30972</v>
      </c>
      <c r="E44" s="148"/>
      <c r="F44" s="148"/>
      <c r="G44" s="148"/>
      <c r="H44" s="148">
        <f t="shared" si="1"/>
        <v>0</v>
      </c>
      <c r="I44" s="148"/>
      <c r="J44" s="148"/>
      <c r="K44" s="148"/>
      <c r="L44" s="148"/>
      <c r="M44" s="148"/>
      <c r="N44" s="147">
        <f t="shared" si="2"/>
        <v>30972</v>
      </c>
    </row>
    <row r="45" spans="1:14" ht="38.25">
      <c r="A45" s="46" t="s">
        <v>175</v>
      </c>
      <c r="B45" s="20" t="s">
        <v>176</v>
      </c>
      <c r="C45" s="148">
        <f t="shared" si="0"/>
        <v>321573</v>
      </c>
      <c r="D45" s="148">
        <v>321573</v>
      </c>
      <c r="E45" s="148"/>
      <c r="F45" s="148"/>
      <c r="G45" s="148"/>
      <c r="H45" s="148">
        <f t="shared" si="1"/>
        <v>0</v>
      </c>
      <c r="I45" s="148"/>
      <c r="J45" s="148"/>
      <c r="K45" s="148"/>
      <c r="L45" s="148"/>
      <c r="M45" s="148"/>
      <c r="N45" s="147">
        <f t="shared" si="2"/>
        <v>321573</v>
      </c>
    </row>
    <row r="46" spans="1:14" ht="38.25">
      <c r="A46" s="46" t="s">
        <v>177</v>
      </c>
      <c r="B46" s="20" t="s">
        <v>3</v>
      </c>
      <c r="C46" s="148">
        <f t="shared" si="0"/>
        <v>2304</v>
      </c>
      <c r="D46" s="148">
        <v>2304</v>
      </c>
      <c r="E46" s="148"/>
      <c r="F46" s="148"/>
      <c r="G46" s="148"/>
      <c r="H46" s="148">
        <f t="shared" si="1"/>
        <v>0</v>
      </c>
      <c r="I46" s="148"/>
      <c r="J46" s="148"/>
      <c r="K46" s="148"/>
      <c r="L46" s="148"/>
      <c r="M46" s="148"/>
      <c r="N46" s="147">
        <f t="shared" si="2"/>
        <v>2304</v>
      </c>
    </row>
    <row r="47" spans="1:14" ht="25.5">
      <c r="A47" s="46" t="s">
        <v>178</v>
      </c>
      <c r="B47" s="20" t="s">
        <v>179</v>
      </c>
      <c r="C47" s="148">
        <f t="shared" si="0"/>
        <v>44035</v>
      </c>
      <c r="D47" s="148">
        <v>44035</v>
      </c>
      <c r="E47" s="148"/>
      <c r="F47" s="148"/>
      <c r="G47" s="148"/>
      <c r="H47" s="148">
        <f t="shared" si="1"/>
        <v>0</v>
      </c>
      <c r="I47" s="148"/>
      <c r="J47" s="148"/>
      <c r="K47" s="148"/>
      <c r="L47" s="148"/>
      <c r="M47" s="148"/>
      <c r="N47" s="147">
        <f t="shared" si="2"/>
        <v>44035</v>
      </c>
    </row>
    <row r="48" spans="1:14" ht="25.5" hidden="1">
      <c r="A48" s="46" t="s">
        <v>129</v>
      </c>
      <c r="B48" s="89" t="s">
        <v>256</v>
      </c>
      <c r="C48" s="148">
        <f t="shared" si="0"/>
        <v>0</v>
      </c>
      <c r="D48" s="148"/>
      <c r="E48" s="148"/>
      <c r="F48" s="148"/>
      <c r="G48" s="148"/>
      <c r="H48" s="148">
        <f t="shared" si="1"/>
        <v>0</v>
      </c>
      <c r="I48" s="148"/>
      <c r="J48" s="148"/>
      <c r="K48" s="148"/>
      <c r="L48" s="148"/>
      <c r="M48" s="148"/>
      <c r="N48" s="147">
        <f t="shared" si="2"/>
        <v>0</v>
      </c>
    </row>
    <row r="49" spans="1:14" ht="25.5">
      <c r="A49" s="46" t="s">
        <v>130</v>
      </c>
      <c r="B49" s="89" t="s">
        <v>104</v>
      </c>
      <c r="C49" s="148">
        <f t="shared" si="0"/>
        <v>160652</v>
      </c>
      <c r="D49" s="148">
        <v>160652</v>
      </c>
      <c r="E49" s="148"/>
      <c r="F49" s="148"/>
      <c r="G49" s="148"/>
      <c r="H49" s="148">
        <f t="shared" si="1"/>
        <v>0</v>
      </c>
      <c r="I49" s="148"/>
      <c r="J49" s="148"/>
      <c r="K49" s="148"/>
      <c r="L49" s="148"/>
      <c r="M49" s="148"/>
      <c r="N49" s="147">
        <f t="shared" si="2"/>
        <v>160652</v>
      </c>
    </row>
    <row r="50" spans="1:14" ht="25.5">
      <c r="A50" s="46" t="s">
        <v>131</v>
      </c>
      <c r="B50" s="89" t="s">
        <v>200</v>
      </c>
      <c r="C50" s="148">
        <f t="shared" si="0"/>
        <v>1390864</v>
      </c>
      <c r="D50" s="148">
        <v>1390864</v>
      </c>
      <c r="E50" s="148"/>
      <c r="F50" s="148"/>
      <c r="G50" s="148"/>
      <c r="H50" s="148">
        <f t="shared" si="1"/>
        <v>0</v>
      </c>
      <c r="I50" s="148"/>
      <c r="J50" s="148"/>
      <c r="K50" s="148"/>
      <c r="L50" s="148"/>
      <c r="M50" s="148"/>
      <c r="N50" s="147">
        <f t="shared" si="2"/>
        <v>1390864</v>
      </c>
    </row>
    <row r="51" spans="1:14" ht="25.5">
      <c r="A51" s="46" t="s">
        <v>132</v>
      </c>
      <c r="B51" s="89" t="s">
        <v>105</v>
      </c>
      <c r="C51" s="148">
        <f t="shared" si="0"/>
        <v>1794216</v>
      </c>
      <c r="D51" s="148">
        <v>1794216</v>
      </c>
      <c r="E51" s="148"/>
      <c r="F51" s="148"/>
      <c r="G51" s="148"/>
      <c r="H51" s="148">
        <f t="shared" si="1"/>
        <v>0</v>
      </c>
      <c r="I51" s="148"/>
      <c r="J51" s="148"/>
      <c r="K51" s="148"/>
      <c r="L51" s="148"/>
      <c r="M51" s="148"/>
      <c r="N51" s="147">
        <f t="shared" si="2"/>
        <v>1794216</v>
      </c>
    </row>
    <row r="52" spans="1:14" ht="25.5">
      <c r="A52" s="46" t="s">
        <v>91</v>
      </c>
      <c r="B52" s="89" t="s">
        <v>181</v>
      </c>
      <c r="C52" s="148">
        <f t="shared" si="0"/>
        <v>156858</v>
      </c>
      <c r="D52" s="148">
        <v>156858</v>
      </c>
      <c r="E52" s="148"/>
      <c r="F52" s="148"/>
      <c r="G52" s="148"/>
      <c r="H52" s="148">
        <f t="shared" si="1"/>
        <v>0</v>
      </c>
      <c r="I52" s="148"/>
      <c r="J52" s="148"/>
      <c r="K52" s="148"/>
      <c r="L52" s="148"/>
      <c r="M52" s="148"/>
      <c r="N52" s="147">
        <f t="shared" si="2"/>
        <v>156858</v>
      </c>
    </row>
    <row r="53" spans="1:14" ht="12.75">
      <c r="A53" s="46" t="s">
        <v>245</v>
      </c>
      <c r="B53" s="103" t="s">
        <v>180</v>
      </c>
      <c r="C53" s="148">
        <f t="shared" si="0"/>
        <v>878865</v>
      </c>
      <c r="D53" s="148">
        <v>878865</v>
      </c>
      <c r="E53" s="148"/>
      <c r="F53" s="148"/>
      <c r="G53" s="148"/>
      <c r="H53" s="148">
        <f t="shared" si="1"/>
        <v>0</v>
      </c>
      <c r="I53" s="148"/>
      <c r="J53" s="148"/>
      <c r="K53" s="148"/>
      <c r="L53" s="148"/>
      <c r="M53" s="148"/>
      <c r="N53" s="147">
        <f t="shared" si="2"/>
        <v>878865</v>
      </c>
    </row>
    <row r="54" spans="1:14" ht="12.75">
      <c r="A54" s="46" t="s">
        <v>440</v>
      </c>
      <c r="B54" s="103" t="s">
        <v>441</v>
      </c>
      <c r="C54" s="148">
        <f t="shared" si="0"/>
        <v>89082</v>
      </c>
      <c r="D54" s="148">
        <v>89082</v>
      </c>
      <c r="E54" s="148"/>
      <c r="F54" s="148"/>
      <c r="G54" s="148"/>
      <c r="H54" s="148"/>
      <c r="I54" s="148"/>
      <c r="J54" s="148"/>
      <c r="K54" s="148"/>
      <c r="L54" s="148"/>
      <c r="M54" s="148"/>
      <c r="N54" s="147">
        <f t="shared" si="2"/>
        <v>89082</v>
      </c>
    </row>
    <row r="55" spans="1:14" ht="25.5">
      <c r="A55" s="46" t="s">
        <v>182</v>
      </c>
      <c r="B55" s="103" t="s">
        <v>183</v>
      </c>
      <c r="C55" s="148">
        <f t="shared" si="0"/>
        <v>314005</v>
      </c>
      <c r="D55" s="148">
        <v>314005</v>
      </c>
      <c r="E55" s="148"/>
      <c r="F55" s="148"/>
      <c r="G55" s="148"/>
      <c r="H55" s="148">
        <f t="shared" si="1"/>
        <v>0</v>
      </c>
      <c r="I55" s="148"/>
      <c r="J55" s="148"/>
      <c r="K55" s="148"/>
      <c r="L55" s="148"/>
      <c r="M55" s="148"/>
      <c r="N55" s="147">
        <f t="shared" si="2"/>
        <v>314005</v>
      </c>
    </row>
    <row r="56" spans="1:14" ht="38.25">
      <c r="A56" s="46" t="s">
        <v>92</v>
      </c>
      <c r="B56" s="89" t="s">
        <v>151</v>
      </c>
      <c r="C56" s="148">
        <f t="shared" si="0"/>
        <v>1034400</v>
      </c>
      <c r="D56" s="148">
        <v>1034400</v>
      </c>
      <c r="E56" s="148"/>
      <c r="F56" s="148"/>
      <c r="G56" s="148"/>
      <c r="H56" s="148">
        <f t="shared" si="1"/>
        <v>0</v>
      </c>
      <c r="I56" s="148"/>
      <c r="J56" s="148"/>
      <c r="K56" s="148"/>
      <c r="L56" s="148"/>
      <c r="M56" s="148"/>
      <c r="N56" s="147">
        <f t="shared" si="2"/>
        <v>1034400</v>
      </c>
    </row>
    <row r="57" spans="1:14" ht="12.75">
      <c r="A57" s="46"/>
      <c r="B57" s="20" t="s">
        <v>148</v>
      </c>
      <c r="C57" s="148"/>
      <c r="D57" s="148"/>
      <c r="E57" s="148"/>
      <c r="F57" s="148"/>
      <c r="G57" s="148"/>
      <c r="H57" s="148"/>
      <c r="I57" s="148"/>
      <c r="J57" s="148"/>
      <c r="K57" s="148"/>
      <c r="L57" s="148"/>
      <c r="M57" s="148"/>
      <c r="N57" s="147"/>
    </row>
    <row r="58" spans="1:14" ht="63.75">
      <c r="A58" s="46"/>
      <c r="B58" s="20" t="s">
        <v>184</v>
      </c>
      <c r="C58" s="148">
        <f t="shared" si="0"/>
        <v>945468</v>
      </c>
      <c r="D58" s="148">
        <v>945468</v>
      </c>
      <c r="E58" s="148"/>
      <c r="F58" s="148"/>
      <c r="G58" s="148"/>
      <c r="H58" s="148">
        <f t="shared" si="1"/>
        <v>0</v>
      </c>
      <c r="I58" s="148"/>
      <c r="J58" s="148"/>
      <c r="K58" s="148"/>
      <c r="L58" s="148"/>
      <c r="M58" s="148"/>
      <c r="N58" s="147">
        <f t="shared" si="2"/>
        <v>945468</v>
      </c>
    </row>
    <row r="59" spans="1:14" ht="25.5">
      <c r="A59" s="46"/>
      <c r="B59" s="20" t="s">
        <v>185</v>
      </c>
      <c r="C59" s="148">
        <f t="shared" si="0"/>
        <v>88932</v>
      </c>
      <c r="D59" s="148">
        <v>88932</v>
      </c>
      <c r="E59" s="148"/>
      <c r="F59" s="148"/>
      <c r="G59" s="148"/>
      <c r="H59" s="148">
        <f t="shared" si="1"/>
        <v>0</v>
      </c>
      <c r="I59" s="148"/>
      <c r="J59" s="148"/>
      <c r="K59" s="148"/>
      <c r="L59" s="148"/>
      <c r="M59" s="148"/>
      <c r="N59" s="147">
        <f t="shared" si="2"/>
        <v>88932</v>
      </c>
    </row>
    <row r="60" spans="1:14" ht="25.5">
      <c r="A60" s="46" t="s">
        <v>50</v>
      </c>
      <c r="B60" s="20" t="s">
        <v>186</v>
      </c>
      <c r="C60" s="148">
        <f t="shared" si="0"/>
        <v>92100</v>
      </c>
      <c r="D60" s="148">
        <v>92100</v>
      </c>
      <c r="E60" s="148"/>
      <c r="F60" s="148"/>
      <c r="G60" s="148"/>
      <c r="H60" s="148">
        <f t="shared" si="1"/>
        <v>0</v>
      </c>
      <c r="I60" s="148"/>
      <c r="J60" s="148"/>
      <c r="K60" s="148"/>
      <c r="L60" s="148"/>
      <c r="M60" s="148"/>
      <c r="N60" s="147">
        <f t="shared" si="2"/>
        <v>92100</v>
      </c>
    </row>
    <row r="61" spans="1:14" ht="25.5">
      <c r="A61" s="46" t="s">
        <v>167</v>
      </c>
      <c r="B61" s="186" t="s">
        <v>438</v>
      </c>
      <c r="C61" s="148">
        <f>D61+G61</f>
        <v>25350</v>
      </c>
      <c r="D61" s="148">
        <v>25350</v>
      </c>
      <c r="E61" s="148"/>
      <c r="F61" s="148"/>
      <c r="G61" s="148"/>
      <c r="H61" s="148">
        <f>I61+L61</f>
        <v>0</v>
      </c>
      <c r="I61" s="148"/>
      <c r="J61" s="148"/>
      <c r="K61" s="148"/>
      <c r="L61" s="148"/>
      <c r="M61" s="148"/>
      <c r="N61" s="147">
        <f>C61+H61</f>
        <v>25350</v>
      </c>
    </row>
    <row r="62" spans="1:14" ht="25.5" hidden="1">
      <c r="A62" s="46" t="s">
        <v>335</v>
      </c>
      <c r="B62" s="80" t="s">
        <v>410</v>
      </c>
      <c r="C62" s="148">
        <f t="shared" si="0"/>
        <v>0</v>
      </c>
      <c r="D62" s="148"/>
      <c r="E62" s="148"/>
      <c r="F62" s="148"/>
      <c r="G62" s="148"/>
      <c r="H62" s="148"/>
      <c r="I62" s="148"/>
      <c r="J62" s="148"/>
      <c r="K62" s="148"/>
      <c r="L62" s="148"/>
      <c r="M62" s="148"/>
      <c r="N62" s="147">
        <f t="shared" si="2"/>
        <v>0</v>
      </c>
    </row>
    <row r="63" spans="1:14" ht="76.5" hidden="1">
      <c r="A63" s="45" t="s">
        <v>332</v>
      </c>
      <c r="B63" s="53" t="s">
        <v>334</v>
      </c>
      <c r="C63" s="148">
        <f t="shared" si="0"/>
        <v>0</v>
      </c>
      <c r="D63" s="148">
        <f>D65+D66</f>
        <v>0</v>
      </c>
      <c r="E63" s="148"/>
      <c r="F63" s="148"/>
      <c r="G63" s="148"/>
      <c r="H63" s="148">
        <f t="shared" si="1"/>
        <v>0</v>
      </c>
      <c r="I63" s="148"/>
      <c r="J63" s="148"/>
      <c r="K63" s="148"/>
      <c r="L63" s="148"/>
      <c r="M63" s="147"/>
      <c r="N63" s="147">
        <f t="shared" si="2"/>
        <v>0</v>
      </c>
    </row>
    <row r="64" spans="1:14" ht="12.75" hidden="1">
      <c r="A64" s="45"/>
      <c r="B64" s="20" t="s">
        <v>148</v>
      </c>
      <c r="C64" s="148"/>
      <c r="D64" s="148"/>
      <c r="E64" s="148"/>
      <c r="F64" s="148"/>
      <c r="G64" s="148"/>
      <c r="H64" s="148"/>
      <c r="I64" s="148"/>
      <c r="J64" s="148"/>
      <c r="K64" s="148"/>
      <c r="L64" s="148"/>
      <c r="M64" s="147"/>
      <c r="N64" s="147"/>
    </row>
    <row r="65" spans="1:14" ht="63.75" hidden="1">
      <c r="A65" s="45"/>
      <c r="B65" s="20" t="s">
        <v>184</v>
      </c>
      <c r="C65" s="148">
        <f t="shared" si="0"/>
        <v>0</v>
      </c>
      <c r="D65" s="148"/>
      <c r="E65" s="148"/>
      <c r="F65" s="148"/>
      <c r="G65" s="148"/>
      <c r="H65" s="148"/>
      <c r="I65" s="148"/>
      <c r="J65" s="148"/>
      <c r="K65" s="148"/>
      <c r="L65" s="148"/>
      <c r="M65" s="147"/>
      <c r="N65" s="147">
        <f t="shared" si="2"/>
        <v>0</v>
      </c>
    </row>
    <row r="66" spans="1:14" ht="25.5" hidden="1">
      <c r="A66" s="45"/>
      <c r="B66" s="20" t="s">
        <v>185</v>
      </c>
      <c r="C66" s="148">
        <f t="shared" si="0"/>
        <v>0</v>
      </c>
      <c r="D66" s="148"/>
      <c r="E66" s="148"/>
      <c r="F66" s="148"/>
      <c r="G66" s="148"/>
      <c r="H66" s="148"/>
      <c r="I66" s="148"/>
      <c r="J66" s="148"/>
      <c r="K66" s="148"/>
      <c r="L66" s="148"/>
      <c r="M66" s="147"/>
      <c r="N66" s="147">
        <f t="shared" si="2"/>
        <v>0</v>
      </c>
    </row>
    <row r="67" spans="1:14" ht="25.5">
      <c r="A67" s="46" t="s">
        <v>123</v>
      </c>
      <c r="B67" s="89" t="s">
        <v>152</v>
      </c>
      <c r="C67" s="148">
        <f t="shared" si="0"/>
        <v>669458</v>
      </c>
      <c r="D67" s="148">
        <v>669458</v>
      </c>
      <c r="E67" s="148"/>
      <c r="F67" s="148"/>
      <c r="G67" s="148"/>
      <c r="H67" s="148">
        <f t="shared" si="1"/>
        <v>0</v>
      </c>
      <c r="I67" s="148"/>
      <c r="J67" s="148"/>
      <c r="K67" s="148"/>
      <c r="L67" s="148"/>
      <c r="M67" s="148"/>
      <c r="N67" s="147">
        <f t="shared" si="2"/>
        <v>669458</v>
      </c>
    </row>
    <row r="68" spans="1:14" s="125" customFormat="1" ht="25.5">
      <c r="A68" s="124" t="s">
        <v>394</v>
      </c>
      <c r="B68" s="132" t="s">
        <v>369</v>
      </c>
      <c r="C68" s="160">
        <f t="shared" si="0"/>
        <v>382343</v>
      </c>
      <c r="D68" s="160">
        <f>D69+D70+D71</f>
        <v>382343</v>
      </c>
      <c r="E68" s="160">
        <f>E69+E70</f>
        <v>67216</v>
      </c>
      <c r="F68" s="160">
        <f>F69+F70+F71</f>
        <v>80000</v>
      </c>
      <c r="G68" s="160">
        <f>G69+G70</f>
        <v>0</v>
      </c>
      <c r="H68" s="160">
        <f t="shared" si="1"/>
        <v>36000</v>
      </c>
      <c r="I68" s="160">
        <f>I69+I70</f>
        <v>36000</v>
      </c>
      <c r="J68" s="160">
        <f>J69+J70</f>
        <v>0</v>
      </c>
      <c r="K68" s="160">
        <f>K69+K70</f>
        <v>6000</v>
      </c>
      <c r="L68" s="160">
        <f>L69+L70</f>
        <v>0</v>
      </c>
      <c r="M68" s="160">
        <f>M69+M70</f>
        <v>0</v>
      </c>
      <c r="N68" s="159">
        <f t="shared" si="2"/>
        <v>418343</v>
      </c>
    </row>
    <row r="69" spans="1:14" ht="12.75">
      <c r="A69" s="119" t="s">
        <v>24</v>
      </c>
      <c r="B69" s="80" t="s">
        <v>25</v>
      </c>
      <c r="C69" s="148">
        <f t="shared" si="0"/>
        <v>107343</v>
      </c>
      <c r="D69" s="148">
        <v>107343</v>
      </c>
      <c r="E69" s="148">
        <v>67216</v>
      </c>
      <c r="F69" s="148"/>
      <c r="G69" s="148"/>
      <c r="H69" s="148">
        <f t="shared" si="1"/>
        <v>0</v>
      </c>
      <c r="I69" s="148"/>
      <c r="J69" s="148"/>
      <c r="K69" s="148"/>
      <c r="L69" s="148"/>
      <c r="M69" s="148"/>
      <c r="N69" s="147">
        <f t="shared" si="2"/>
        <v>107343</v>
      </c>
    </row>
    <row r="70" spans="1:14" ht="12.75">
      <c r="A70" s="46">
        <v>100203</v>
      </c>
      <c r="B70" s="89" t="s">
        <v>55</v>
      </c>
      <c r="C70" s="148">
        <f t="shared" si="0"/>
        <v>275000</v>
      </c>
      <c r="D70" s="148">
        <v>275000</v>
      </c>
      <c r="E70" s="148"/>
      <c r="F70" s="148">
        <v>80000</v>
      </c>
      <c r="G70" s="148"/>
      <c r="H70" s="148">
        <f t="shared" si="1"/>
        <v>36000</v>
      </c>
      <c r="I70" s="148">
        <v>36000</v>
      </c>
      <c r="J70" s="148"/>
      <c r="K70" s="148">
        <v>6000</v>
      </c>
      <c r="L70" s="148"/>
      <c r="M70" s="148"/>
      <c r="N70" s="147">
        <f t="shared" si="2"/>
        <v>311000</v>
      </c>
    </row>
    <row r="71" spans="1:14" ht="38.25" hidden="1">
      <c r="A71" s="45" t="s">
        <v>73</v>
      </c>
      <c r="B71" s="109" t="s">
        <v>248</v>
      </c>
      <c r="C71" s="148">
        <f t="shared" si="0"/>
        <v>0</v>
      </c>
      <c r="D71" s="148"/>
      <c r="E71" s="148"/>
      <c r="F71" s="148"/>
      <c r="G71" s="148"/>
      <c r="H71" s="148">
        <f t="shared" si="1"/>
        <v>0</v>
      </c>
      <c r="I71" s="148"/>
      <c r="J71" s="148"/>
      <c r="K71" s="148"/>
      <c r="L71" s="148"/>
      <c r="M71" s="148"/>
      <c r="N71" s="147">
        <f t="shared" si="2"/>
        <v>0</v>
      </c>
    </row>
    <row r="72" spans="1:14" s="125" customFormat="1" ht="25.5">
      <c r="A72" s="124" t="s">
        <v>288</v>
      </c>
      <c r="B72" s="126" t="s">
        <v>370</v>
      </c>
      <c r="C72" s="160">
        <f t="shared" si="0"/>
        <v>203387</v>
      </c>
      <c r="D72" s="160">
        <f>D73</f>
        <v>203387</v>
      </c>
      <c r="E72" s="160">
        <f>E73</f>
        <v>125379</v>
      </c>
      <c r="F72" s="160">
        <f>F73</f>
        <v>0</v>
      </c>
      <c r="G72" s="160">
        <f>G73</f>
        <v>0</v>
      </c>
      <c r="H72" s="181">
        <f t="shared" si="1"/>
        <v>0</v>
      </c>
      <c r="I72" s="181">
        <f>I73+I74</f>
        <v>0</v>
      </c>
      <c r="J72" s="160">
        <f>J73+J74</f>
        <v>0</v>
      </c>
      <c r="K72" s="160">
        <f>K73+K74</f>
        <v>0</v>
      </c>
      <c r="L72" s="160">
        <f>L73+L74</f>
        <v>0</v>
      </c>
      <c r="M72" s="160">
        <f>M73+M74</f>
        <v>0</v>
      </c>
      <c r="N72" s="159">
        <f t="shared" si="2"/>
        <v>203387</v>
      </c>
    </row>
    <row r="73" spans="1:14" ht="12.75">
      <c r="A73" s="119" t="s">
        <v>24</v>
      </c>
      <c r="B73" s="80" t="s">
        <v>25</v>
      </c>
      <c r="C73" s="148">
        <f t="shared" si="0"/>
        <v>203387</v>
      </c>
      <c r="D73" s="148">
        <f>202673+714</f>
        <v>203387</v>
      </c>
      <c r="E73" s="148">
        <v>125379</v>
      </c>
      <c r="F73" s="148"/>
      <c r="G73" s="148"/>
      <c r="H73" s="148">
        <f t="shared" si="1"/>
        <v>0</v>
      </c>
      <c r="I73" s="148"/>
      <c r="J73" s="148"/>
      <c r="K73" s="148"/>
      <c r="L73" s="148"/>
      <c r="M73" s="148"/>
      <c r="N73" s="147">
        <f t="shared" si="2"/>
        <v>203387</v>
      </c>
    </row>
    <row r="74" spans="1:14" ht="76.5" hidden="1">
      <c r="A74" s="119" t="s">
        <v>419</v>
      </c>
      <c r="B74" s="80" t="s">
        <v>420</v>
      </c>
      <c r="C74" s="148">
        <f t="shared" si="0"/>
        <v>0</v>
      </c>
      <c r="D74" s="148"/>
      <c r="E74" s="148"/>
      <c r="F74" s="148"/>
      <c r="G74" s="148"/>
      <c r="H74" s="179">
        <f t="shared" si="1"/>
        <v>0</v>
      </c>
      <c r="I74" s="179"/>
      <c r="J74" s="148"/>
      <c r="K74" s="148"/>
      <c r="L74" s="148"/>
      <c r="M74" s="148"/>
      <c r="N74" s="147">
        <f t="shared" si="2"/>
        <v>0</v>
      </c>
    </row>
    <row r="75" spans="1:14" ht="12.75">
      <c r="A75" s="46"/>
      <c r="B75" s="89" t="s">
        <v>75</v>
      </c>
      <c r="C75" s="148">
        <f t="shared" si="0"/>
        <v>83480670</v>
      </c>
      <c r="D75" s="148">
        <f>D11+D24+D36+D68+D72</f>
        <v>83452670</v>
      </c>
      <c r="E75" s="148">
        <f>E11+E24+E36+E68+E72</f>
        <v>40655619</v>
      </c>
      <c r="F75" s="148">
        <f>F11+F24+F36+F68+F72</f>
        <v>4964379</v>
      </c>
      <c r="G75" s="148">
        <f>G11+G24+G36+G68+G72</f>
        <v>28000</v>
      </c>
      <c r="H75" s="148">
        <f t="shared" si="1"/>
        <v>4084466</v>
      </c>
      <c r="I75" s="148">
        <f>I11+I24+I36+I68+I72</f>
        <v>3927366</v>
      </c>
      <c r="J75" s="148">
        <f>J11+J24+J36+J68+J72</f>
        <v>973500</v>
      </c>
      <c r="K75" s="148">
        <f>K11+K24+K36+K68+K72</f>
        <v>248440</v>
      </c>
      <c r="L75" s="148">
        <f>L11+L24+L36+L68+L72</f>
        <v>157100</v>
      </c>
      <c r="M75" s="148">
        <f>M11+M24+M36+M68+M72</f>
        <v>0</v>
      </c>
      <c r="N75" s="147">
        <f t="shared" si="2"/>
        <v>87565136</v>
      </c>
    </row>
    <row r="77" spans="1:13" ht="18">
      <c r="A77" s="195" t="s">
        <v>155</v>
      </c>
      <c r="B77" s="195"/>
      <c r="C77" s="195"/>
      <c r="D77" s="195"/>
      <c r="E77" s="195"/>
      <c r="F77" s="195"/>
      <c r="G77" s="195"/>
      <c r="H77" s="195"/>
      <c r="I77" s="195"/>
      <c r="J77" s="195"/>
      <c r="K77" s="195"/>
      <c r="L77" s="195"/>
      <c r="M77" s="195"/>
    </row>
    <row r="80" spans="3:8" ht="12.75">
      <c r="C80" s="79"/>
      <c r="H80" s="79"/>
    </row>
  </sheetData>
  <mergeCells count="11">
    <mergeCell ref="L1:N1"/>
    <mergeCell ref="L7:M7"/>
    <mergeCell ref="A5:M5"/>
    <mergeCell ref="C8:G8"/>
    <mergeCell ref="H8:M8"/>
    <mergeCell ref="L2:N2"/>
    <mergeCell ref="L3:N3"/>
    <mergeCell ref="N8:N9"/>
    <mergeCell ref="A77:M77"/>
    <mergeCell ref="A8:A9"/>
    <mergeCell ref="B8:B9"/>
  </mergeCells>
  <printOptions/>
  <pageMargins left="0.9055118110236221" right="0.35433070866141736" top="0.54" bottom="0.28" header="0.2362204724409449" footer="0.1968503937007874"/>
  <pageSetup fitToHeight="4" fitToWidth="1" horizontalDpi="300" verticalDpi="3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AQ86"/>
  <sheetViews>
    <sheetView showZeros="0" view="pageBreakPreview" zoomScale="75" zoomScaleNormal="75" zoomScaleSheetLayoutView="75" workbookViewId="0" topLeftCell="A1">
      <pane xSplit="2" ySplit="10" topLeftCell="G66" activePane="bottomRight" state="frozen"/>
      <selection pane="topLeft" activeCell="A1" sqref="A1"/>
      <selection pane="topRight" activeCell="C1" sqref="C1"/>
      <selection pane="bottomLeft" activeCell="A12" sqref="A12"/>
      <selection pane="bottomRight" activeCell="H72" sqref="H72"/>
    </sheetView>
  </sheetViews>
  <sheetFormatPr defaultColWidth="9.00390625" defaultRowHeight="12.75"/>
  <cols>
    <col min="1" max="1" width="8.00390625" style="21" customWidth="1"/>
    <col min="2" max="2" width="40.75390625" style="5" customWidth="1"/>
    <col min="3" max="3" width="12.125" style="22" customWidth="1"/>
    <col min="4" max="4" width="11.875" style="22" customWidth="1"/>
    <col min="5" max="5" width="12.00390625" style="22" customWidth="1"/>
    <col min="6" max="6" width="10.125" style="22" customWidth="1"/>
    <col min="7" max="7" width="11.375" style="22" customWidth="1"/>
    <col min="8" max="8" width="12.875" style="22" customWidth="1"/>
    <col min="9" max="9" width="13.00390625" style="22" customWidth="1"/>
    <col min="10" max="10" width="12.00390625" style="22" customWidth="1"/>
    <col min="11" max="11" width="10.00390625" style="22" customWidth="1"/>
    <col min="12" max="12" width="11.25390625" style="22" customWidth="1"/>
    <col min="13" max="13" width="9.00390625" style="22" customWidth="1"/>
    <col min="14" max="14" width="13.625" style="22" customWidth="1"/>
    <col min="15" max="16384" width="9.125" style="22" customWidth="1"/>
  </cols>
  <sheetData>
    <row r="1" spans="12:14" ht="18">
      <c r="L1" s="192" t="s">
        <v>237</v>
      </c>
      <c r="M1" s="192"/>
      <c r="N1" s="192"/>
    </row>
    <row r="2" spans="12:14" ht="18">
      <c r="L2" s="192" t="s">
        <v>115</v>
      </c>
      <c r="M2" s="192"/>
      <c r="N2" s="192"/>
    </row>
    <row r="3" spans="12:13" ht="18">
      <c r="L3" s="32" t="s">
        <v>162</v>
      </c>
      <c r="M3" s="32"/>
    </row>
    <row r="4" ht="9.75" customHeight="1"/>
    <row r="5" spans="1:14" ht="18">
      <c r="A5" s="193" t="s">
        <v>10</v>
      </c>
      <c r="B5" s="193"/>
      <c r="C5" s="193"/>
      <c r="D5" s="193"/>
      <c r="E5" s="193"/>
      <c r="F5" s="193"/>
      <c r="G5" s="193"/>
      <c r="H5" s="193"/>
      <c r="I5" s="193"/>
      <c r="J5" s="193"/>
      <c r="K5" s="193"/>
      <c r="L5" s="193"/>
      <c r="M5" s="193"/>
      <c r="N5" s="193"/>
    </row>
    <row r="6" ht="18" hidden="1">
      <c r="E6" s="32"/>
    </row>
    <row r="7" ht="12.75" customHeight="1">
      <c r="N7" s="22" t="s">
        <v>379</v>
      </c>
    </row>
    <row r="8" spans="1:14" ht="12.75">
      <c r="A8" s="188" t="s">
        <v>339</v>
      </c>
      <c r="B8" s="188" t="s">
        <v>340</v>
      </c>
      <c r="C8" s="191" t="s">
        <v>16</v>
      </c>
      <c r="D8" s="191"/>
      <c r="E8" s="191"/>
      <c r="F8" s="191"/>
      <c r="G8" s="191"/>
      <c r="H8" s="191" t="s">
        <v>17</v>
      </c>
      <c r="I8" s="191"/>
      <c r="J8" s="191"/>
      <c r="K8" s="191"/>
      <c r="L8" s="191"/>
      <c r="M8" s="191"/>
      <c r="N8" s="188" t="s">
        <v>188</v>
      </c>
    </row>
    <row r="9" spans="1:14" ht="51">
      <c r="A9" s="188"/>
      <c r="B9" s="188"/>
      <c r="C9" s="6" t="s">
        <v>189</v>
      </c>
      <c r="D9" s="6" t="s">
        <v>81</v>
      </c>
      <c r="E9" s="6" t="s">
        <v>190</v>
      </c>
      <c r="F9" s="6" t="s">
        <v>191</v>
      </c>
      <c r="G9" s="6" t="s">
        <v>267</v>
      </c>
      <c r="H9" s="6" t="s">
        <v>192</v>
      </c>
      <c r="I9" s="6" t="s">
        <v>193</v>
      </c>
      <c r="J9" s="6" t="s">
        <v>194</v>
      </c>
      <c r="K9" s="6" t="s">
        <v>191</v>
      </c>
      <c r="L9" s="6" t="s">
        <v>195</v>
      </c>
      <c r="M9" s="6" t="s">
        <v>196</v>
      </c>
      <c r="N9" s="188"/>
    </row>
    <row r="10" spans="1:14" ht="12.75">
      <c r="A10" s="6">
        <v>1</v>
      </c>
      <c r="B10" s="6">
        <v>2</v>
      </c>
      <c r="C10" s="6">
        <v>3</v>
      </c>
      <c r="D10" s="6">
        <v>4</v>
      </c>
      <c r="E10" s="6">
        <v>5</v>
      </c>
      <c r="F10" s="6">
        <v>6</v>
      </c>
      <c r="G10" s="6">
        <v>7</v>
      </c>
      <c r="H10" s="6">
        <v>8</v>
      </c>
      <c r="I10" s="6">
        <v>9</v>
      </c>
      <c r="J10" s="6">
        <v>10</v>
      </c>
      <c r="K10" s="6">
        <v>11</v>
      </c>
      <c r="L10" s="6">
        <v>12</v>
      </c>
      <c r="M10" s="6">
        <v>13</v>
      </c>
      <c r="N10" s="6">
        <v>14</v>
      </c>
    </row>
    <row r="11" spans="1:43" s="125" customFormat="1" ht="12.75">
      <c r="A11" s="127" t="s">
        <v>276</v>
      </c>
      <c r="B11" s="128" t="s">
        <v>371</v>
      </c>
      <c r="C11" s="172">
        <f>D11+G11</f>
        <v>8085753</v>
      </c>
      <c r="D11" s="172">
        <f>D12+D13+D17+D18+D19+D20+D21</f>
        <v>8045753</v>
      </c>
      <c r="E11" s="172">
        <f>E12+E13+E17+E18+E19+E20+E21</f>
        <v>5111429</v>
      </c>
      <c r="F11" s="172">
        <f>F12+F13+F17+F18+F19+F20+F21</f>
        <v>384600</v>
      </c>
      <c r="G11" s="172">
        <f>G12+G13+G17+G18+G19+G20+G21</f>
        <v>40000</v>
      </c>
      <c r="H11" s="172">
        <f>I11+L11</f>
        <v>970311</v>
      </c>
      <c r="I11" s="172">
        <f>I12+I13+I17+I18+I19+I20+I21</f>
        <v>920311</v>
      </c>
      <c r="J11" s="172">
        <f>J12+J13+J17+J18+J19+J20+J21</f>
        <v>316844</v>
      </c>
      <c r="K11" s="172">
        <f>K12+K13+K17+K18+K19+K20+K21</f>
        <v>21891</v>
      </c>
      <c r="L11" s="172">
        <f>L12+L13+L17+L18+L19+L20+L21</f>
        <v>50000</v>
      </c>
      <c r="M11" s="172">
        <f>M12+M13+M17+M18+M19+M20+M21</f>
        <v>0</v>
      </c>
      <c r="N11" s="172">
        <f>C11+H11</f>
        <v>9056064</v>
      </c>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row>
    <row r="12" spans="1:43" ht="12.75">
      <c r="A12" s="91" t="s">
        <v>24</v>
      </c>
      <c r="B12" s="7" t="s">
        <v>25</v>
      </c>
      <c r="C12" s="155">
        <f aca="true" t="shared" si="0" ref="C12:C81">D12+G12</f>
        <v>1480873</v>
      </c>
      <c r="D12" s="155">
        <f>1453322-12449</f>
        <v>1440873</v>
      </c>
      <c r="E12" s="155">
        <f>921969-9140</f>
        <v>912829</v>
      </c>
      <c r="F12" s="155">
        <v>40100</v>
      </c>
      <c r="G12" s="155">
        <v>40000</v>
      </c>
      <c r="H12" s="155">
        <f aca="true" t="shared" si="1" ref="H12:H81">I12+L12</f>
        <v>0</v>
      </c>
      <c r="I12" s="155"/>
      <c r="J12" s="155"/>
      <c r="K12" s="155"/>
      <c r="L12" s="155"/>
      <c r="M12" s="155"/>
      <c r="N12" s="155">
        <f aca="true" t="shared" si="2" ref="N12:N81">C12+H12</f>
        <v>1480873</v>
      </c>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row>
    <row r="13" spans="1:43" ht="12.75">
      <c r="A13" s="91" t="s">
        <v>35</v>
      </c>
      <c r="B13" s="7" t="s">
        <v>86</v>
      </c>
      <c r="C13" s="155">
        <f t="shared" si="0"/>
        <v>6560600</v>
      </c>
      <c r="D13" s="148">
        <f>D14+D15+D16</f>
        <v>6560600</v>
      </c>
      <c r="E13" s="148">
        <f>E14+E15+E16</f>
        <v>4198600</v>
      </c>
      <c r="F13" s="148">
        <f>F14+F15+F16</f>
        <v>344500</v>
      </c>
      <c r="G13" s="148">
        <f>G14+G15+G16</f>
        <v>0</v>
      </c>
      <c r="H13" s="155">
        <f t="shared" si="1"/>
        <v>770311</v>
      </c>
      <c r="I13" s="148">
        <f>I14+I15+I16</f>
        <v>770311</v>
      </c>
      <c r="J13" s="148">
        <f>J14+J15+J16</f>
        <v>316844</v>
      </c>
      <c r="K13" s="148">
        <f>K14+K15+K16</f>
        <v>21891</v>
      </c>
      <c r="L13" s="148">
        <f>L14+L15+L16</f>
        <v>0</v>
      </c>
      <c r="M13" s="148">
        <f>M14+M15+M16</f>
        <v>0</v>
      </c>
      <c r="N13" s="155">
        <f t="shared" si="2"/>
        <v>7330911</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row>
    <row r="14" spans="1:43" ht="12.75">
      <c r="A14" s="91" t="s">
        <v>88</v>
      </c>
      <c r="B14" s="7" t="s">
        <v>89</v>
      </c>
      <c r="C14" s="155">
        <f t="shared" si="0"/>
        <v>2818117</v>
      </c>
      <c r="D14" s="155">
        <v>2818117</v>
      </c>
      <c r="E14" s="155">
        <v>1807043</v>
      </c>
      <c r="F14" s="155">
        <v>225162</v>
      </c>
      <c r="G14" s="155"/>
      <c r="H14" s="155">
        <f t="shared" si="1"/>
        <v>14000</v>
      </c>
      <c r="I14" s="155">
        <v>14000</v>
      </c>
      <c r="J14" s="155"/>
      <c r="K14" s="155">
        <v>6500</v>
      </c>
      <c r="L14" s="155"/>
      <c r="M14" s="155"/>
      <c r="N14" s="155">
        <f t="shared" si="2"/>
        <v>2832117</v>
      </c>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row>
    <row r="15" spans="1:43" ht="12.75">
      <c r="A15" s="91" t="s">
        <v>39</v>
      </c>
      <c r="B15" s="7" t="s">
        <v>90</v>
      </c>
      <c r="C15" s="155">
        <f t="shared" si="0"/>
        <v>3742483</v>
      </c>
      <c r="D15" s="155">
        <f>3719483+23000</f>
        <v>3742483</v>
      </c>
      <c r="E15" s="155">
        <v>2391557</v>
      </c>
      <c r="F15" s="155">
        <v>119338</v>
      </c>
      <c r="G15" s="155"/>
      <c r="H15" s="155">
        <f t="shared" si="1"/>
        <v>756311</v>
      </c>
      <c r="I15" s="155">
        <v>756311</v>
      </c>
      <c r="J15" s="155">
        <v>316844</v>
      </c>
      <c r="K15" s="155">
        <v>15391</v>
      </c>
      <c r="L15" s="155"/>
      <c r="M15" s="155"/>
      <c r="N15" s="155">
        <f t="shared" si="2"/>
        <v>4498794</v>
      </c>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row>
    <row r="16" spans="1:43" ht="12.75" hidden="1">
      <c r="A16" s="90" t="s">
        <v>44</v>
      </c>
      <c r="B16" s="27" t="s">
        <v>45</v>
      </c>
      <c r="C16" s="155">
        <f t="shared" si="0"/>
        <v>0</v>
      </c>
      <c r="D16" s="155"/>
      <c r="E16" s="155"/>
      <c r="F16" s="155"/>
      <c r="G16" s="155"/>
      <c r="H16" s="155">
        <f t="shared" si="1"/>
        <v>0</v>
      </c>
      <c r="I16" s="155"/>
      <c r="J16" s="155"/>
      <c r="K16" s="155"/>
      <c r="L16" s="155"/>
      <c r="M16" s="155"/>
      <c r="N16" s="155">
        <f t="shared" si="2"/>
        <v>0</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row>
    <row r="17" spans="1:43" ht="25.5">
      <c r="A17" s="91" t="s">
        <v>50</v>
      </c>
      <c r="B17" s="7" t="s">
        <v>206</v>
      </c>
      <c r="C17" s="155">
        <f t="shared" si="0"/>
        <v>19360</v>
      </c>
      <c r="D17" s="148">
        <f>14060+5300</f>
        <v>19360</v>
      </c>
      <c r="E17" s="148"/>
      <c r="F17" s="148"/>
      <c r="G17" s="148"/>
      <c r="H17" s="155">
        <f t="shared" si="1"/>
        <v>0</v>
      </c>
      <c r="I17" s="148"/>
      <c r="J17" s="148"/>
      <c r="K17" s="148"/>
      <c r="L17" s="148"/>
      <c r="M17" s="148"/>
      <c r="N17" s="155">
        <f t="shared" si="2"/>
        <v>19360</v>
      </c>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1:43" ht="38.25" hidden="1">
      <c r="A18" s="91" t="s">
        <v>167</v>
      </c>
      <c r="B18" s="7" t="s">
        <v>240</v>
      </c>
      <c r="C18" s="155">
        <f t="shared" si="0"/>
        <v>0</v>
      </c>
      <c r="D18" s="148"/>
      <c r="E18" s="148"/>
      <c r="F18" s="148"/>
      <c r="G18" s="148"/>
      <c r="H18" s="155">
        <f t="shared" si="1"/>
        <v>0</v>
      </c>
      <c r="I18" s="148"/>
      <c r="J18" s="148"/>
      <c r="K18" s="148"/>
      <c r="L18" s="148"/>
      <c r="M18" s="148"/>
      <c r="N18" s="155">
        <f t="shared" si="2"/>
        <v>0</v>
      </c>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1:43" ht="12.75" hidden="1">
      <c r="A19" s="91">
        <v>120201</v>
      </c>
      <c r="B19" s="7" t="s">
        <v>209</v>
      </c>
      <c r="C19" s="155">
        <f t="shared" si="0"/>
        <v>0</v>
      </c>
      <c r="D19" s="148"/>
      <c r="E19" s="148"/>
      <c r="F19" s="148"/>
      <c r="G19" s="148"/>
      <c r="H19" s="155">
        <f t="shared" si="1"/>
        <v>0</v>
      </c>
      <c r="I19" s="148"/>
      <c r="J19" s="148"/>
      <c r="K19" s="148"/>
      <c r="L19" s="148"/>
      <c r="M19" s="148"/>
      <c r="N19" s="155">
        <f t="shared" si="2"/>
        <v>0</v>
      </c>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row>
    <row r="20" spans="1:43" ht="12.75">
      <c r="A20" s="91">
        <v>240900</v>
      </c>
      <c r="B20" s="7" t="s">
        <v>93</v>
      </c>
      <c r="C20" s="155">
        <f t="shared" si="0"/>
        <v>0</v>
      </c>
      <c r="D20" s="148"/>
      <c r="E20" s="148"/>
      <c r="F20" s="148"/>
      <c r="G20" s="148"/>
      <c r="H20" s="155">
        <f t="shared" si="1"/>
        <v>200000</v>
      </c>
      <c r="I20" s="148">
        <v>150000</v>
      </c>
      <c r="J20" s="148"/>
      <c r="K20" s="148"/>
      <c r="L20" s="148">
        <v>50000</v>
      </c>
      <c r="M20" s="148"/>
      <c r="N20" s="155">
        <f t="shared" si="2"/>
        <v>200000</v>
      </c>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1:43" ht="12.75">
      <c r="A21" s="91">
        <v>250404</v>
      </c>
      <c r="B21" s="27" t="s">
        <v>74</v>
      </c>
      <c r="C21" s="155">
        <f t="shared" si="0"/>
        <v>24920</v>
      </c>
      <c r="D21" s="148">
        <f>D22+D23+D24+D25</f>
        <v>24920</v>
      </c>
      <c r="E21" s="148">
        <f>E22+E23+E24+E25</f>
        <v>0</v>
      </c>
      <c r="F21" s="148">
        <f>F22+F23+F24+F25</f>
        <v>0</v>
      </c>
      <c r="G21" s="148">
        <f>G22+G23+G24+G25</f>
        <v>0</v>
      </c>
      <c r="H21" s="155">
        <f t="shared" si="1"/>
        <v>0</v>
      </c>
      <c r="I21" s="148">
        <f>I22+I23+I24+I25</f>
        <v>0</v>
      </c>
      <c r="J21" s="148">
        <f>J22+J23+J24+J25</f>
        <v>0</v>
      </c>
      <c r="K21" s="148">
        <f>K22+K23+K24+K25</f>
        <v>0</v>
      </c>
      <c r="L21" s="148">
        <f>L22+L23+L24+L25</f>
        <v>0</v>
      </c>
      <c r="M21" s="148">
        <f>M22+M23+M24+M25</f>
        <v>0</v>
      </c>
      <c r="N21" s="155">
        <f t="shared" si="2"/>
        <v>24920</v>
      </c>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1:43" ht="25.5">
      <c r="A22" s="91"/>
      <c r="B22" s="80" t="s">
        <v>254</v>
      </c>
      <c r="C22" s="155">
        <f t="shared" si="0"/>
        <v>21800</v>
      </c>
      <c r="D22" s="148">
        <v>21800</v>
      </c>
      <c r="E22" s="148"/>
      <c r="F22" s="148"/>
      <c r="G22" s="148"/>
      <c r="H22" s="155">
        <f t="shared" si="1"/>
        <v>0</v>
      </c>
      <c r="I22" s="148"/>
      <c r="J22" s="148"/>
      <c r="K22" s="148"/>
      <c r="L22" s="148"/>
      <c r="M22" s="148"/>
      <c r="N22" s="155">
        <f t="shared" si="2"/>
        <v>21800</v>
      </c>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1:43" ht="25.5" hidden="1">
      <c r="A23" s="91"/>
      <c r="B23" s="80" t="s">
        <v>244</v>
      </c>
      <c r="C23" s="155">
        <f t="shared" si="0"/>
        <v>0</v>
      </c>
      <c r="D23" s="148"/>
      <c r="E23" s="148"/>
      <c r="F23" s="148"/>
      <c r="G23" s="148"/>
      <c r="H23" s="155">
        <f t="shared" si="1"/>
        <v>0</v>
      </c>
      <c r="I23" s="148"/>
      <c r="J23" s="148"/>
      <c r="K23" s="148"/>
      <c r="L23" s="148"/>
      <c r="M23" s="148"/>
      <c r="N23" s="155">
        <f t="shared" si="2"/>
        <v>0</v>
      </c>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row>
    <row r="24" spans="1:43" ht="38.25" hidden="1">
      <c r="A24" s="91"/>
      <c r="B24" s="109" t="s">
        <v>248</v>
      </c>
      <c r="C24" s="155">
        <f t="shared" si="0"/>
        <v>0</v>
      </c>
      <c r="D24" s="148"/>
      <c r="E24" s="148"/>
      <c r="F24" s="148"/>
      <c r="G24" s="148"/>
      <c r="H24" s="155">
        <f t="shared" si="1"/>
        <v>0</v>
      </c>
      <c r="I24" s="148"/>
      <c r="J24" s="148"/>
      <c r="K24" s="148"/>
      <c r="L24" s="148"/>
      <c r="M24" s="148"/>
      <c r="N24" s="155">
        <f t="shared" si="2"/>
        <v>0</v>
      </c>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1:43" ht="25.5">
      <c r="A25" s="91"/>
      <c r="B25" s="7" t="s">
        <v>255</v>
      </c>
      <c r="C25" s="155">
        <f t="shared" si="0"/>
        <v>3120</v>
      </c>
      <c r="D25" s="148">
        <v>3120</v>
      </c>
      <c r="E25" s="148"/>
      <c r="F25" s="148"/>
      <c r="G25" s="148"/>
      <c r="H25" s="155">
        <f t="shared" si="1"/>
        <v>0</v>
      </c>
      <c r="I25" s="148"/>
      <c r="J25" s="148"/>
      <c r="K25" s="148"/>
      <c r="L25" s="148"/>
      <c r="M25" s="148"/>
      <c r="N25" s="155">
        <f t="shared" si="2"/>
        <v>3120</v>
      </c>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1:43" s="125" customFormat="1" ht="25.5">
      <c r="A26" s="127" t="s">
        <v>280</v>
      </c>
      <c r="B26" s="128" t="s">
        <v>372</v>
      </c>
      <c r="C26" s="172">
        <f t="shared" si="0"/>
        <v>29285299</v>
      </c>
      <c r="D26" s="172">
        <f>D27+D28+D39</f>
        <v>29275299</v>
      </c>
      <c r="E26" s="172">
        <f>E27+E28+E39</f>
        <v>18175146</v>
      </c>
      <c r="F26" s="172">
        <f>F27+F28+F39</f>
        <v>2235493</v>
      </c>
      <c r="G26" s="172">
        <f>G27+G28+G39</f>
        <v>10000</v>
      </c>
      <c r="H26" s="172">
        <f t="shared" si="1"/>
        <v>1432835</v>
      </c>
      <c r="I26" s="172">
        <f>I27+I28</f>
        <v>1423658</v>
      </c>
      <c r="J26" s="172">
        <f>J27+J28</f>
        <v>60595</v>
      </c>
      <c r="K26" s="172">
        <f>K27+K28</f>
        <v>120713</v>
      </c>
      <c r="L26" s="172">
        <f>L27+L28</f>
        <v>9177</v>
      </c>
      <c r="M26" s="172">
        <f>M27+M28</f>
        <v>0</v>
      </c>
      <c r="N26" s="172">
        <f t="shared" si="2"/>
        <v>30718134</v>
      </c>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row>
    <row r="27" spans="1:43" ht="12.75">
      <c r="A27" s="91" t="s">
        <v>24</v>
      </c>
      <c r="B27" s="7" t="s">
        <v>25</v>
      </c>
      <c r="C27" s="155">
        <f t="shared" si="0"/>
        <v>116832</v>
      </c>
      <c r="D27" s="155">
        <v>116832</v>
      </c>
      <c r="E27" s="155">
        <v>83443</v>
      </c>
      <c r="F27" s="155"/>
      <c r="G27" s="155"/>
      <c r="H27" s="155">
        <f t="shared" si="1"/>
        <v>0</v>
      </c>
      <c r="I27" s="155"/>
      <c r="J27" s="155"/>
      <c r="K27" s="155"/>
      <c r="L27" s="155"/>
      <c r="M27" s="155"/>
      <c r="N27" s="155">
        <f t="shared" si="2"/>
        <v>116832</v>
      </c>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1:43" ht="12.75">
      <c r="A28" s="91" t="s">
        <v>26</v>
      </c>
      <c r="B28" s="7" t="s">
        <v>197</v>
      </c>
      <c r="C28" s="155">
        <f t="shared" si="0"/>
        <v>29160000</v>
      </c>
      <c r="D28" s="148">
        <f>D30+D29+D31+D32+D34+D35+D36+D33+D37+D38</f>
        <v>29150000</v>
      </c>
      <c r="E28" s="148">
        <f>E30+E29+E31+E32+E34+E35+E36+E33+E37+E38</f>
        <v>18091703</v>
      </c>
      <c r="F28" s="148">
        <f>F30+F29+F31+F32+F34+F35+F36+F33+F37+F38</f>
        <v>2235493</v>
      </c>
      <c r="G28" s="148">
        <f>G30+G29+G31+G32+G34+G35+G36+G33+G37+G38</f>
        <v>10000</v>
      </c>
      <c r="H28" s="155">
        <f t="shared" si="1"/>
        <v>1432835</v>
      </c>
      <c r="I28" s="148">
        <f>I30+I29+I31+I32+I34+I35+I36+I33+I37+I38</f>
        <v>1423658</v>
      </c>
      <c r="J28" s="148">
        <f>J30+J29+J31+J32+J34+J35+J36+J33+J37+J38</f>
        <v>60595</v>
      </c>
      <c r="K28" s="148">
        <f>K30+K29+K31+K32+K34+K35+K36+K33+K37+K38</f>
        <v>120713</v>
      </c>
      <c r="L28" s="148">
        <f>L30+L29+L31+L32+L34+L35+L36+L33+L37+L38</f>
        <v>9177</v>
      </c>
      <c r="M28" s="148">
        <f>M30+M29+M31+M32+M34+M35+M36</f>
        <v>0</v>
      </c>
      <c r="N28" s="155">
        <f t="shared" si="2"/>
        <v>30592835</v>
      </c>
      <c r="O28" s="55"/>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1:43" ht="12.75">
      <c r="A29" s="91" t="s">
        <v>82</v>
      </c>
      <c r="B29" s="7" t="s">
        <v>78</v>
      </c>
      <c r="C29" s="155">
        <f t="shared" si="0"/>
        <v>9306739</v>
      </c>
      <c r="D29" s="155">
        <v>9306739</v>
      </c>
      <c r="E29" s="155">
        <v>5194818</v>
      </c>
      <c r="F29" s="155">
        <v>904296</v>
      </c>
      <c r="G29" s="155"/>
      <c r="H29" s="155">
        <f t="shared" si="1"/>
        <v>1129135</v>
      </c>
      <c r="I29" s="155">
        <v>1129135</v>
      </c>
      <c r="J29" s="155"/>
      <c r="K29" s="155">
        <v>2525</v>
      </c>
      <c r="L29" s="155"/>
      <c r="M29" s="155"/>
      <c r="N29" s="155">
        <f t="shared" si="2"/>
        <v>10435874</v>
      </c>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1:43" ht="45.75" customHeight="1">
      <c r="A30" s="91" t="s">
        <v>28</v>
      </c>
      <c r="B30" s="7" t="s">
        <v>294</v>
      </c>
      <c r="C30" s="155">
        <f t="shared" si="0"/>
        <v>18375774</v>
      </c>
      <c r="D30" s="155">
        <v>18375774</v>
      </c>
      <c r="E30" s="155">
        <v>11936438</v>
      </c>
      <c r="F30" s="155">
        <v>1288250</v>
      </c>
      <c r="G30" s="155"/>
      <c r="H30" s="155">
        <f t="shared" si="1"/>
        <v>273505</v>
      </c>
      <c r="I30" s="155">
        <v>267405</v>
      </c>
      <c r="J30" s="155">
        <v>60595</v>
      </c>
      <c r="K30" s="155">
        <v>103503</v>
      </c>
      <c r="L30" s="155">
        <v>6100</v>
      </c>
      <c r="M30" s="155"/>
      <c r="N30" s="155">
        <f t="shared" si="2"/>
        <v>18649279</v>
      </c>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1:43" ht="12.75" hidden="1">
      <c r="A31" s="91" t="s">
        <v>83</v>
      </c>
      <c r="B31" s="7" t="s">
        <v>98</v>
      </c>
      <c r="C31" s="155">
        <f t="shared" si="0"/>
        <v>0</v>
      </c>
      <c r="D31" s="155"/>
      <c r="E31" s="155"/>
      <c r="F31" s="155"/>
      <c r="G31" s="155"/>
      <c r="H31" s="155">
        <f t="shared" si="1"/>
        <v>0</v>
      </c>
      <c r="I31" s="155"/>
      <c r="J31" s="155"/>
      <c r="K31" s="155"/>
      <c r="L31" s="155"/>
      <c r="M31" s="155"/>
      <c r="N31" s="155">
        <f t="shared" si="2"/>
        <v>0</v>
      </c>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1:43" ht="48" customHeight="1">
      <c r="A32" s="91" t="s">
        <v>84</v>
      </c>
      <c r="B32" s="7" t="s">
        <v>85</v>
      </c>
      <c r="C32" s="155">
        <f t="shared" si="0"/>
        <v>238291</v>
      </c>
      <c r="D32" s="155">
        <v>238291</v>
      </c>
      <c r="E32" s="155">
        <v>174957</v>
      </c>
      <c r="F32" s="155"/>
      <c r="G32" s="155"/>
      <c r="H32" s="155">
        <f t="shared" si="1"/>
        <v>0</v>
      </c>
      <c r="I32" s="155"/>
      <c r="J32" s="155"/>
      <c r="K32" s="155"/>
      <c r="L32" s="155"/>
      <c r="M32" s="155"/>
      <c r="N32" s="155">
        <f t="shared" si="2"/>
        <v>238291</v>
      </c>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1:43" ht="45.75" customHeight="1" hidden="1">
      <c r="A33" s="45" t="s">
        <v>389</v>
      </c>
      <c r="B33" s="52" t="s">
        <v>390</v>
      </c>
      <c r="C33" s="155">
        <f t="shared" si="0"/>
        <v>0</v>
      </c>
      <c r="D33" s="155"/>
      <c r="E33" s="155"/>
      <c r="F33" s="155"/>
      <c r="G33" s="155"/>
      <c r="H33" s="155">
        <f t="shared" si="1"/>
        <v>0</v>
      </c>
      <c r="I33" s="155"/>
      <c r="J33" s="155"/>
      <c r="K33" s="155"/>
      <c r="L33" s="155"/>
      <c r="M33" s="155"/>
      <c r="N33" s="155">
        <f t="shared" si="2"/>
        <v>0</v>
      </c>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1:43" ht="25.5">
      <c r="A34" s="91" t="s">
        <v>31</v>
      </c>
      <c r="B34" s="7" t="s">
        <v>295</v>
      </c>
      <c r="C34" s="155">
        <f t="shared" si="0"/>
        <v>304993</v>
      </c>
      <c r="D34" s="155">
        <v>304993</v>
      </c>
      <c r="E34" s="155">
        <v>223930</v>
      </c>
      <c r="F34" s="155"/>
      <c r="G34" s="155"/>
      <c r="H34" s="155">
        <f t="shared" si="1"/>
        <v>0</v>
      </c>
      <c r="I34" s="155"/>
      <c r="J34" s="155"/>
      <c r="K34" s="155"/>
      <c r="L34" s="155"/>
      <c r="M34" s="155"/>
      <c r="N34" s="155">
        <f t="shared" si="2"/>
        <v>304993</v>
      </c>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1:43" ht="25.5">
      <c r="A35" s="91" t="s">
        <v>32</v>
      </c>
      <c r="B35" s="7" t="s">
        <v>296</v>
      </c>
      <c r="C35" s="155">
        <f t="shared" si="0"/>
        <v>501872</v>
      </c>
      <c r="D35" s="155">
        <v>491872</v>
      </c>
      <c r="E35" s="155">
        <v>343458</v>
      </c>
      <c r="F35" s="155"/>
      <c r="G35" s="155">
        <v>10000</v>
      </c>
      <c r="H35" s="155">
        <f t="shared" si="1"/>
        <v>0</v>
      </c>
      <c r="I35" s="155"/>
      <c r="J35" s="155"/>
      <c r="K35" s="155"/>
      <c r="L35" s="155"/>
      <c r="M35" s="155"/>
      <c r="N35" s="155">
        <f t="shared" si="2"/>
        <v>501872</v>
      </c>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1:43" ht="25.5">
      <c r="A36" s="91" t="s">
        <v>33</v>
      </c>
      <c r="B36" s="7" t="s">
        <v>34</v>
      </c>
      <c r="C36" s="155">
        <f t="shared" si="0"/>
        <v>417226</v>
      </c>
      <c r="D36" s="155">
        <v>417226</v>
      </c>
      <c r="E36" s="155">
        <v>218102</v>
      </c>
      <c r="F36" s="155">
        <v>42947</v>
      </c>
      <c r="G36" s="155"/>
      <c r="H36" s="155">
        <f t="shared" si="1"/>
        <v>30195</v>
      </c>
      <c r="I36" s="155">
        <v>27118</v>
      </c>
      <c r="J36" s="155"/>
      <c r="K36" s="155">
        <v>14685</v>
      </c>
      <c r="L36" s="155">
        <v>3077</v>
      </c>
      <c r="M36" s="155"/>
      <c r="N36" s="155">
        <f t="shared" si="2"/>
        <v>447421</v>
      </c>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row>
    <row r="37" spans="1:14" s="17" customFormat="1" ht="38.25">
      <c r="A37" s="45" t="s">
        <v>387</v>
      </c>
      <c r="B37" s="27" t="s">
        <v>388</v>
      </c>
      <c r="C37" s="148">
        <f t="shared" si="0"/>
        <v>15105</v>
      </c>
      <c r="D37" s="148">
        <v>15105</v>
      </c>
      <c r="E37" s="148"/>
      <c r="F37" s="148"/>
      <c r="G37" s="148"/>
      <c r="H37" s="148">
        <f t="shared" si="1"/>
        <v>0</v>
      </c>
      <c r="I37" s="148"/>
      <c r="J37" s="148"/>
      <c r="K37" s="148"/>
      <c r="L37" s="148"/>
      <c r="M37" s="148"/>
      <c r="N37" s="147">
        <f t="shared" si="2"/>
        <v>15105</v>
      </c>
    </row>
    <row r="38" spans="1:16" ht="88.5" customHeight="1" hidden="1">
      <c r="A38" s="45" t="s">
        <v>416</v>
      </c>
      <c r="B38" s="27" t="s">
        <v>417</v>
      </c>
      <c r="C38" s="144">
        <f t="shared" si="0"/>
        <v>0</v>
      </c>
      <c r="D38" s="144"/>
      <c r="E38" s="144"/>
      <c r="F38" s="144"/>
      <c r="G38" s="144"/>
      <c r="H38" s="144">
        <f t="shared" si="1"/>
        <v>0</v>
      </c>
      <c r="I38" s="144"/>
      <c r="J38" s="144"/>
      <c r="K38" s="144"/>
      <c r="L38" s="144"/>
      <c r="M38" s="144"/>
      <c r="N38" s="143">
        <f t="shared" si="2"/>
        <v>0</v>
      </c>
      <c r="O38" s="145"/>
      <c r="P38" s="145"/>
    </row>
    <row r="39" spans="1:16" ht="63.75">
      <c r="A39" s="45" t="s">
        <v>323</v>
      </c>
      <c r="B39" s="27" t="s">
        <v>436</v>
      </c>
      <c r="C39" s="144">
        <f t="shared" si="0"/>
        <v>8467</v>
      </c>
      <c r="D39" s="155">
        <v>8467</v>
      </c>
      <c r="E39" s="144"/>
      <c r="F39" s="144"/>
      <c r="G39" s="144"/>
      <c r="H39" s="144">
        <f t="shared" si="1"/>
        <v>0</v>
      </c>
      <c r="I39" s="144"/>
      <c r="J39" s="144"/>
      <c r="K39" s="144"/>
      <c r="L39" s="144"/>
      <c r="M39" s="144"/>
      <c r="N39" s="143">
        <f t="shared" si="2"/>
        <v>8467</v>
      </c>
      <c r="O39" s="145"/>
      <c r="P39" s="145"/>
    </row>
    <row r="40" spans="1:43" s="125" customFormat="1" ht="38.25">
      <c r="A40" s="127" t="s">
        <v>281</v>
      </c>
      <c r="B40" s="128" t="s">
        <v>373</v>
      </c>
      <c r="C40" s="172">
        <f t="shared" si="0"/>
        <v>13096624</v>
      </c>
      <c r="D40" s="172">
        <f>D41+D42</f>
        <v>13058624</v>
      </c>
      <c r="E40" s="172">
        <f>E41+E42</f>
        <v>632188</v>
      </c>
      <c r="F40" s="172">
        <f>F41+F42</f>
        <v>26300</v>
      </c>
      <c r="G40" s="172">
        <f>G41+G42</f>
        <v>38000</v>
      </c>
      <c r="H40" s="172">
        <f t="shared" si="1"/>
        <v>0</v>
      </c>
      <c r="I40" s="172">
        <f>I41+I42</f>
        <v>0</v>
      </c>
      <c r="J40" s="172">
        <f>J41+J42</f>
        <v>0</v>
      </c>
      <c r="K40" s="172">
        <f>K41+K42</f>
        <v>0</v>
      </c>
      <c r="L40" s="172">
        <f>L41+L42</f>
        <v>0</v>
      </c>
      <c r="M40" s="172">
        <f>M41+M42</f>
        <v>0</v>
      </c>
      <c r="N40" s="172">
        <f t="shared" si="2"/>
        <v>13096624</v>
      </c>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row>
    <row r="41" spans="1:43" ht="12.75">
      <c r="A41" s="91" t="s">
        <v>24</v>
      </c>
      <c r="B41" s="7" t="s">
        <v>25</v>
      </c>
      <c r="C41" s="155">
        <f t="shared" si="0"/>
        <v>967140</v>
      </c>
      <c r="D41" s="155">
        <v>929140</v>
      </c>
      <c r="E41" s="155">
        <v>632188</v>
      </c>
      <c r="F41" s="155">
        <v>26300</v>
      </c>
      <c r="G41" s="155">
        <v>38000</v>
      </c>
      <c r="H41" s="155">
        <f t="shared" si="1"/>
        <v>0</v>
      </c>
      <c r="I41" s="155"/>
      <c r="J41" s="155"/>
      <c r="K41" s="155"/>
      <c r="L41" s="155"/>
      <c r="M41" s="155"/>
      <c r="N41" s="155">
        <f t="shared" si="2"/>
        <v>967140</v>
      </c>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1:43" ht="25.5">
      <c r="A42" s="91" t="s">
        <v>49</v>
      </c>
      <c r="B42" s="7" t="s">
        <v>150</v>
      </c>
      <c r="C42" s="155">
        <f t="shared" si="0"/>
        <v>12129484</v>
      </c>
      <c r="D42" s="148">
        <f>D43+D44+D45+D46+D47+D48+D49+D50+D51+D54+D55+D56+D57+D58+D60+D61+D65+D68+D71+D52+D66+D67+D59</f>
        <v>12129484</v>
      </c>
      <c r="E42" s="148"/>
      <c r="F42" s="148"/>
      <c r="G42" s="148"/>
      <c r="H42" s="155">
        <f t="shared" si="1"/>
        <v>0</v>
      </c>
      <c r="I42" s="148"/>
      <c r="J42" s="148"/>
      <c r="K42" s="148"/>
      <c r="L42" s="148"/>
      <c r="M42" s="148"/>
      <c r="N42" s="155">
        <f t="shared" si="2"/>
        <v>12129484</v>
      </c>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row r="43" spans="1:43" ht="89.25">
      <c r="A43" s="91" t="s">
        <v>165</v>
      </c>
      <c r="B43" s="89" t="s">
        <v>443</v>
      </c>
      <c r="C43" s="155">
        <f t="shared" si="0"/>
        <v>4491494</v>
      </c>
      <c r="D43" s="148">
        <v>4491494</v>
      </c>
      <c r="E43" s="148"/>
      <c r="F43" s="148"/>
      <c r="G43" s="148"/>
      <c r="H43" s="155">
        <f t="shared" si="1"/>
        <v>0</v>
      </c>
      <c r="I43" s="148"/>
      <c r="J43" s="148"/>
      <c r="K43" s="148"/>
      <c r="L43" s="148"/>
      <c r="M43" s="148"/>
      <c r="N43" s="155">
        <f t="shared" si="2"/>
        <v>4491494</v>
      </c>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row>
    <row r="44" spans="1:43" ht="63.75">
      <c r="A44" s="91" t="s">
        <v>171</v>
      </c>
      <c r="B44" s="89" t="s">
        <v>444</v>
      </c>
      <c r="C44" s="155">
        <f t="shared" si="0"/>
        <v>4765</v>
      </c>
      <c r="D44" s="155">
        <v>4765</v>
      </c>
      <c r="E44" s="155"/>
      <c r="F44" s="155"/>
      <c r="G44" s="155"/>
      <c r="H44" s="155">
        <f t="shared" si="1"/>
        <v>0</v>
      </c>
      <c r="I44" s="155"/>
      <c r="J44" s="155"/>
      <c r="K44" s="155"/>
      <c r="L44" s="155"/>
      <c r="M44" s="155"/>
      <c r="N44" s="155">
        <f t="shared" si="2"/>
        <v>4765</v>
      </c>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row>
    <row r="45" spans="1:43" ht="89.25">
      <c r="A45" s="91" t="s">
        <v>172</v>
      </c>
      <c r="B45" s="20" t="s">
        <v>445</v>
      </c>
      <c r="C45" s="155">
        <f t="shared" si="0"/>
        <v>719717</v>
      </c>
      <c r="D45" s="155">
        <v>719717</v>
      </c>
      <c r="E45" s="155"/>
      <c r="F45" s="155"/>
      <c r="G45" s="155"/>
      <c r="H45" s="155">
        <f t="shared" si="1"/>
        <v>0</v>
      </c>
      <c r="I45" s="155"/>
      <c r="J45" s="155"/>
      <c r="K45" s="155"/>
      <c r="L45" s="155"/>
      <c r="M45" s="155"/>
      <c r="N45" s="155">
        <f t="shared" si="2"/>
        <v>719717</v>
      </c>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row>
    <row r="46" spans="1:43" ht="344.25">
      <c r="A46" s="91" t="s">
        <v>173</v>
      </c>
      <c r="B46" s="20" t="s">
        <v>1</v>
      </c>
      <c r="C46" s="155">
        <f t="shared" si="0"/>
        <v>383722</v>
      </c>
      <c r="D46" s="155">
        <v>383722</v>
      </c>
      <c r="E46" s="155"/>
      <c r="F46" s="155"/>
      <c r="G46" s="155"/>
      <c r="H46" s="155">
        <f t="shared" si="1"/>
        <v>0</v>
      </c>
      <c r="I46" s="155"/>
      <c r="J46" s="155"/>
      <c r="K46" s="155"/>
      <c r="L46" s="155"/>
      <c r="M46" s="155"/>
      <c r="N46" s="155">
        <f t="shared" si="2"/>
        <v>383722</v>
      </c>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row>
    <row r="47" spans="1:43" ht="51" hidden="1">
      <c r="A47" s="91" t="s">
        <v>174</v>
      </c>
      <c r="B47" s="7" t="s">
        <v>198</v>
      </c>
      <c r="C47" s="155">
        <f t="shared" si="0"/>
        <v>0</v>
      </c>
      <c r="D47" s="155"/>
      <c r="E47" s="155"/>
      <c r="F47" s="155"/>
      <c r="G47" s="155"/>
      <c r="H47" s="155">
        <f t="shared" si="1"/>
        <v>0</v>
      </c>
      <c r="I47" s="155"/>
      <c r="J47" s="155"/>
      <c r="K47" s="155"/>
      <c r="L47" s="155"/>
      <c r="M47" s="155"/>
      <c r="N47" s="155">
        <f t="shared" si="2"/>
        <v>0</v>
      </c>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row>
    <row r="48" spans="1:43" ht="127.5">
      <c r="A48" s="91" t="s">
        <v>166</v>
      </c>
      <c r="B48" s="20" t="s">
        <v>13</v>
      </c>
      <c r="C48" s="155">
        <f t="shared" si="0"/>
        <v>34598</v>
      </c>
      <c r="D48" s="155">
        <v>34598</v>
      </c>
      <c r="E48" s="155"/>
      <c r="F48" s="155"/>
      <c r="G48" s="155"/>
      <c r="H48" s="155">
        <f t="shared" si="1"/>
        <v>0</v>
      </c>
      <c r="I48" s="155"/>
      <c r="J48" s="155"/>
      <c r="K48" s="155"/>
      <c r="L48" s="155"/>
      <c r="M48" s="155"/>
      <c r="N48" s="155">
        <f t="shared" si="2"/>
        <v>34598</v>
      </c>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row>
    <row r="49" spans="1:43" ht="38.25">
      <c r="A49" s="91" t="s">
        <v>175</v>
      </c>
      <c r="B49" s="20" t="s">
        <v>176</v>
      </c>
      <c r="C49" s="155">
        <f t="shared" si="0"/>
        <v>240287</v>
      </c>
      <c r="D49" s="155">
        <v>240287</v>
      </c>
      <c r="E49" s="155"/>
      <c r="F49" s="155"/>
      <c r="G49" s="155"/>
      <c r="H49" s="155">
        <f t="shared" si="1"/>
        <v>0</v>
      </c>
      <c r="I49" s="155"/>
      <c r="J49" s="155"/>
      <c r="K49" s="155"/>
      <c r="L49" s="155"/>
      <c r="M49" s="155"/>
      <c r="N49" s="155">
        <f t="shared" si="2"/>
        <v>240287</v>
      </c>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row>
    <row r="50" spans="1:43" ht="38.25">
      <c r="A50" s="91" t="s">
        <v>177</v>
      </c>
      <c r="B50" s="20" t="s">
        <v>3</v>
      </c>
      <c r="C50" s="155">
        <f t="shared" si="0"/>
        <v>400</v>
      </c>
      <c r="D50" s="155">
        <v>400</v>
      </c>
      <c r="E50" s="155"/>
      <c r="F50" s="155"/>
      <c r="G50" s="155"/>
      <c r="H50" s="155">
        <f t="shared" si="1"/>
        <v>0</v>
      </c>
      <c r="I50" s="155"/>
      <c r="J50" s="155"/>
      <c r="K50" s="155"/>
      <c r="L50" s="155"/>
      <c r="M50" s="155"/>
      <c r="N50" s="155">
        <f t="shared" si="2"/>
        <v>400</v>
      </c>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row>
    <row r="51" spans="1:43" ht="25.5">
      <c r="A51" s="91" t="s">
        <v>178</v>
      </c>
      <c r="B51" s="7" t="s">
        <v>213</v>
      </c>
      <c r="C51" s="155">
        <f t="shared" si="0"/>
        <v>70112</v>
      </c>
      <c r="D51" s="155">
        <v>70112</v>
      </c>
      <c r="E51" s="155"/>
      <c r="F51" s="155"/>
      <c r="G51" s="155"/>
      <c r="H51" s="155">
        <f t="shared" si="1"/>
        <v>0</v>
      </c>
      <c r="I51" s="155"/>
      <c r="J51" s="155"/>
      <c r="K51" s="155"/>
      <c r="L51" s="155"/>
      <c r="M51" s="155"/>
      <c r="N51" s="155">
        <f t="shared" si="2"/>
        <v>70112</v>
      </c>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row>
    <row r="52" spans="1:43" ht="140.25">
      <c r="A52" s="90" t="s">
        <v>398</v>
      </c>
      <c r="B52" s="7" t="s">
        <v>4</v>
      </c>
      <c r="C52" s="155">
        <f t="shared" si="0"/>
        <v>273</v>
      </c>
      <c r="D52" s="155">
        <v>273</v>
      </c>
      <c r="E52" s="155"/>
      <c r="F52" s="155"/>
      <c r="G52" s="155"/>
      <c r="H52" s="155"/>
      <c r="I52" s="155"/>
      <c r="J52" s="155"/>
      <c r="K52" s="155"/>
      <c r="L52" s="155"/>
      <c r="M52" s="155"/>
      <c r="N52" s="155">
        <f t="shared" si="2"/>
        <v>273</v>
      </c>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row>
    <row r="53" spans="1:43" ht="12.75" hidden="1">
      <c r="A53" s="91" t="s">
        <v>129</v>
      </c>
      <c r="B53" s="89" t="s">
        <v>256</v>
      </c>
      <c r="C53" s="155">
        <f t="shared" si="0"/>
        <v>0</v>
      </c>
      <c r="D53" s="155"/>
      <c r="E53" s="155"/>
      <c r="F53" s="155"/>
      <c r="G53" s="155"/>
      <c r="H53" s="155">
        <f t="shared" si="1"/>
        <v>0</v>
      </c>
      <c r="I53" s="155"/>
      <c r="J53" s="155"/>
      <c r="K53" s="155"/>
      <c r="L53" s="155"/>
      <c r="M53" s="155"/>
      <c r="N53" s="155">
        <f t="shared" si="2"/>
        <v>0</v>
      </c>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row>
    <row r="54" spans="1:43" ht="12.75">
      <c r="A54" s="91" t="s">
        <v>130</v>
      </c>
      <c r="B54" s="7" t="s">
        <v>199</v>
      </c>
      <c r="C54" s="155">
        <f t="shared" si="0"/>
        <v>220000</v>
      </c>
      <c r="D54" s="155">
        <v>220000</v>
      </c>
      <c r="E54" s="155"/>
      <c r="F54" s="155"/>
      <c r="G54" s="155"/>
      <c r="H54" s="155">
        <f t="shared" si="1"/>
        <v>0</v>
      </c>
      <c r="I54" s="155"/>
      <c r="J54" s="155"/>
      <c r="K54" s="155"/>
      <c r="L54" s="155"/>
      <c r="M54" s="155"/>
      <c r="N54" s="155">
        <f t="shared" si="2"/>
        <v>220000</v>
      </c>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row>
    <row r="55" spans="1:43" ht="25.5">
      <c r="A55" s="91" t="s">
        <v>131</v>
      </c>
      <c r="B55" s="7" t="s">
        <v>200</v>
      </c>
      <c r="C55" s="155">
        <f t="shared" si="0"/>
        <v>1494950</v>
      </c>
      <c r="D55" s="155">
        <v>1494950</v>
      </c>
      <c r="E55" s="155"/>
      <c r="F55" s="155"/>
      <c r="G55" s="155"/>
      <c r="H55" s="155">
        <f t="shared" si="1"/>
        <v>0</v>
      </c>
      <c r="I55" s="155"/>
      <c r="J55" s="155"/>
      <c r="K55" s="155"/>
      <c r="L55" s="155"/>
      <c r="M55" s="155"/>
      <c r="N55" s="155">
        <f t="shared" si="2"/>
        <v>1494950</v>
      </c>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row>
    <row r="56" spans="1:43" ht="25.5">
      <c r="A56" s="91" t="s">
        <v>132</v>
      </c>
      <c r="B56" s="7" t="s">
        <v>105</v>
      </c>
      <c r="C56" s="155">
        <f t="shared" si="0"/>
        <v>1073830</v>
      </c>
      <c r="D56" s="155">
        <v>1073830</v>
      </c>
      <c r="E56" s="155"/>
      <c r="F56" s="155"/>
      <c r="G56" s="155"/>
      <c r="H56" s="155">
        <f t="shared" si="1"/>
        <v>0</v>
      </c>
      <c r="I56" s="155"/>
      <c r="J56" s="155"/>
      <c r="K56" s="155"/>
      <c r="L56" s="155"/>
      <c r="M56" s="155"/>
      <c r="N56" s="155">
        <f t="shared" si="2"/>
        <v>1073830</v>
      </c>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row>
    <row r="57" spans="1:43" ht="25.5">
      <c r="A57" s="91" t="s">
        <v>91</v>
      </c>
      <c r="B57" s="7" t="s">
        <v>201</v>
      </c>
      <c r="C57" s="155">
        <f t="shared" si="0"/>
        <v>237600</v>
      </c>
      <c r="D57" s="155">
        <v>237600</v>
      </c>
      <c r="E57" s="155"/>
      <c r="F57" s="155"/>
      <c r="G57" s="155"/>
      <c r="H57" s="155">
        <f t="shared" si="1"/>
        <v>0</v>
      </c>
      <c r="I57" s="155"/>
      <c r="J57" s="155"/>
      <c r="K57" s="155"/>
      <c r="L57" s="155"/>
      <c r="M57" s="155"/>
      <c r="N57" s="155">
        <f t="shared" si="2"/>
        <v>237600</v>
      </c>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row>
    <row r="58" spans="1:43" ht="12.75">
      <c r="A58" s="91" t="s">
        <v>245</v>
      </c>
      <c r="B58" s="7" t="s">
        <v>180</v>
      </c>
      <c r="C58" s="155">
        <f t="shared" si="0"/>
        <v>999360</v>
      </c>
      <c r="D58" s="155">
        <v>999360</v>
      </c>
      <c r="E58" s="155"/>
      <c r="F58" s="155"/>
      <c r="G58" s="155"/>
      <c r="H58" s="155">
        <f t="shared" si="1"/>
        <v>0</v>
      </c>
      <c r="I58" s="155"/>
      <c r="J58" s="155"/>
      <c r="K58" s="155"/>
      <c r="L58" s="155"/>
      <c r="M58" s="155"/>
      <c r="N58" s="155">
        <f t="shared" si="2"/>
        <v>999360</v>
      </c>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row>
    <row r="59" spans="1:43" ht="12.75">
      <c r="A59" s="90" t="s">
        <v>440</v>
      </c>
      <c r="B59" s="103" t="s">
        <v>441</v>
      </c>
      <c r="C59" s="155">
        <f t="shared" si="0"/>
        <v>51775</v>
      </c>
      <c r="D59" s="155">
        <v>51775</v>
      </c>
      <c r="E59" s="155"/>
      <c r="F59" s="155"/>
      <c r="G59" s="155"/>
      <c r="H59" s="155"/>
      <c r="I59" s="155"/>
      <c r="J59" s="155"/>
      <c r="K59" s="155"/>
      <c r="L59" s="155"/>
      <c r="M59" s="155"/>
      <c r="N59" s="155">
        <f t="shared" si="2"/>
        <v>51775</v>
      </c>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row>
    <row r="60" spans="1:43" ht="25.5">
      <c r="A60" s="91" t="s">
        <v>182</v>
      </c>
      <c r="B60" s="7" t="s">
        <v>202</v>
      </c>
      <c r="C60" s="155">
        <f t="shared" si="0"/>
        <v>192050</v>
      </c>
      <c r="D60" s="155">
        <v>192050</v>
      </c>
      <c r="E60" s="155"/>
      <c r="F60" s="155"/>
      <c r="G60" s="155"/>
      <c r="H60" s="155">
        <f t="shared" si="1"/>
        <v>0</v>
      </c>
      <c r="I60" s="155"/>
      <c r="J60" s="155"/>
      <c r="K60" s="155"/>
      <c r="L60" s="155"/>
      <c r="M60" s="155"/>
      <c r="N60" s="155">
        <f t="shared" si="2"/>
        <v>192050</v>
      </c>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row>
    <row r="61" spans="1:43" ht="38.25">
      <c r="A61" s="91" t="s">
        <v>92</v>
      </c>
      <c r="B61" s="7" t="s">
        <v>151</v>
      </c>
      <c r="C61" s="155">
        <f t="shared" si="0"/>
        <v>1023876</v>
      </c>
      <c r="D61" s="148">
        <v>1023876</v>
      </c>
      <c r="E61" s="148"/>
      <c r="F61" s="148"/>
      <c r="G61" s="148"/>
      <c r="H61" s="155">
        <f t="shared" si="1"/>
        <v>0</v>
      </c>
      <c r="I61" s="148"/>
      <c r="J61" s="148"/>
      <c r="K61" s="148"/>
      <c r="L61" s="148"/>
      <c r="M61" s="148"/>
      <c r="N61" s="155">
        <f t="shared" si="2"/>
        <v>1023876</v>
      </c>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row>
    <row r="62" spans="1:43" ht="12.75">
      <c r="A62" s="91"/>
      <c r="B62" s="7" t="s">
        <v>203</v>
      </c>
      <c r="C62" s="155"/>
      <c r="D62" s="148"/>
      <c r="E62" s="148"/>
      <c r="F62" s="148"/>
      <c r="G62" s="148"/>
      <c r="H62" s="155"/>
      <c r="I62" s="148"/>
      <c r="J62" s="148"/>
      <c r="K62" s="148"/>
      <c r="L62" s="148"/>
      <c r="M62" s="148"/>
      <c r="N62" s="155"/>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row>
    <row r="63" spans="1:43" ht="63.75">
      <c r="A63" s="91"/>
      <c r="B63" s="7" t="s">
        <v>204</v>
      </c>
      <c r="C63" s="155">
        <f t="shared" si="0"/>
        <v>1023600</v>
      </c>
      <c r="D63" s="155">
        <v>1023600</v>
      </c>
      <c r="E63" s="155"/>
      <c r="F63" s="155"/>
      <c r="G63" s="155"/>
      <c r="H63" s="155">
        <f t="shared" si="1"/>
        <v>0</v>
      </c>
      <c r="I63" s="155"/>
      <c r="J63" s="155"/>
      <c r="K63" s="155"/>
      <c r="L63" s="155"/>
      <c r="M63" s="155"/>
      <c r="N63" s="155">
        <f t="shared" si="2"/>
        <v>1023600</v>
      </c>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row>
    <row r="64" spans="1:43" ht="25.5">
      <c r="A64" s="91"/>
      <c r="B64" s="7" t="s">
        <v>205</v>
      </c>
      <c r="C64" s="155">
        <f t="shared" si="0"/>
        <v>276</v>
      </c>
      <c r="D64" s="155">
        <v>276</v>
      </c>
      <c r="E64" s="155"/>
      <c r="F64" s="155"/>
      <c r="G64" s="155"/>
      <c r="H64" s="155">
        <f t="shared" si="1"/>
        <v>0</v>
      </c>
      <c r="I64" s="155"/>
      <c r="J64" s="155"/>
      <c r="K64" s="155"/>
      <c r="L64" s="155"/>
      <c r="M64" s="155"/>
      <c r="N64" s="155">
        <f t="shared" si="2"/>
        <v>276</v>
      </c>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row>
    <row r="65" spans="1:43" ht="25.5">
      <c r="A65" s="91" t="s">
        <v>50</v>
      </c>
      <c r="B65" s="7" t="s">
        <v>206</v>
      </c>
      <c r="C65" s="155">
        <f t="shared" si="0"/>
        <v>62340</v>
      </c>
      <c r="D65" s="148">
        <v>62340</v>
      </c>
      <c r="E65" s="148"/>
      <c r="F65" s="148"/>
      <c r="G65" s="148"/>
      <c r="H65" s="155">
        <f t="shared" si="1"/>
        <v>0</v>
      </c>
      <c r="I65" s="148"/>
      <c r="J65" s="148"/>
      <c r="K65" s="148"/>
      <c r="L65" s="148"/>
      <c r="M65" s="148"/>
      <c r="N65" s="155">
        <f t="shared" si="2"/>
        <v>62340</v>
      </c>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row>
    <row r="66" spans="1:43" ht="25.5">
      <c r="A66" s="91" t="s">
        <v>167</v>
      </c>
      <c r="B66" s="186" t="s">
        <v>438</v>
      </c>
      <c r="C66" s="155">
        <f>D66+G66</f>
        <v>19500</v>
      </c>
      <c r="D66" s="148">
        <v>19500</v>
      </c>
      <c r="E66" s="148"/>
      <c r="F66" s="148"/>
      <c r="G66" s="148"/>
      <c r="H66" s="155">
        <f>I66+L66</f>
        <v>0</v>
      </c>
      <c r="I66" s="148"/>
      <c r="J66" s="148"/>
      <c r="K66" s="148"/>
      <c r="L66" s="148"/>
      <c r="M66" s="148"/>
      <c r="N66" s="155">
        <f>C66+H66</f>
        <v>19500</v>
      </c>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row>
    <row r="67" spans="1:43" ht="25.5" hidden="1">
      <c r="A67" s="90" t="s">
        <v>335</v>
      </c>
      <c r="B67" s="80" t="s">
        <v>410</v>
      </c>
      <c r="C67" s="155">
        <f t="shared" si="0"/>
        <v>0</v>
      </c>
      <c r="D67" s="148"/>
      <c r="E67" s="148"/>
      <c r="F67" s="148"/>
      <c r="G67" s="148"/>
      <c r="H67" s="155"/>
      <c r="I67" s="148"/>
      <c r="J67" s="148"/>
      <c r="K67" s="148"/>
      <c r="L67" s="148"/>
      <c r="M67" s="148"/>
      <c r="N67" s="155">
        <f t="shared" si="2"/>
        <v>0</v>
      </c>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row>
    <row r="68" spans="1:43" ht="76.5" hidden="1">
      <c r="A68" s="90" t="s">
        <v>332</v>
      </c>
      <c r="B68" s="7" t="s">
        <v>334</v>
      </c>
      <c r="C68" s="155">
        <f t="shared" si="0"/>
        <v>0</v>
      </c>
      <c r="D68" s="148"/>
      <c r="E68" s="148"/>
      <c r="F68" s="148"/>
      <c r="G68" s="148"/>
      <c r="H68" s="155">
        <f t="shared" si="1"/>
        <v>0</v>
      </c>
      <c r="I68" s="148"/>
      <c r="J68" s="148"/>
      <c r="K68" s="148"/>
      <c r="L68" s="148"/>
      <c r="M68" s="148"/>
      <c r="N68" s="155">
        <f t="shared" si="2"/>
        <v>0</v>
      </c>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row>
    <row r="69" spans="1:43" ht="12.75" hidden="1">
      <c r="A69" s="90"/>
      <c r="B69" s="7" t="s">
        <v>203</v>
      </c>
      <c r="C69" s="155"/>
      <c r="D69" s="148"/>
      <c r="E69" s="148"/>
      <c r="F69" s="148"/>
      <c r="G69" s="148"/>
      <c r="H69" s="155"/>
      <c r="I69" s="148"/>
      <c r="J69" s="148"/>
      <c r="K69" s="148"/>
      <c r="L69" s="148"/>
      <c r="M69" s="148"/>
      <c r="N69" s="155"/>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row>
    <row r="70" spans="1:43" ht="63.75" hidden="1">
      <c r="A70" s="90"/>
      <c r="B70" s="7" t="s">
        <v>204</v>
      </c>
      <c r="C70" s="155">
        <f t="shared" si="0"/>
        <v>0</v>
      </c>
      <c r="D70" s="148"/>
      <c r="E70" s="148"/>
      <c r="F70" s="148"/>
      <c r="G70" s="148"/>
      <c r="H70" s="155"/>
      <c r="I70" s="148"/>
      <c r="J70" s="148"/>
      <c r="K70" s="148"/>
      <c r="L70" s="148"/>
      <c r="M70" s="148"/>
      <c r="N70" s="155">
        <f t="shared" si="2"/>
        <v>0</v>
      </c>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row>
    <row r="71" spans="1:43" ht="25.5">
      <c r="A71" s="91" t="s">
        <v>123</v>
      </c>
      <c r="B71" s="7" t="s">
        <v>207</v>
      </c>
      <c r="C71" s="155">
        <f t="shared" si="0"/>
        <v>808835</v>
      </c>
      <c r="D71" s="155">
        <v>808835</v>
      </c>
      <c r="E71" s="155"/>
      <c r="F71" s="155"/>
      <c r="G71" s="155"/>
      <c r="H71" s="155">
        <f t="shared" si="1"/>
        <v>0</v>
      </c>
      <c r="I71" s="155"/>
      <c r="J71" s="155"/>
      <c r="K71" s="155"/>
      <c r="L71" s="155"/>
      <c r="M71" s="155"/>
      <c r="N71" s="155">
        <f t="shared" si="2"/>
        <v>808835</v>
      </c>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row>
    <row r="72" spans="1:43" s="125" customFormat="1" ht="25.5">
      <c r="A72" s="127" t="s">
        <v>288</v>
      </c>
      <c r="B72" s="128" t="s">
        <v>374</v>
      </c>
      <c r="C72" s="172">
        <f t="shared" si="0"/>
        <v>226540</v>
      </c>
      <c r="D72" s="172">
        <f>D73</f>
        <v>224740</v>
      </c>
      <c r="E72" s="172">
        <f>E73</f>
        <v>129398</v>
      </c>
      <c r="F72" s="172">
        <f>F73</f>
        <v>7200</v>
      </c>
      <c r="G72" s="172">
        <f>G73</f>
        <v>1800</v>
      </c>
      <c r="H72" s="183">
        <f t="shared" si="1"/>
        <v>0</v>
      </c>
      <c r="I72" s="183">
        <f>I73+I74</f>
        <v>0</v>
      </c>
      <c r="J72" s="172">
        <f>J73</f>
        <v>0</v>
      </c>
      <c r="K72" s="172">
        <f>K73</f>
        <v>0</v>
      </c>
      <c r="L72" s="172">
        <f>L73</f>
        <v>0</v>
      </c>
      <c r="M72" s="172">
        <f>M73</f>
        <v>0</v>
      </c>
      <c r="N72" s="172">
        <f t="shared" si="2"/>
        <v>226540</v>
      </c>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row>
    <row r="73" spans="1:43" ht="12.75">
      <c r="A73" s="91" t="s">
        <v>24</v>
      </c>
      <c r="B73" s="7" t="s">
        <v>25</v>
      </c>
      <c r="C73" s="155">
        <f t="shared" si="0"/>
        <v>226540</v>
      </c>
      <c r="D73" s="155">
        <v>224740</v>
      </c>
      <c r="E73" s="155">
        <v>129398</v>
      </c>
      <c r="F73" s="155">
        <v>7200</v>
      </c>
      <c r="G73" s="155">
        <v>1800</v>
      </c>
      <c r="H73" s="155">
        <f t="shared" si="1"/>
        <v>0</v>
      </c>
      <c r="I73" s="155"/>
      <c r="J73" s="155"/>
      <c r="K73" s="155"/>
      <c r="L73" s="155"/>
      <c r="M73" s="155"/>
      <c r="N73" s="155">
        <f t="shared" si="2"/>
        <v>226540</v>
      </c>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row>
    <row r="74" spans="1:14" s="17" customFormat="1" ht="76.5" hidden="1">
      <c r="A74" s="119" t="s">
        <v>419</v>
      </c>
      <c r="B74" s="80" t="s">
        <v>420</v>
      </c>
      <c r="C74" s="148">
        <f t="shared" si="0"/>
        <v>0</v>
      </c>
      <c r="D74" s="148"/>
      <c r="E74" s="148"/>
      <c r="F74" s="148"/>
      <c r="G74" s="148"/>
      <c r="H74" s="179">
        <f t="shared" si="1"/>
        <v>0</v>
      </c>
      <c r="I74" s="179"/>
      <c r="J74" s="148"/>
      <c r="K74" s="148"/>
      <c r="L74" s="148"/>
      <c r="M74" s="148"/>
      <c r="N74" s="147">
        <f t="shared" si="2"/>
        <v>0</v>
      </c>
    </row>
    <row r="75" spans="1:43" s="125" customFormat="1" ht="25.5">
      <c r="A75" s="130" t="s">
        <v>394</v>
      </c>
      <c r="B75" s="128" t="s">
        <v>375</v>
      </c>
      <c r="C75" s="172">
        <f t="shared" si="0"/>
        <v>275000</v>
      </c>
      <c r="D75" s="160">
        <f>D76</f>
        <v>158000</v>
      </c>
      <c r="E75" s="160">
        <f>E76</f>
        <v>0</v>
      </c>
      <c r="F75" s="160">
        <f>F76</f>
        <v>81000</v>
      </c>
      <c r="G75" s="160">
        <f>G76</f>
        <v>117000</v>
      </c>
      <c r="H75" s="172">
        <f t="shared" si="1"/>
        <v>2500</v>
      </c>
      <c r="I75" s="160">
        <f>I76</f>
        <v>2500</v>
      </c>
      <c r="J75" s="160">
        <f>J76</f>
        <v>0</v>
      </c>
      <c r="K75" s="160">
        <f>K76</f>
        <v>0</v>
      </c>
      <c r="L75" s="160">
        <f>L76</f>
        <v>0</v>
      </c>
      <c r="M75" s="160">
        <f>M76</f>
        <v>0</v>
      </c>
      <c r="N75" s="172">
        <f t="shared" si="2"/>
        <v>277500</v>
      </c>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row>
    <row r="76" spans="1:43" ht="12.75">
      <c r="A76" s="90">
        <v>100203</v>
      </c>
      <c r="B76" s="7" t="s">
        <v>208</v>
      </c>
      <c r="C76" s="155">
        <f t="shared" si="0"/>
        <v>275000</v>
      </c>
      <c r="D76" s="148">
        <v>158000</v>
      </c>
      <c r="E76" s="148"/>
      <c r="F76" s="148">
        <v>81000</v>
      </c>
      <c r="G76" s="148">
        <v>117000</v>
      </c>
      <c r="H76" s="155">
        <f t="shared" si="1"/>
        <v>2500</v>
      </c>
      <c r="I76" s="148">
        <v>2500</v>
      </c>
      <c r="J76" s="148"/>
      <c r="K76" s="148"/>
      <c r="L76" s="148"/>
      <c r="M76" s="148"/>
      <c r="N76" s="155">
        <f t="shared" si="2"/>
        <v>277500</v>
      </c>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row>
    <row r="77" spans="1:43" ht="12.75" hidden="1">
      <c r="A77" s="91">
        <v>120200</v>
      </c>
      <c r="B77" s="7" t="s">
        <v>156</v>
      </c>
      <c r="C77" s="155">
        <f t="shared" si="0"/>
        <v>0</v>
      </c>
      <c r="D77" s="148"/>
      <c r="E77" s="148"/>
      <c r="F77" s="148"/>
      <c r="G77" s="148"/>
      <c r="H77" s="155">
        <f t="shared" si="1"/>
        <v>0</v>
      </c>
      <c r="I77" s="148"/>
      <c r="J77" s="148"/>
      <c r="K77" s="148"/>
      <c r="L77" s="148"/>
      <c r="M77" s="148"/>
      <c r="N77" s="155">
        <f t="shared" si="2"/>
        <v>0</v>
      </c>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row>
    <row r="78" spans="1:43" ht="12.75" hidden="1">
      <c r="A78" s="90">
        <v>130000</v>
      </c>
      <c r="B78" s="7" t="s">
        <v>79</v>
      </c>
      <c r="C78" s="155">
        <f t="shared" si="0"/>
        <v>0</v>
      </c>
      <c r="D78" s="155"/>
      <c r="E78" s="155"/>
      <c r="F78" s="155"/>
      <c r="G78" s="155"/>
      <c r="H78" s="155">
        <f t="shared" si="1"/>
        <v>0</v>
      </c>
      <c r="I78" s="155"/>
      <c r="J78" s="155"/>
      <c r="K78" s="155"/>
      <c r="L78" s="155"/>
      <c r="M78" s="155"/>
      <c r="N78" s="155">
        <f t="shared" si="2"/>
        <v>0</v>
      </c>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row>
    <row r="79" spans="1:43" ht="12.75" hidden="1">
      <c r="A79" s="90" t="s">
        <v>253</v>
      </c>
      <c r="B79" s="7" t="s">
        <v>87</v>
      </c>
      <c r="C79" s="155">
        <f t="shared" si="0"/>
        <v>0</v>
      </c>
      <c r="D79" s="148"/>
      <c r="E79" s="148"/>
      <c r="F79" s="148"/>
      <c r="G79" s="148"/>
      <c r="H79" s="155">
        <f t="shared" si="1"/>
        <v>0</v>
      </c>
      <c r="I79" s="148"/>
      <c r="J79" s="148"/>
      <c r="K79" s="148"/>
      <c r="L79" s="148"/>
      <c r="M79" s="148"/>
      <c r="N79" s="155">
        <f t="shared" si="2"/>
        <v>0</v>
      </c>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row>
    <row r="80" spans="1:43" ht="25.5" hidden="1">
      <c r="A80" s="90">
        <v>130102</v>
      </c>
      <c r="B80" s="7" t="s">
        <v>63</v>
      </c>
      <c r="C80" s="155">
        <f t="shared" si="0"/>
        <v>0</v>
      </c>
      <c r="D80" s="148"/>
      <c r="E80" s="148"/>
      <c r="F80" s="148"/>
      <c r="G80" s="148"/>
      <c r="H80" s="155">
        <f t="shared" si="1"/>
        <v>0</v>
      </c>
      <c r="I80" s="148"/>
      <c r="J80" s="148"/>
      <c r="K80" s="148"/>
      <c r="L80" s="148"/>
      <c r="M80" s="148"/>
      <c r="N80" s="155">
        <f t="shared" si="2"/>
        <v>0</v>
      </c>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row>
    <row r="81" spans="1:43" s="17" customFormat="1" ht="12.75">
      <c r="A81" s="88">
        <v>900202</v>
      </c>
      <c r="B81" s="78" t="s">
        <v>210</v>
      </c>
      <c r="C81" s="155">
        <f t="shared" si="0"/>
        <v>50969216</v>
      </c>
      <c r="D81" s="148">
        <f>D11+D26+D40+D72+D75</f>
        <v>50762416</v>
      </c>
      <c r="E81" s="148">
        <f>E11+E26+E40+E72+E75</f>
        <v>24048161</v>
      </c>
      <c r="F81" s="148">
        <f>F11+F26+F40+F72+F75</f>
        <v>2734593</v>
      </c>
      <c r="G81" s="148">
        <f>G11+G26+G40+G72+G75</f>
        <v>206800</v>
      </c>
      <c r="H81" s="155">
        <f t="shared" si="1"/>
        <v>2405646</v>
      </c>
      <c r="I81" s="148">
        <f>I11+I26+I40+I72+I75</f>
        <v>2346469</v>
      </c>
      <c r="J81" s="148">
        <f>J11+J26+J40+J72+J75</f>
        <v>377439</v>
      </c>
      <c r="K81" s="148">
        <f>K11+K26+K40+K72+K75</f>
        <v>142604</v>
      </c>
      <c r="L81" s="148">
        <f>L11+L26+L40+L72+L75</f>
        <v>59177</v>
      </c>
      <c r="M81" s="148">
        <f>M11+M26+M40+M72+M75</f>
        <v>0</v>
      </c>
      <c r="N81" s="155">
        <f t="shared" si="2"/>
        <v>53374862</v>
      </c>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row>
    <row r="83" spans="2:16" s="50" customFormat="1" ht="18">
      <c r="B83" s="195" t="s">
        <v>155</v>
      </c>
      <c r="C83" s="195"/>
      <c r="D83" s="195"/>
      <c r="E83" s="195"/>
      <c r="F83" s="195"/>
      <c r="G83" s="195"/>
      <c r="H83" s="195"/>
      <c r="I83" s="195"/>
      <c r="J83" s="195"/>
      <c r="K83" s="195"/>
      <c r="L83" s="195"/>
      <c r="M83" s="195"/>
      <c r="N83" s="195"/>
      <c r="O83" s="195"/>
      <c r="P83" s="195"/>
    </row>
    <row r="86" spans="3:8" ht="12.75">
      <c r="C86" s="54"/>
      <c r="H86" s="54"/>
    </row>
  </sheetData>
  <mergeCells count="9">
    <mergeCell ref="B83:P83"/>
    <mergeCell ref="A5:N5"/>
    <mergeCell ref="L1:N1"/>
    <mergeCell ref="L2:N2"/>
    <mergeCell ref="N8:N9"/>
    <mergeCell ref="A8:A9"/>
    <mergeCell ref="B8:B9"/>
    <mergeCell ref="C8:G8"/>
    <mergeCell ref="H8:M8"/>
  </mergeCells>
  <printOptions horizontalCentered="1"/>
  <pageMargins left="0.9055118110236221" right="0.35433070866141736" top="0.43" bottom="0.31" header="0.4330708661417323" footer="0.2755905511811024"/>
  <pageSetup fitToHeight="4" fitToWidth="1" horizontalDpi="120" verticalDpi="120" orientation="landscape" paperSize="9" scale="72" r:id="rId1"/>
  <rowBreaks count="1" manualBreakCount="1">
    <brk id="70" max="13" man="1"/>
  </rowBreaks>
  <colBreaks count="1" manualBreakCount="1">
    <brk id="1" max="80" man="1"/>
  </colBreaks>
</worksheet>
</file>

<file path=xl/worksheets/sheet4.xml><?xml version="1.0" encoding="utf-8"?>
<worksheet xmlns="http://schemas.openxmlformats.org/spreadsheetml/2006/main" xmlns:r="http://schemas.openxmlformats.org/officeDocument/2006/relationships">
  <sheetPr>
    <pageSetUpPr fitToPage="1"/>
  </sheetPr>
  <dimension ref="A1:P83"/>
  <sheetViews>
    <sheetView showZeros="0" view="pageBreakPreview" zoomScale="75" zoomScaleNormal="60" zoomScaleSheetLayoutView="75" workbookViewId="0" topLeftCell="A3">
      <pane xSplit="2" ySplit="7" topLeftCell="G71" activePane="bottomRight" state="frozen"/>
      <selection pane="topLeft" activeCell="A3" sqref="A3"/>
      <selection pane="topRight" activeCell="C3" sqref="C3"/>
      <selection pane="bottomLeft" activeCell="A10" sqref="A10"/>
      <selection pane="bottomRight" activeCell="J79" sqref="J79"/>
    </sheetView>
  </sheetViews>
  <sheetFormatPr defaultColWidth="9.125" defaultRowHeight="12.75"/>
  <cols>
    <col min="1" max="1" width="7.75390625" style="67" customWidth="1"/>
    <col min="2" max="2" width="38.625" style="67" customWidth="1"/>
    <col min="3" max="3" width="12.125" style="67" customWidth="1"/>
    <col min="4" max="4" width="12.00390625" style="67" customWidth="1"/>
    <col min="5" max="5" width="11.875" style="67" customWidth="1"/>
    <col min="6" max="6" width="10.125" style="67" customWidth="1"/>
    <col min="7" max="7" width="11.375" style="67" customWidth="1"/>
    <col min="8" max="8" width="12.125" style="67" customWidth="1"/>
    <col min="9" max="9" width="12.875" style="67" customWidth="1"/>
    <col min="10" max="10" width="11.875" style="67" customWidth="1"/>
    <col min="11" max="11" width="12.00390625" style="67" customWidth="1"/>
    <col min="12" max="12" width="11.375" style="67" customWidth="1"/>
    <col min="13" max="13" width="9.875" style="67" customWidth="1"/>
    <col min="14" max="14" width="12.875" style="67" customWidth="1"/>
    <col min="15" max="16384" width="9.125" style="67" customWidth="1"/>
  </cols>
  <sheetData>
    <row r="1" spans="1:14" s="66" customFormat="1" ht="18">
      <c r="A1" s="4"/>
      <c r="B1" s="4"/>
      <c r="C1" s="4"/>
      <c r="D1" s="4"/>
      <c r="E1" s="4"/>
      <c r="F1" s="4"/>
      <c r="G1" s="4"/>
      <c r="H1" s="4"/>
      <c r="I1" s="4"/>
      <c r="J1" s="4"/>
      <c r="K1" s="4"/>
      <c r="L1" s="192" t="s">
        <v>326</v>
      </c>
      <c r="M1" s="192"/>
      <c r="N1" s="192"/>
    </row>
    <row r="2" spans="12:14" s="66" customFormat="1" ht="18">
      <c r="L2" s="192" t="s">
        <v>115</v>
      </c>
      <c r="M2" s="192"/>
      <c r="N2" s="192"/>
    </row>
    <row r="3" spans="12:14" s="66" customFormat="1" ht="18">
      <c r="L3" s="192" t="s">
        <v>114</v>
      </c>
      <c r="M3" s="192"/>
      <c r="N3" s="192"/>
    </row>
    <row r="4" s="66" customFormat="1" ht="12.75"/>
    <row r="5" spans="1:15" s="66" customFormat="1" ht="18">
      <c r="A5" s="193" t="s">
        <v>9</v>
      </c>
      <c r="B5" s="193"/>
      <c r="C5" s="193"/>
      <c r="D5" s="193"/>
      <c r="E5" s="193"/>
      <c r="F5" s="193"/>
      <c r="G5" s="193"/>
      <c r="H5" s="193"/>
      <c r="I5" s="193"/>
      <c r="J5" s="193"/>
      <c r="K5" s="193"/>
      <c r="L5" s="193"/>
      <c r="M5" s="193"/>
      <c r="N5" s="193"/>
      <c r="O5" s="193"/>
    </row>
    <row r="6" s="66" customFormat="1" ht="12.75">
      <c r="N6" s="22" t="s">
        <v>379</v>
      </c>
    </row>
    <row r="7" spans="1:14" s="8" customFormat="1" ht="12.75">
      <c r="A7" s="188" t="s">
        <v>339</v>
      </c>
      <c r="B7" s="188" t="s">
        <v>340</v>
      </c>
      <c r="C7" s="200" t="s">
        <v>16</v>
      </c>
      <c r="D7" s="201"/>
      <c r="E7" s="201"/>
      <c r="F7" s="201"/>
      <c r="G7" s="202"/>
      <c r="H7" s="200" t="s">
        <v>17</v>
      </c>
      <c r="I7" s="201"/>
      <c r="J7" s="201"/>
      <c r="K7" s="201"/>
      <c r="L7" s="201"/>
      <c r="M7" s="202"/>
      <c r="N7" s="198" t="s">
        <v>97</v>
      </c>
    </row>
    <row r="8" spans="1:14" s="8" customFormat="1" ht="51">
      <c r="A8" s="188"/>
      <c r="B8" s="188"/>
      <c r="C8" s="9" t="s">
        <v>18</v>
      </c>
      <c r="D8" s="10" t="s">
        <v>19</v>
      </c>
      <c r="E8" s="10" t="s">
        <v>20</v>
      </c>
      <c r="F8" s="10" t="s">
        <v>21</v>
      </c>
      <c r="G8" s="10" t="s">
        <v>22</v>
      </c>
      <c r="H8" s="9" t="s">
        <v>18</v>
      </c>
      <c r="I8" s="10" t="s">
        <v>19</v>
      </c>
      <c r="J8" s="10" t="s">
        <v>20</v>
      </c>
      <c r="K8" s="10" t="s">
        <v>21</v>
      </c>
      <c r="L8" s="10" t="s">
        <v>22</v>
      </c>
      <c r="M8" s="10" t="s">
        <v>23</v>
      </c>
      <c r="N8" s="199"/>
    </row>
    <row r="9" spans="1:14" s="85" customFormat="1" ht="12.75">
      <c r="A9" s="15">
        <v>1</v>
      </c>
      <c r="B9" s="15">
        <v>2</v>
      </c>
      <c r="C9" s="14">
        <v>3</v>
      </c>
      <c r="D9" s="14">
        <v>4</v>
      </c>
      <c r="E9" s="14">
        <v>5</v>
      </c>
      <c r="F9" s="14">
        <v>6</v>
      </c>
      <c r="G9" s="95">
        <v>7</v>
      </c>
      <c r="H9" s="14">
        <v>8</v>
      </c>
      <c r="I9" s="96">
        <v>9</v>
      </c>
      <c r="J9" s="94">
        <v>10</v>
      </c>
      <c r="K9" s="94">
        <v>11</v>
      </c>
      <c r="L9" s="94">
        <v>12</v>
      </c>
      <c r="M9" s="83">
        <v>13</v>
      </c>
      <c r="N9" s="84">
        <v>14</v>
      </c>
    </row>
    <row r="10" spans="1:14" s="133" customFormat="1" ht="25.5">
      <c r="A10" s="124" t="s">
        <v>276</v>
      </c>
      <c r="B10" s="126" t="s">
        <v>346</v>
      </c>
      <c r="C10" s="159">
        <f>D10+G10</f>
        <v>14660807</v>
      </c>
      <c r="D10" s="159">
        <f>D11+D12+D19+D20+D21</f>
        <v>14650807</v>
      </c>
      <c r="E10" s="159">
        <f>E11+E12+E19+E20+E21</f>
        <v>9237577</v>
      </c>
      <c r="F10" s="159">
        <f>F11+F12+F19+F20+F21</f>
        <v>839445</v>
      </c>
      <c r="G10" s="159">
        <f>G11+G12+G19+G20+G21</f>
        <v>10000</v>
      </c>
      <c r="H10" s="159">
        <f>I10+L10</f>
        <v>1338523</v>
      </c>
      <c r="I10" s="159">
        <f>I11+I12+I19+I20+I21</f>
        <v>1190589</v>
      </c>
      <c r="J10" s="159">
        <f>J11+J12+J19+J20+J21</f>
        <v>463435</v>
      </c>
      <c r="K10" s="159">
        <f>K11+K12+K19+K20+K21</f>
        <v>75003</v>
      </c>
      <c r="L10" s="159">
        <f>L11+L12+L19+L20+L21</f>
        <v>147934</v>
      </c>
      <c r="M10" s="159">
        <f>M11+M12+M19+M20+M21</f>
        <v>0</v>
      </c>
      <c r="N10" s="159">
        <f>C10+H10</f>
        <v>15999330</v>
      </c>
    </row>
    <row r="11" spans="1:14" s="17" customFormat="1" ht="12.75">
      <c r="A11" s="92" t="s">
        <v>24</v>
      </c>
      <c r="B11" s="20" t="s">
        <v>25</v>
      </c>
      <c r="C11" s="147">
        <f aca="true" t="shared" si="0" ref="C11:C79">D11+G11</f>
        <v>1261937</v>
      </c>
      <c r="D11" s="147">
        <f>1274386-12449</f>
        <v>1261937</v>
      </c>
      <c r="E11" s="147">
        <f>707201-9140</f>
        <v>698061</v>
      </c>
      <c r="F11" s="147">
        <v>51000</v>
      </c>
      <c r="G11" s="147"/>
      <c r="H11" s="147">
        <f aca="true" t="shared" si="1" ref="H11:H79">I11+L11</f>
        <v>15529</v>
      </c>
      <c r="I11" s="147">
        <v>15529</v>
      </c>
      <c r="J11" s="147"/>
      <c r="K11" s="147">
        <v>5729</v>
      </c>
      <c r="L11" s="147"/>
      <c r="M11" s="147"/>
      <c r="N11" s="147">
        <f aca="true" t="shared" si="2" ref="N11:N79">C11+H11</f>
        <v>1277466</v>
      </c>
    </row>
    <row r="12" spans="1:14" s="17" customFormat="1" ht="12.75">
      <c r="A12" s="92" t="s">
        <v>35</v>
      </c>
      <c r="B12" s="20" t="s">
        <v>125</v>
      </c>
      <c r="C12" s="147">
        <f t="shared" si="0"/>
        <v>13361200</v>
      </c>
      <c r="D12" s="147">
        <f>D13+D14+D15+D16+D17+D18</f>
        <v>13351200</v>
      </c>
      <c r="E12" s="147">
        <f>E13+E14+E15+E16+E17+E18</f>
        <v>8539516</v>
      </c>
      <c r="F12" s="147">
        <f>F13+F14+F15+F16+F17+F18</f>
        <v>788445</v>
      </c>
      <c r="G12" s="147">
        <f>G13+G14+G15+G16+G17+G18</f>
        <v>10000</v>
      </c>
      <c r="H12" s="147">
        <f t="shared" si="1"/>
        <v>1222994</v>
      </c>
      <c r="I12" s="147">
        <f>I13+I14+I15+I16+I17+I18</f>
        <v>1125060</v>
      </c>
      <c r="J12" s="147">
        <f>J13+J14+J15+J16+J17+J18</f>
        <v>463435</v>
      </c>
      <c r="K12" s="147">
        <f>K13+K14+K15+K16+K17+K18</f>
        <v>69274</v>
      </c>
      <c r="L12" s="147">
        <f>L13+L14+L15+L16+L17+L18</f>
        <v>97934</v>
      </c>
      <c r="M12" s="147">
        <f>M13+M14+M15+M16+M17+M18</f>
        <v>0</v>
      </c>
      <c r="N12" s="147">
        <f t="shared" si="2"/>
        <v>14584194</v>
      </c>
    </row>
    <row r="13" spans="1:14" s="11" customFormat="1" ht="12.75">
      <c r="A13" s="92" t="s">
        <v>37</v>
      </c>
      <c r="B13" s="20" t="s">
        <v>38</v>
      </c>
      <c r="C13" s="147">
        <f t="shared" si="0"/>
        <v>8329353</v>
      </c>
      <c r="D13" s="147">
        <f>8309353+20000</f>
        <v>8329353</v>
      </c>
      <c r="E13" s="147">
        <v>5369184</v>
      </c>
      <c r="F13" s="147">
        <v>461300</v>
      </c>
      <c r="G13" s="147"/>
      <c r="H13" s="147">
        <f t="shared" si="1"/>
        <v>460046</v>
      </c>
      <c r="I13" s="147">
        <v>427112</v>
      </c>
      <c r="J13" s="150">
        <v>141340</v>
      </c>
      <c r="K13" s="150">
        <v>42224</v>
      </c>
      <c r="L13" s="150">
        <v>32934</v>
      </c>
      <c r="M13" s="150"/>
      <c r="N13" s="147">
        <f t="shared" si="2"/>
        <v>8789399</v>
      </c>
    </row>
    <row r="14" spans="1:14" s="11" customFormat="1" ht="12.75">
      <c r="A14" s="92" t="s">
        <v>88</v>
      </c>
      <c r="B14" s="20" t="s">
        <v>89</v>
      </c>
      <c r="C14" s="147">
        <f t="shared" si="0"/>
        <v>3790481</v>
      </c>
      <c r="D14" s="147">
        <v>3790481</v>
      </c>
      <c r="E14" s="147">
        <v>2441574</v>
      </c>
      <c r="F14" s="147">
        <v>268200</v>
      </c>
      <c r="G14" s="147"/>
      <c r="H14" s="147">
        <f t="shared" si="1"/>
        <v>11530</v>
      </c>
      <c r="I14" s="147">
        <v>11530</v>
      </c>
      <c r="J14" s="150">
        <v>900</v>
      </c>
      <c r="K14" s="150">
        <v>6600</v>
      </c>
      <c r="L14" s="150"/>
      <c r="M14" s="150"/>
      <c r="N14" s="147">
        <f t="shared" si="2"/>
        <v>3802011</v>
      </c>
    </row>
    <row r="15" spans="1:14" s="11" customFormat="1" ht="12.75" hidden="1">
      <c r="A15" s="92" t="s">
        <v>39</v>
      </c>
      <c r="B15" s="20" t="s">
        <v>40</v>
      </c>
      <c r="C15" s="147">
        <f t="shared" si="0"/>
        <v>0</v>
      </c>
      <c r="D15" s="147"/>
      <c r="E15" s="147"/>
      <c r="F15" s="147"/>
      <c r="G15" s="147"/>
      <c r="H15" s="147">
        <f t="shared" si="1"/>
        <v>0</v>
      </c>
      <c r="I15" s="147"/>
      <c r="J15" s="150"/>
      <c r="K15" s="150"/>
      <c r="L15" s="150"/>
      <c r="M15" s="150"/>
      <c r="N15" s="147">
        <f t="shared" si="2"/>
        <v>0</v>
      </c>
    </row>
    <row r="16" spans="1:14" s="11" customFormat="1" ht="25.5">
      <c r="A16" s="92" t="s">
        <v>41</v>
      </c>
      <c r="B16" s="163" t="s">
        <v>42</v>
      </c>
      <c r="C16" s="147">
        <f t="shared" si="0"/>
        <v>840070</v>
      </c>
      <c r="D16" s="147">
        <v>840070</v>
      </c>
      <c r="E16" s="147">
        <v>465013</v>
      </c>
      <c r="F16" s="147">
        <v>44945</v>
      </c>
      <c r="G16" s="147"/>
      <c r="H16" s="147">
        <f t="shared" si="1"/>
        <v>751418</v>
      </c>
      <c r="I16" s="147">
        <v>686418</v>
      </c>
      <c r="J16" s="150">
        <v>321195</v>
      </c>
      <c r="K16" s="150">
        <v>20450</v>
      </c>
      <c r="L16" s="150">
        <v>65000</v>
      </c>
      <c r="M16" s="150"/>
      <c r="N16" s="147">
        <f t="shared" si="2"/>
        <v>1591488</v>
      </c>
    </row>
    <row r="17" spans="1:14" s="11" customFormat="1" ht="12.75">
      <c r="A17" s="92" t="s">
        <v>47</v>
      </c>
      <c r="B17" s="20" t="s">
        <v>48</v>
      </c>
      <c r="C17" s="147">
        <f t="shared" si="0"/>
        <v>401296</v>
      </c>
      <c r="D17" s="147">
        <v>391296</v>
      </c>
      <c r="E17" s="147">
        <v>263745</v>
      </c>
      <c r="F17" s="147">
        <v>14000</v>
      </c>
      <c r="G17" s="147">
        <v>10000</v>
      </c>
      <c r="H17" s="147">
        <f t="shared" si="1"/>
        <v>0</v>
      </c>
      <c r="I17" s="147"/>
      <c r="J17" s="150"/>
      <c r="K17" s="150"/>
      <c r="L17" s="150"/>
      <c r="M17" s="150"/>
      <c r="N17" s="147">
        <f t="shared" si="2"/>
        <v>401296</v>
      </c>
    </row>
    <row r="18" spans="1:14" s="11" customFormat="1" ht="12.75" hidden="1">
      <c r="A18" s="92" t="s">
        <v>44</v>
      </c>
      <c r="B18" s="20" t="s">
        <v>96</v>
      </c>
      <c r="C18" s="147">
        <f t="shared" si="0"/>
        <v>0</v>
      </c>
      <c r="D18" s="147"/>
      <c r="E18" s="147"/>
      <c r="F18" s="147"/>
      <c r="G18" s="147"/>
      <c r="H18" s="147">
        <f t="shared" si="1"/>
        <v>0</v>
      </c>
      <c r="I18" s="147"/>
      <c r="J18" s="150"/>
      <c r="K18" s="150"/>
      <c r="L18" s="150"/>
      <c r="M18" s="150"/>
      <c r="N18" s="147">
        <f t="shared" si="2"/>
        <v>0</v>
      </c>
    </row>
    <row r="19" spans="1:14" s="8" customFormat="1" ht="25.5" hidden="1">
      <c r="A19" s="164" t="s">
        <v>167</v>
      </c>
      <c r="B19" s="165" t="s">
        <v>217</v>
      </c>
      <c r="C19" s="147">
        <f t="shared" si="0"/>
        <v>0</v>
      </c>
      <c r="D19" s="149"/>
      <c r="E19" s="149"/>
      <c r="F19" s="149"/>
      <c r="G19" s="149"/>
      <c r="H19" s="147">
        <f t="shared" si="1"/>
        <v>0</v>
      </c>
      <c r="I19" s="149"/>
      <c r="J19" s="149"/>
      <c r="K19" s="149"/>
      <c r="L19" s="149"/>
      <c r="M19" s="149"/>
      <c r="N19" s="147">
        <f t="shared" si="2"/>
        <v>0</v>
      </c>
    </row>
    <row r="20" spans="1:14" s="8" customFormat="1" ht="12.75">
      <c r="A20" s="166" t="s">
        <v>71</v>
      </c>
      <c r="B20" s="165" t="s">
        <v>93</v>
      </c>
      <c r="C20" s="147">
        <f t="shared" si="0"/>
        <v>0</v>
      </c>
      <c r="D20" s="149"/>
      <c r="E20" s="149"/>
      <c r="F20" s="149"/>
      <c r="G20" s="149"/>
      <c r="H20" s="147">
        <f t="shared" si="1"/>
        <v>100000</v>
      </c>
      <c r="I20" s="149">
        <v>50000</v>
      </c>
      <c r="J20" s="149"/>
      <c r="K20" s="149"/>
      <c r="L20" s="149">
        <v>50000</v>
      </c>
      <c r="M20" s="149"/>
      <c r="N20" s="147">
        <f t="shared" si="2"/>
        <v>100000</v>
      </c>
    </row>
    <row r="21" spans="1:14" s="8" customFormat="1" ht="12.75">
      <c r="A21" s="166" t="s">
        <v>73</v>
      </c>
      <c r="B21" s="80" t="s">
        <v>74</v>
      </c>
      <c r="C21" s="147">
        <f t="shared" si="0"/>
        <v>37670</v>
      </c>
      <c r="D21" s="149">
        <f>D22+D24+D25+D23</f>
        <v>37670</v>
      </c>
      <c r="E21" s="149">
        <f>E22+E24+E25+E23</f>
        <v>0</v>
      </c>
      <c r="F21" s="149">
        <f>F22+F24+F25+F23</f>
        <v>0</v>
      </c>
      <c r="G21" s="149">
        <f>G22+G24+G25+G23</f>
        <v>0</v>
      </c>
      <c r="H21" s="147">
        <f t="shared" si="1"/>
        <v>0</v>
      </c>
      <c r="I21" s="149">
        <f>I22+I24+I25+I23</f>
        <v>0</v>
      </c>
      <c r="J21" s="149">
        <f>J22+J24+J25+J23</f>
        <v>0</v>
      </c>
      <c r="K21" s="149">
        <f>K22+K24+K25+K23</f>
        <v>0</v>
      </c>
      <c r="L21" s="149">
        <f>L22+L24+L25+L23</f>
        <v>0</v>
      </c>
      <c r="M21" s="149">
        <f>M22+M24+M25+M23</f>
        <v>0</v>
      </c>
      <c r="N21" s="147">
        <f t="shared" si="2"/>
        <v>37670</v>
      </c>
    </row>
    <row r="22" spans="1:14" s="8" customFormat="1" ht="25.5">
      <c r="A22" s="166"/>
      <c r="B22" s="80" t="s">
        <v>254</v>
      </c>
      <c r="C22" s="147">
        <f t="shared" si="0"/>
        <v>18950</v>
      </c>
      <c r="D22" s="149">
        <v>18950</v>
      </c>
      <c r="E22" s="149"/>
      <c r="F22" s="149"/>
      <c r="G22" s="149"/>
      <c r="H22" s="147">
        <f t="shared" si="1"/>
        <v>0</v>
      </c>
      <c r="I22" s="149"/>
      <c r="J22" s="149"/>
      <c r="K22" s="149"/>
      <c r="L22" s="149"/>
      <c r="M22" s="149"/>
      <c r="N22" s="147">
        <f t="shared" si="2"/>
        <v>18950</v>
      </c>
    </row>
    <row r="23" spans="1:14" s="8" customFormat="1" ht="38.25" hidden="1">
      <c r="A23" s="166"/>
      <c r="B23" s="109" t="s">
        <v>248</v>
      </c>
      <c r="C23" s="147">
        <f t="shared" si="0"/>
        <v>0</v>
      </c>
      <c r="D23" s="149"/>
      <c r="E23" s="149"/>
      <c r="F23" s="149"/>
      <c r="G23" s="149"/>
      <c r="H23" s="147">
        <f t="shared" si="1"/>
        <v>0</v>
      </c>
      <c r="I23" s="149"/>
      <c r="J23" s="149"/>
      <c r="K23" s="149"/>
      <c r="L23" s="149"/>
      <c r="M23" s="149"/>
      <c r="N23" s="147">
        <f t="shared" si="2"/>
        <v>0</v>
      </c>
    </row>
    <row r="24" spans="1:14" s="8" customFormat="1" ht="25.5" hidden="1">
      <c r="A24" s="166"/>
      <c r="B24" s="80" t="s">
        <v>244</v>
      </c>
      <c r="C24" s="147">
        <f t="shared" si="0"/>
        <v>0</v>
      </c>
      <c r="D24" s="149"/>
      <c r="E24" s="149"/>
      <c r="F24" s="149"/>
      <c r="G24" s="149"/>
      <c r="H24" s="147">
        <f t="shared" si="1"/>
        <v>0</v>
      </c>
      <c r="I24" s="149"/>
      <c r="J24" s="149"/>
      <c r="K24" s="149"/>
      <c r="L24" s="149"/>
      <c r="M24" s="149"/>
      <c r="N24" s="147">
        <f t="shared" si="2"/>
        <v>0</v>
      </c>
    </row>
    <row r="25" spans="1:14" s="8" customFormat="1" ht="25.5">
      <c r="A25" s="166"/>
      <c r="B25" s="78" t="s">
        <v>255</v>
      </c>
      <c r="C25" s="147">
        <f t="shared" si="0"/>
        <v>18720</v>
      </c>
      <c r="D25" s="149">
        <v>18720</v>
      </c>
      <c r="E25" s="149"/>
      <c r="F25" s="149"/>
      <c r="G25" s="149"/>
      <c r="H25" s="147">
        <f t="shared" si="1"/>
        <v>0</v>
      </c>
      <c r="I25" s="149"/>
      <c r="J25" s="149"/>
      <c r="K25" s="149"/>
      <c r="L25" s="149"/>
      <c r="M25" s="149"/>
      <c r="N25" s="147">
        <f t="shared" si="2"/>
        <v>18720</v>
      </c>
    </row>
    <row r="26" spans="1:14" s="133" customFormat="1" ht="25.5">
      <c r="A26" s="124" t="s">
        <v>280</v>
      </c>
      <c r="B26" s="126" t="s">
        <v>347</v>
      </c>
      <c r="C26" s="159">
        <f t="shared" si="0"/>
        <v>23941517</v>
      </c>
      <c r="D26" s="159">
        <f>D27+D28+D39</f>
        <v>23901517</v>
      </c>
      <c r="E26" s="159">
        <f>E27+E28+E39</f>
        <v>15036689</v>
      </c>
      <c r="F26" s="159">
        <f>F27+F28+F39</f>
        <v>1308732</v>
      </c>
      <c r="G26" s="159">
        <f>G27+G28+G39</f>
        <v>40000</v>
      </c>
      <c r="H26" s="159">
        <f t="shared" si="1"/>
        <v>1674606</v>
      </c>
      <c r="I26" s="159">
        <f>I27+I28</f>
        <v>1674606</v>
      </c>
      <c r="J26" s="159">
        <f>J27+J28</f>
        <v>389400</v>
      </c>
      <c r="K26" s="159">
        <f>K27+K28</f>
        <v>45540</v>
      </c>
      <c r="L26" s="159">
        <f>L27+L28</f>
        <v>0</v>
      </c>
      <c r="M26" s="159">
        <f>M27+M28</f>
        <v>0</v>
      </c>
      <c r="N26" s="159">
        <f t="shared" si="2"/>
        <v>25616123</v>
      </c>
    </row>
    <row r="27" spans="1:14" s="17" customFormat="1" ht="12.75">
      <c r="A27" s="92" t="s">
        <v>24</v>
      </c>
      <c r="B27" s="20" t="s">
        <v>25</v>
      </c>
      <c r="C27" s="147">
        <f t="shared" si="0"/>
        <v>135469</v>
      </c>
      <c r="D27" s="147">
        <v>135469</v>
      </c>
      <c r="E27" s="147">
        <v>95625</v>
      </c>
      <c r="F27" s="147"/>
      <c r="G27" s="147"/>
      <c r="H27" s="147">
        <f t="shared" si="1"/>
        <v>0</v>
      </c>
      <c r="I27" s="147"/>
      <c r="J27" s="147"/>
      <c r="K27" s="147"/>
      <c r="L27" s="147"/>
      <c r="M27" s="147"/>
      <c r="N27" s="147">
        <f t="shared" si="2"/>
        <v>135469</v>
      </c>
    </row>
    <row r="28" spans="1:14" s="17" customFormat="1" ht="12.75">
      <c r="A28" s="92" t="s">
        <v>26</v>
      </c>
      <c r="B28" s="78" t="s">
        <v>197</v>
      </c>
      <c r="C28" s="147">
        <f t="shared" si="0"/>
        <v>23800000</v>
      </c>
      <c r="D28" s="147">
        <f>D29+D30+D31+D33+D34+D35+D36+D32+D37+D38</f>
        <v>23760000</v>
      </c>
      <c r="E28" s="147">
        <f>E29+E30+E31+E33+E34+E35+E36+E32+E37+E38</f>
        <v>14941064</v>
      </c>
      <c r="F28" s="147">
        <f>F29+F30+F31+F33+F34+F35+F36+F32+F37+F38</f>
        <v>1308732</v>
      </c>
      <c r="G28" s="147">
        <f>G29+G30+G31+G33+G34+G35+G36+G32+G37+G38</f>
        <v>40000</v>
      </c>
      <c r="H28" s="147">
        <f t="shared" si="1"/>
        <v>1674606</v>
      </c>
      <c r="I28" s="147">
        <f>I29+I30+I31+I33+I34+I35+I36+I32+I37+I38</f>
        <v>1674606</v>
      </c>
      <c r="J28" s="147">
        <f>J29+J30+J31+J33+J34+J35+J36+J32+J37+J38</f>
        <v>389400</v>
      </c>
      <c r="K28" s="147">
        <f>K29+K30+K31+K33+K34+K35+K36+K32+K37+K38</f>
        <v>45540</v>
      </c>
      <c r="L28" s="147">
        <f>L29+L30+L31+L33+L34+L35+L36+L32+L37+L38</f>
        <v>0</v>
      </c>
      <c r="M28" s="147">
        <f>M29+M30+M31+M33+M34+M35+M36+M32</f>
        <v>0</v>
      </c>
      <c r="N28" s="147">
        <f t="shared" si="2"/>
        <v>25474606</v>
      </c>
    </row>
    <row r="29" spans="1:14" s="11" customFormat="1" ht="12.75">
      <c r="A29" s="92" t="s">
        <v>82</v>
      </c>
      <c r="B29" s="20" t="s">
        <v>78</v>
      </c>
      <c r="C29" s="147">
        <f t="shared" si="0"/>
        <v>6637620</v>
      </c>
      <c r="D29" s="147">
        <v>6637620</v>
      </c>
      <c r="E29" s="147">
        <v>3565983</v>
      </c>
      <c r="F29" s="147">
        <v>549135</v>
      </c>
      <c r="G29" s="147"/>
      <c r="H29" s="147">
        <f t="shared" si="1"/>
        <v>877043</v>
      </c>
      <c r="I29" s="147">
        <v>877043</v>
      </c>
      <c r="J29" s="150">
        <v>14900</v>
      </c>
      <c r="K29" s="150">
        <v>7450</v>
      </c>
      <c r="L29" s="150"/>
      <c r="M29" s="150"/>
      <c r="N29" s="147">
        <f t="shared" si="2"/>
        <v>7514663</v>
      </c>
    </row>
    <row r="30" spans="1:14" s="11" customFormat="1" ht="51">
      <c r="A30" s="92" t="s">
        <v>28</v>
      </c>
      <c r="B30" s="20" t="s">
        <v>294</v>
      </c>
      <c r="C30" s="147">
        <f t="shared" si="0"/>
        <v>15253334</v>
      </c>
      <c r="D30" s="147">
        <v>15253334</v>
      </c>
      <c r="E30" s="147">
        <v>10087991</v>
      </c>
      <c r="F30" s="147">
        <v>731034</v>
      </c>
      <c r="G30" s="147"/>
      <c r="H30" s="147">
        <f t="shared" si="1"/>
        <v>797563</v>
      </c>
      <c r="I30" s="147">
        <v>797563</v>
      </c>
      <c r="J30" s="150">
        <v>374500</v>
      </c>
      <c r="K30" s="150">
        <v>38090</v>
      </c>
      <c r="L30" s="150"/>
      <c r="M30" s="150"/>
      <c r="N30" s="147">
        <f t="shared" si="2"/>
        <v>16050897</v>
      </c>
    </row>
    <row r="31" spans="1:14" s="11" customFormat="1" ht="12.75">
      <c r="A31" s="92" t="s">
        <v>83</v>
      </c>
      <c r="B31" s="20" t="s">
        <v>94</v>
      </c>
      <c r="C31" s="147">
        <f t="shared" si="0"/>
        <v>813457</v>
      </c>
      <c r="D31" s="147">
        <v>813457</v>
      </c>
      <c r="E31" s="147">
        <v>588669</v>
      </c>
      <c r="F31" s="147">
        <v>7800</v>
      </c>
      <c r="G31" s="147"/>
      <c r="H31" s="147">
        <f t="shared" si="1"/>
        <v>0</v>
      </c>
      <c r="I31" s="147"/>
      <c r="J31" s="150"/>
      <c r="K31" s="150"/>
      <c r="L31" s="150"/>
      <c r="M31" s="150"/>
      <c r="N31" s="147">
        <f t="shared" si="2"/>
        <v>813457</v>
      </c>
    </row>
    <row r="32" spans="1:14" s="11" customFormat="1" ht="51" hidden="1">
      <c r="A32" s="46" t="s">
        <v>389</v>
      </c>
      <c r="B32" s="20" t="s">
        <v>390</v>
      </c>
      <c r="C32" s="147">
        <f t="shared" si="0"/>
        <v>0</v>
      </c>
      <c r="D32" s="147"/>
      <c r="E32" s="147"/>
      <c r="F32" s="147"/>
      <c r="G32" s="147"/>
      <c r="H32" s="147">
        <f t="shared" si="1"/>
        <v>0</v>
      </c>
      <c r="I32" s="147"/>
      <c r="J32" s="150"/>
      <c r="K32" s="150"/>
      <c r="L32" s="150"/>
      <c r="M32" s="150"/>
      <c r="N32" s="147">
        <f t="shared" si="2"/>
        <v>0</v>
      </c>
    </row>
    <row r="33" spans="1:14" s="11" customFormat="1" ht="25.5">
      <c r="A33" s="92" t="s">
        <v>31</v>
      </c>
      <c r="B33" s="167" t="s">
        <v>295</v>
      </c>
      <c r="C33" s="147">
        <f t="shared" si="0"/>
        <v>157716</v>
      </c>
      <c r="D33" s="147">
        <v>157716</v>
      </c>
      <c r="E33" s="147">
        <v>113903</v>
      </c>
      <c r="F33" s="147"/>
      <c r="G33" s="147"/>
      <c r="H33" s="147">
        <f t="shared" si="1"/>
        <v>0</v>
      </c>
      <c r="I33" s="147"/>
      <c r="J33" s="150"/>
      <c r="K33" s="150"/>
      <c r="L33" s="150"/>
      <c r="M33" s="150"/>
      <c r="N33" s="147">
        <f t="shared" si="2"/>
        <v>157716</v>
      </c>
    </row>
    <row r="34" spans="1:14" s="11" customFormat="1" ht="25.5">
      <c r="A34" s="92" t="s">
        <v>32</v>
      </c>
      <c r="B34" s="20" t="s">
        <v>296</v>
      </c>
      <c r="C34" s="147">
        <f t="shared" si="0"/>
        <v>479367</v>
      </c>
      <c r="D34" s="147">
        <v>479367</v>
      </c>
      <c r="E34" s="147">
        <v>306470</v>
      </c>
      <c r="F34" s="147">
        <v>15365</v>
      </c>
      <c r="G34" s="147"/>
      <c r="H34" s="147">
        <f t="shared" si="1"/>
        <v>0</v>
      </c>
      <c r="I34" s="147"/>
      <c r="J34" s="150"/>
      <c r="K34" s="150"/>
      <c r="L34" s="150"/>
      <c r="M34" s="150"/>
      <c r="N34" s="147">
        <f t="shared" si="2"/>
        <v>479367</v>
      </c>
    </row>
    <row r="35" spans="1:14" s="11" customFormat="1" ht="25.5">
      <c r="A35" s="92" t="s">
        <v>33</v>
      </c>
      <c r="B35" s="20" t="s">
        <v>34</v>
      </c>
      <c r="C35" s="147">
        <f t="shared" si="0"/>
        <v>165151</v>
      </c>
      <c r="D35" s="147">
        <v>125151</v>
      </c>
      <c r="E35" s="147">
        <v>82162</v>
      </c>
      <c r="F35" s="147"/>
      <c r="G35" s="147">
        <v>40000</v>
      </c>
      <c r="H35" s="147">
        <f t="shared" si="1"/>
        <v>0</v>
      </c>
      <c r="I35" s="147"/>
      <c r="J35" s="150"/>
      <c r="K35" s="150"/>
      <c r="L35" s="150"/>
      <c r="M35" s="150"/>
      <c r="N35" s="147">
        <f t="shared" si="2"/>
        <v>165151</v>
      </c>
    </row>
    <row r="36" spans="1:14" s="11" customFormat="1" ht="12.75">
      <c r="A36" s="92" t="s">
        <v>106</v>
      </c>
      <c r="B36" s="20" t="s">
        <v>95</v>
      </c>
      <c r="C36" s="147">
        <f t="shared" si="0"/>
        <v>273480</v>
      </c>
      <c r="D36" s="147">
        <v>273480</v>
      </c>
      <c r="E36" s="147">
        <v>195886</v>
      </c>
      <c r="F36" s="147">
        <v>5398</v>
      </c>
      <c r="G36" s="147"/>
      <c r="H36" s="147">
        <f t="shared" si="1"/>
        <v>0</v>
      </c>
      <c r="I36" s="147"/>
      <c r="J36" s="150"/>
      <c r="K36" s="150"/>
      <c r="L36" s="150"/>
      <c r="M36" s="150"/>
      <c r="N36" s="147">
        <f t="shared" si="2"/>
        <v>273480</v>
      </c>
    </row>
    <row r="37" spans="1:14" s="17" customFormat="1" ht="38.25">
      <c r="A37" s="46" t="s">
        <v>387</v>
      </c>
      <c r="B37" s="89" t="s">
        <v>388</v>
      </c>
      <c r="C37" s="148">
        <f t="shared" si="0"/>
        <v>19875</v>
      </c>
      <c r="D37" s="148">
        <v>19875</v>
      </c>
      <c r="E37" s="148"/>
      <c r="F37" s="148"/>
      <c r="G37" s="148"/>
      <c r="H37" s="148">
        <f t="shared" si="1"/>
        <v>0</v>
      </c>
      <c r="I37" s="148"/>
      <c r="J37" s="148"/>
      <c r="K37" s="148"/>
      <c r="L37" s="148"/>
      <c r="M37" s="148"/>
      <c r="N37" s="147">
        <f t="shared" si="2"/>
        <v>19875</v>
      </c>
    </row>
    <row r="38" spans="1:16" s="22" customFormat="1" ht="89.25" hidden="1">
      <c r="A38" s="45" t="s">
        <v>416</v>
      </c>
      <c r="B38" s="27" t="s">
        <v>417</v>
      </c>
      <c r="C38" s="144">
        <f t="shared" si="0"/>
        <v>0</v>
      </c>
      <c r="D38" s="144"/>
      <c r="E38" s="144"/>
      <c r="F38" s="144"/>
      <c r="G38" s="144"/>
      <c r="H38" s="144">
        <f t="shared" si="1"/>
        <v>0</v>
      </c>
      <c r="I38" s="144"/>
      <c r="J38" s="144"/>
      <c r="K38" s="144"/>
      <c r="L38" s="144"/>
      <c r="M38" s="144"/>
      <c r="N38" s="143">
        <f t="shared" si="2"/>
        <v>0</v>
      </c>
      <c r="O38" s="145"/>
      <c r="P38" s="145"/>
    </row>
    <row r="39" spans="1:16" s="22" customFormat="1" ht="63.75">
      <c r="A39" s="45" t="s">
        <v>323</v>
      </c>
      <c r="B39" s="27" t="s">
        <v>436</v>
      </c>
      <c r="C39" s="144">
        <f t="shared" si="0"/>
        <v>6048</v>
      </c>
      <c r="D39" s="147">
        <v>6048</v>
      </c>
      <c r="E39" s="144"/>
      <c r="F39" s="144"/>
      <c r="G39" s="144"/>
      <c r="H39" s="144">
        <f t="shared" si="1"/>
        <v>0</v>
      </c>
      <c r="I39" s="144"/>
      <c r="J39" s="144"/>
      <c r="K39" s="144"/>
      <c r="L39" s="144"/>
      <c r="M39" s="144"/>
      <c r="N39" s="143">
        <f t="shared" si="2"/>
        <v>6048</v>
      </c>
      <c r="O39" s="145"/>
      <c r="P39" s="145"/>
    </row>
    <row r="40" spans="1:14" s="133" customFormat="1" ht="38.25">
      <c r="A40" s="124" t="s">
        <v>281</v>
      </c>
      <c r="B40" s="126" t="s">
        <v>348</v>
      </c>
      <c r="C40" s="159">
        <f t="shared" si="0"/>
        <v>14608902</v>
      </c>
      <c r="D40" s="159">
        <f>D41+D42</f>
        <v>14580902</v>
      </c>
      <c r="E40" s="159">
        <f>E41+E42</f>
        <v>578378</v>
      </c>
      <c r="F40" s="159">
        <f>F41+F42</f>
        <v>24865</v>
      </c>
      <c r="G40" s="159">
        <f>G41+G42</f>
        <v>28000</v>
      </c>
      <c r="H40" s="159">
        <f t="shared" si="1"/>
        <v>0</v>
      </c>
      <c r="I40" s="159">
        <f>I41+I42</f>
        <v>0</v>
      </c>
      <c r="J40" s="159">
        <f>J41+J42</f>
        <v>0</v>
      </c>
      <c r="K40" s="159">
        <f>K41+K42</f>
        <v>0</v>
      </c>
      <c r="L40" s="159">
        <f>L41+L42</f>
        <v>0</v>
      </c>
      <c r="M40" s="159">
        <f>M41+M42</f>
        <v>0</v>
      </c>
      <c r="N40" s="159">
        <f t="shared" si="2"/>
        <v>14608902</v>
      </c>
    </row>
    <row r="41" spans="1:14" s="17" customFormat="1" ht="12.75">
      <c r="A41" s="92" t="s">
        <v>24</v>
      </c>
      <c r="B41" s="20" t="s">
        <v>25</v>
      </c>
      <c r="C41" s="147">
        <f t="shared" si="0"/>
        <v>870556</v>
      </c>
      <c r="D41" s="147">
        <v>842556</v>
      </c>
      <c r="E41" s="147">
        <v>578378</v>
      </c>
      <c r="F41" s="147">
        <v>24865</v>
      </c>
      <c r="G41" s="147">
        <v>28000</v>
      </c>
      <c r="H41" s="147">
        <f t="shared" si="1"/>
        <v>0</v>
      </c>
      <c r="I41" s="147"/>
      <c r="J41" s="147"/>
      <c r="K41" s="147"/>
      <c r="L41" s="147"/>
      <c r="M41" s="147"/>
      <c r="N41" s="147">
        <f t="shared" si="2"/>
        <v>870556</v>
      </c>
    </row>
    <row r="42" spans="1:14" s="22" customFormat="1" ht="25.5">
      <c r="A42" s="92" t="s">
        <v>49</v>
      </c>
      <c r="B42" s="20" t="s">
        <v>150</v>
      </c>
      <c r="C42" s="147">
        <f t="shared" si="0"/>
        <v>13738346</v>
      </c>
      <c r="D42" s="148">
        <f>D43+D44+D45+D46+D47+D49+D50+D51+D53+D54+D55+D56+D57+D59+D60+D64+D67+D72+D48+D71+D65+D66+D58</f>
        <v>13738346</v>
      </c>
      <c r="E42" s="148">
        <f>E43+E44+E45+E46+E47+E49+E50+E51+E53+E54+E55+E56+E57+E59+E60+E64+E67+E72+E48+E71</f>
        <v>0</v>
      </c>
      <c r="F42" s="148">
        <f>F43+F44+F45+F46+F47+F49+F50+F51+F53+F54+F55+F56+F57+F59+F60+F64+F67+F72+F48+F71</f>
        <v>0</v>
      </c>
      <c r="G42" s="148">
        <f>G43+G44+G45+G46+G47+G49+G50+G51+G53+G54+G55+G56+G57+G59+G60+G64+G67+G72+G48+G71</f>
        <v>0</v>
      </c>
      <c r="H42" s="147">
        <f t="shared" si="1"/>
        <v>0</v>
      </c>
      <c r="I42" s="148">
        <f>I43+I44+I45+I46+I47+I49+I50+I51+I53+I54+I55+I56+I57+I59+I60+I64+I67+I72+I48+I71</f>
        <v>0</v>
      </c>
      <c r="J42" s="148">
        <f>J43+J44+J45+J46+J47+J49+J50+J51+J53+J54+J55+J56+J57+J59+J60+J64+J67+J72+J48+J71</f>
        <v>0</v>
      </c>
      <c r="K42" s="148">
        <f>K43+K44+K45+K46+K47+K49+K50+K51+K53+K54+K55+K56+K57+K59+K60+K64+K67+K72+K48+K71</f>
        <v>0</v>
      </c>
      <c r="L42" s="148">
        <f>L43+L44+L45+L46+L47+L49+L50+L51+L53+L54+L55+L56+L57+L59+L60+L64+L67+L72+L48+L71</f>
        <v>0</v>
      </c>
      <c r="M42" s="148">
        <f>M43+M44+M45+M46+M47+M49+M50+M51+M53+M54+M55+M56+M57+M59+M60+M64+M67+M72+M48+M71</f>
        <v>0</v>
      </c>
      <c r="N42" s="147">
        <f t="shared" si="2"/>
        <v>13738346</v>
      </c>
    </row>
    <row r="43" spans="1:14" s="8" customFormat="1" ht="102">
      <c r="A43" s="164" t="s">
        <v>165</v>
      </c>
      <c r="B43" s="89" t="s">
        <v>443</v>
      </c>
      <c r="C43" s="147">
        <f t="shared" si="0"/>
        <v>7155110</v>
      </c>
      <c r="D43" s="149">
        <v>7155110</v>
      </c>
      <c r="E43" s="149"/>
      <c r="F43" s="149"/>
      <c r="G43" s="149"/>
      <c r="H43" s="147">
        <f t="shared" si="1"/>
        <v>0</v>
      </c>
      <c r="I43" s="149"/>
      <c r="J43" s="149"/>
      <c r="K43" s="149"/>
      <c r="L43" s="149"/>
      <c r="M43" s="149"/>
      <c r="N43" s="147">
        <f t="shared" si="2"/>
        <v>7155110</v>
      </c>
    </row>
    <row r="44" spans="1:14" s="8" customFormat="1" ht="63.75">
      <c r="A44" s="164" t="s">
        <v>171</v>
      </c>
      <c r="B44" s="89" t="s">
        <v>444</v>
      </c>
      <c r="C44" s="147">
        <f t="shared" si="0"/>
        <v>16055</v>
      </c>
      <c r="D44" s="149">
        <v>16055</v>
      </c>
      <c r="E44" s="149"/>
      <c r="F44" s="149"/>
      <c r="G44" s="149"/>
      <c r="H44" s="147">
        <f t="shared" si="1"/>
        <v>0</v>
      </c>
      <c r="I44" s="149"/>
      <c r="J44" s="149"/>
      <c r="K44" s="149"/>
      <c r="L44" s="149"/>
      <c r="M44" s="149"/>
      <c r="N44" s="147">
        <f t="shared" si="2"/>
        <v>16055</v>
      </c>
    </row>
    <row r="45" spans="1:14" s="8" customFormat="1" ht="89.25">
      <c r="A45" s="164" t="s">
        <v>172</v>
      </c>
      <c r="B45" s="20" t="s">
        <v>445</v>
      </c>
      <c r="C45" s="147">
        <f t="shared" si="0"/>
        <v>1395285</v>
      </c>
      <c r="D45" s="149">
        <v>1395285</v>
      </c>
      <c r="E45" s="149"/>
      <c r="F45" s="149"/>
      <c r="G45" s="149"/>
      <c r="H45" s="147">
        <f t="shared" si="1"/>
        <v>0</v>
      </c>
      <c r="I45" s="149"/>
      <c r="J45" s="149"/>
      <c r="K45" s="149"/>
      <c r="L45" s="149"/>
      <c r="M45" s="149"/>
      <c r="N45" s="147">
        <f t="shared" si="2"/>
        <v>1395285</v>
      </c>
    </row>
    <row r="46" spans="1:14" s="8" customFormat="1" ht="357">
      <c r="A46" s="164" t="s">
        <v>173</v>
      </c>
      <c r="B46" s="20" t="s">
        <v>1</v>
      </c>
      <c r="C46" s="147">
        <f t="shared" si="0"/>
        <v>231554</v>
      </c>
      <c r="D46" s="149">
        <v>231554</v>
      </c>
      <c r="E46" s="149"/>
      <c r="F46" s="149"/>
      <c r="G46" s="149"/>
      <c r="H46" s="147">
        <f t="shared" si="1"/>
        <v>0</v>
      </c>
      <c r="I46" s="149"/>
      <c r="J46" s="149"/>
      <c r="K46" s="149"/>
      <c r="L46" s="149"/>
      <c r="M46" s="149"/>
      <c r="N46" s="147">
        <f t="shared" si="2"/>
        <v>231554</v>
      </c>
    </row>
    <row r="47" spans="1:14" s="8" customFormat="1" ht="280.5">
      <c r="A47" s="164" t="s">
        <v>174</v>
      </c>
      <c r="B47" s="20" t="s">
        <v>2</v>
      </c>
      <c r="C47" s="147">
        <f t="shared" si="0"/>
        <v>500</v>
      </c>
      <c r="D47" s="149">
        <v>500</v>
      </c>
      <c r="E47" s="149"/>
      <c r="F47" s="149"/>
      <c r="G47" s="149"/>
      <c r="H47" s="147">
        <f t="shared" si="1"/>
        <v>0</v>
      </c>
      <c r="I47" s="149"/>
      <c r="J47" s="149"/>
      <c r="K47" s="149"/>
      <c r="L47" s="149"/>
      <c r="M47" s="149"/>
      <c r="N47" s="147">
        <f t="shared" si="2"/>
        <v>500</v>
      </c>
    </row>
    <row r="48" spans="1:14" s="8" customFormat="1" ht="127.5">
      <c r="A48" s="164" t="s">
        <v>166</v>
      </c>
      <c r="B48" s="20" t="s">
        <v>13</v>
      </c>
      <c r="C48" s="147">
        <f t="shared" si="0"/>
        <v>23000</v>
      </c>
      <c r="D48" s="149">
        <v>23000</v>
      </c>
      <c r="E48" s="149"/>
      <c r="F48" s="149"/>
      <c r="G48" s="149"/>
      <c r="H48" s="147">
        <f t="shared" si="1"/>
        <v>0</v>
      </c>
      <c r="I48" s="149"/>
      <c r="J48" s="149"/>
      <c r="K48" s="149"/>
      <c r="L48" s="149"/>
      <c r="M48" s="149"/>
      <c r="N48" s="147">
        <f t="shared" si="2"/>
        <v>23000</v>
      </c>
    </row>
    <row r="49" spans="1:14" s="8" customFormat="1" ht="38.25">
      <c r="A49" s="164" t="s">
        <v>175</v>
      </c>
      <c r="B49" s="20" t="s">
        <v>176</v>
      </c>
      <c r="C49" s="147">
        <f t="shared" si="0"/>
        <v>222300</v>
      </c>
      <c r="D49" s="149">
        <v>222300</v>
      </c>
      <c r="E49" s="149"/>
      <c r="F49" s="149"/>
      <c r="G49" s="149"/>
      <c r="H49" s="147">
        <f t="shared" si="1"/>
        <v>0</v>
      </c>
      <c r="I49" s="149"/>
      <c r="J49" s="149"/>
      <c r="K49" s="149"/>
      <c r="L49" s="149"/>
      <c r="M49" s="149"/>
      <c r="N49" s="147">
        <f t="shared" si="2"/>
        <v>222300</v>
      </c>
    </row>
    <row r="50" spans="1:14" s="8" customFormat="1" ht="38.25">
      <c r="A50" s="164" t="s">
        <v>177</v>
      </c>
      <c r="B50" s="20" t="s">
        <v>3</v>
      </c>
      <c r="C50" s="147">
        <f t="shared" si="0"/>
        <v>500</v>
      </c>
      <c r="D50" s="149">
        <v>500</v>
      </c>
      <c r="E50" s="149"/>
      <c r="F50" s="149"/>
      <c r="G50" s="149"/>
      <c r="H50" s="147">
        <f t="shared" si="1"/>
        <v>0</v>
      </c>
      <c r="I50" s="149"/>
      <c r="J50" s="149"/>
      <c r="K50" s="149"/>
      <c r="L50" s="149"/>
      <c r="M50" s="149"/>
      <c r="N50" s="147">
        <f t="shared" si="2"/>
        <v>500</v>
      </c>
    </row>
    <row r="51" spans="1:14" s="8" customFormat="1" ht="25.5">
      <c r="A51" s="164" t="s">
        <v>178</v>
      </c>
      <c r="B51" s="103" t="s">
        <v>235</v>
      </c>
      <c r="C51" s="147">
        <f t="shared" si="0"/>
        <v>25000</v>
      </c>
      <c r="D51" s="149">
        <v>25000</v>
      </c>
      <c r="E51" s="149"/>
      <c r="F51" s="149"/>
      <c r="G51" s="149"/>
      <c r="H51" s="147">
        <f t="shared" si="1"/>
        <v>0</v>
      </c>
      <c r="I51" s="149"/>
      <c r="J51" s="149"/>
      <c r="K51" s="149"/>
      <c r="L51" s="149"/>
      <c r="M51" s="149"/>
      <c r="N51" s="147">
        <f t="shared" si="2"/>
        <v>25000</v>
      </c>
    </row>
    <row r="52" spans="1:14" s="8" customFormat="1" ht="25.5" hidden="1">
      <c r="A52" s="168" t="s">
        <v>129</v>
      </c>
      <c r="B52" s="89" t="s">
        <v>256</v>
      </c>
      <c r="C52" s="147">
        <f t="shared" si="0"/>
        <v>0</v>
      </c>
      <c r="D52" s="149"/>
      <c r="E52" s="149"/>
      <c r="F52" s="149"/>
      <c r="G52" s="149"/>
      <c r="H52" s="147">
        <f t="shared" si="1"/>
        <v>0</v>
      </c>
      <c r="I52" s="149"/>
      <c r="J52" s="149"/>
      <c r="K52" s="149"/>
      <c r="L52" s="149"/>
      <c r="M52" s="149"/>
      <c r="N52" s="147">
        <f t="shared" si="2"/>
        <v>0</v>
      </c>
    </row>
    <row r="53" spans="1:14" s="8" customFormat="1" ht="25.5">
      <c r="A53" s="168" t="s">
        <v>130</v>
      </c>
      <c r="B53" s="165" t="s">
        <v>104</v>
      </c>
      <c r="C53" s="147">
        <f t="shared" si="0"/>
        <v>147000</v>
      </c>
      <c r="D53" s="149">
        <v>147000</v>
      </c>
      <c r="E53" s="149"/>
      <c r="F53" s="149"/>
      <c r="G53" s="149"/>
      <c r="H53" s="147">
        <f t="shared" si="1"/>
        <v>0</v>
      </c>
      <c r="I53" s="149"/>
      <c r="J53" s="149"/>
      <c r="K53" s="149"/>
      <c r="L53" s="149"/>
      <c r="M53" s="149"/>
      <c r="N53" s="147">
        <f t="shared" si="2"/>
        <v>147000</v>
      </c>
    </row>
    <row r="54" spans="1:14" s="8" customFormat="1" ht="25.5">
      <c r="A54" s="168" t="s">
        <v>131</v>
      </c>
      <c r="B54" s="165" t="s">
        <v>200</v>
      </c>
      <c r="C54" s="147">
        <f t="shared" si="0"/>
        <v>1000000</v>
      </c>
      <c r="D54" s="149">
        <v>1000000</v>
      </c>
      <c r="E54" s="149"/>
      <c r="F54" s="149"/>
      <c r="G54" s="149"/>
      <c r="H54" s="147">
        <f t="shared" si="1"/>
        <v>0</v>
      </c>
      <c r="I54" s="149"/>
      <c r="J54" s="149"/>
      <c r="K54" s="149"/>
      <c r="L54" s="149"/>
      <c r="M54" s="149"/>
      <c r="N54" s="147">
        <f t="shared" si="2"/>
        <v>1000000</v>
      </c>
    </row>
    <row r="55" spans="1:14" s="8" customFormat="1" ht="25.5">
      <c r="A55" s="168" t="s">
        <v>132</v>
      </c>
      <c r="B55" s="165" t="s">
        <v>105</v>
      </c>
      <c r="C55" s="147">
        <f t="shared" si="0"/>
        <v>900000</v>
      </c>
      <c r="D55" s="149">
        <v>900000</v>
      </c>
      <c r="E55" s="149"/>
      <c r="F55" s="149"/>
      <c r="G55" s="149"/>
      <c r="H55" s="147">
        <f t="shared" si="1"/>
        <v>0</v>
      </c>
      <c r="I55" s="149"/>
      <c r="J55" s="149"/>
      <c r="K55" s="149"/>
      <c r="L55" s="149"/>
      <c r="M55" s="149"/>
      <c r="N55" s="147">
        <f t="shared" si="2"/>
        <v>900000</v>
      </c>
    </row>
    <row r="56" spans="1:14" s="8" customFormat="1" ht="25.5">
      <c r="A56" s="168" t="s">
        <v>91</v>
      </c>
      <c r="B56" s="165" t="s">
        <v>181</v>
      </c>
      <c r="C56" s="147">
        <f t="shared" si="0"/>
        <v>210000</v>
      </c>
      <c r="D56" s="149">
        <v>210000</v>
      </c>
      <c r="E56" s="149"/>
      <c r="F56" s="149"/>
      <c r="G56" s="149"/>
      <c r="H56" s="147">
        <f t="shared" si="1"/>
        <v>0</v>
      </c>
      <c r="I56" s="149"/>
      <c r="J56" s="149"/>
      <c r="K56" s="149"/>
      <c r="L56" s="149"/>
      <c r="M56" s="149"/>
      <c r="N56" s="147">
        <f t="shared" si="2"/>
        <v>210000</v>
      </c>
    </row>
    <row r="57" spans="1:14" s="8" customFormat="1" ht="12.75">
      <c r="A57" s="168" t="s">
        <v>245</v>
      </c>
      <c r="B57" s="165" t="s">
        <v>180</v>
      </c>
      <c r="C57" s="147">
        <f t="shared" si="0"/>
        <v>706000</v>
      </c>
      <c r="D57" s="149">
        <v>706000</v>
      </c>
      <c r="E57" s="149"/>
      <c r="F57" s="149"/>
      <c r="G57" s="149"/>
      <c r="H57" s="147">
        <f t="shared" si="1"/>
        <v>0</v>
      </c>
      <c r="I57" s="149"/>
      <c r="J57" s="149"/>
      <c r="K57" s="149"/>
      <c r="L57" s="149"/>
      <c r="M57" s="149"/>
      <c r="N57" s="147">
        <f t="shared" si="2"/>
        <v>706000</v>
      </c>
    </row>
    <row r="58" spans="1:14" s="8" customFormat="1" ht="12.75">
      <c r="A58" s="164" t="s">
        <v>440</v>
      </c>
      <c r="B58" s="103" t="s">
        <v>441</v>
      </c>
      <c r="C58" s="147">
        <f t="shared" si="0"/>
        <v>50000</v>
      </c>
      <c r="D58" s="149">
        <v>50000</v>
      </c>
      <c r="E58" s="149"/>
      <c r="F58" s="149"/>
      <c r="G58" s="149"/>
      <c r="H58" s="147"/>
      <c r="I58" s="149"/>
      <c r="J58" s="149"/>
      <c r="K58" s="149"/>
      <c r="L58" s="149"/>
      <c r="M58" s="149"/>
      <c r="N58" s="147">
        <f t="shared" si="2"/>
        <v>50000</v>
      </c>
    </row>
    <row r="59" spans="1:14" s="8" customFormat="1" ht="25.5">
      <c r="A59" s="164" t="s">
        <v>182</v>
      </c>
      <c r="B59" s="165" t="s">
        <v>202</v>
      </c>
      <c r="C59" s="147">
        <f t="shared" si="0"/>
        <v>575000</v>
      </c>
      <c r="D59" s="149">
        <v>575000</v>
      </c>
      <c r="E59" s="149"/>
      <c r="F59" s="149"/>
      <c r="G59" s="149"/>
      <c r="H59" s="147">
        <f t="shared" si="1"/>
        <v>0</v>
      </c>
      <c r="I59" s="149"/>
      <c r="J59" s="149"/>
      <c r="K59" s="149"/>
      <c r="L59" s="149"/>
      <c r="M59" s="149"/>
      <c r="N59" s="147">
        <f t="shared" si="2"/>
        <v>575000</v>
      </c>
    </row>
    <row r="60" spans="1:14" s="8" customFormat="1" ht="38.25">
      <c r="A60" s="164" t="s">
        <v>92</v>
      </c>
      <c r="B60" s="122" t="s">
        <v>151</v>
      </c>
      <c r="C60" s="147">
        <f t="shared" si="0"/>
        <v>619892</v>
      </c>
      <c r="D60" s="149">
        <f>D62+D63</f>
        <v>619892</v>
      </c>
      <c r="E60" s="149"/>
      <c r="F60" s="149"/>
      <c r="G60" s="149"/>
      <c r="H60" s="147">
        <f t="shared" si="1"/>
        <v>0</v>
      </c>
      <c r="I60" s="149"/>
      <c r="J60" s="149"/>
      <c r="K60" s="149"/>
      <c r="L60" s="149"/>
      <c r="M60" s="149"/>
      <c r="N60" s="147">
        <f t="shared" si="2"/>
        <v>619892</v>
      </c>
    </row>
    <row r="61" spans="1:14" s="8" customFormat="1" ht="12.75">
      <c r="A61" s="164"/>
      <c r="B61" s="103" t="s">
        <v>148</v>
      </c>
      <c r="C61" s="147"/>
      <c r="D61" s="149"/>
      <c r="E61" s="149"/>
      <c r="F61" s="149"/>
      <c r="G61" s="149"/>
      <c r="H61" s="147"/>
      <c r="I61" s="149"/>
      <c r="J61" s="149"/>
      <c r="K61" s="149"/>
      <c r="L61" s="149"/>
      <c r="M61" s="149"/>
      <c r="N61" s="147"/>
    </row>
    <row r="62" spans="1:14" s="8" customFormat="1" ht="63.75">
      <c r="A62" s="164"/>
      <c r="B62" s="103" t="s">
        <v>241</v>
      </c>
      <c r="C62" s="147">
        <f t="shared" si="0"/>
        <v>615892</v>
      </c>
      <c r="D62" s="149">
        <v>615892</v>
      </c>
      <c r="E62" s="149"/>
      <c r="F62" s="149"/>
      <c r="G62" s="149"/>
      <c r="H62" s="147">
        <f t="shared" si="1"/>
        <v>0</v>
      </c>
      <c r="I62" s="149"/>
      <c r="J62" s="149"/>
      <c r="K62" s="149"/>
      <c r="L62" s="149"/>
      <c r="M62" s="149"/>
      <c r="N62" s="147">
        <f t="shared" si="2"/>
        <v>615892</v>
      </c>
    </row>
    <row r="63" spans="1:14" s="8" customFormat="1" ht="25.5">
      <c r="A63" s="164"/>
      <c r="B63" s="103" t="s">
        <v>205</v>
      </c>
      <c r="C63" s="147">
        <f t="shared" si="0"/>
        <v>4000</v>
      </c>
      <c r="D63" s="149">
        <v>4000</v>
      </c>
      <c r="E63" s="149"/>
      <c r="F63" s="149"/>
      <c r="G63" s="149"/>
      <c r="H63" s="147">
        <f t="shared" si="1"/>
        <v>0</v>
      </c>
      <c r="I63" s="149"/>
      <c r="J63" s="149"/>
      <c r="K63" s="149"/>
      <c r="L63" s="149"/>
      <c r="M63" s="149"/>
      <c r="N63" s="147">
        <f t="shared" si="2"/>
        <v>4000</v>
      </c>
    </row>
    <row r="64" spans="1:14" s="8" customFormat="1" ht="25.5">
      <c r="A64" s="164" t="s">
        <v>50</v>
      </c>
      <c r="B64" s="165" t="s">
        <v>206</v>
      </c>
      <c r="C64" s="147">
        <f t="shared" si="0"/>
        <v>65800</v>
      </c>
      <c r="D64" s="149">
        <v>65800</v>
      </c>
      <c r="E64" s="149"/>
      <c r="F64" s="149"/>
      <c r="G64" s="149"/>
      <c r="H64" s="147">
        <f t="shared" si="1"/>
        <v>0</v>
      </c>
      <c r="I64" s="149"/>
      <c r="J64" s="149"/>
      <c r="K64" s="149"/>
      <c r="L64" s="149"/>
      <c r="M64" s="149"/>
      <c r="N64" s="147">
        <f t="shared" si="2"/>
        <v>65800</v>
      </c>
    </row>
    <row r="65" spans="1:14" s="8" customFormat="1" ht="25.5" hidden="1">
      <c r="A65" s="90" t="s">
        <v>408</v>
      </c>
      <c r="B65" s="80" t="s">
        <v>409</v>
      </c>
      <c r="C65" s="147">
        <f t="shared" si="0"/>
        <v>0</v>
      </c>
      <c r="D65" s="149"/>
      <c r="E65" s="149"/>
      <c r="F65" s="149"/>
      <c r="G65" s="149"/>
      <c r="H65" s="147"/>
      <c r="I65" s="149"/>
      <c r="J65" s="149"/>
      <c r="K65" s="149"/>
      <c r="L65" s="149"/>
      <c r="M65" s="149"/>
      <c r="N65" s="147">
        <f t="shared" si="2"/>
        <v>0</v>
      </c>
    </row>
    <row r="66" spans="1:14" s="8" customFormat="1" ht="25.5" hidden="1">
      <c r="A66" s="90" t="s">
        <v>335</v>
      </c>
      <c r="B66" s="80" t="s">
        <v>410</v>
      </c>
      <c r="C66" s="147">
        <f t="shared" si="0"/>
        <v>0</v>
      </c>
      <c r="D66" s="149"/>
      <c r="E66" s="149"/>
      <c r="F66" s="149"/>
      <c r="G66" s="149"/>
      <c r="H66" s="147"/>
      <c r="I66" s="149"/>
      <c r="J66" s="149"/>
      <c r="K66" s="149"/>
      <c r="L66" s="149"/>
      <c r="M66" s="149"/>
      <c r="N66" s="147">
        <f t="shared" si="2"/>
        <v>0</v>
      </c>
    </row>
    <row r="67" spans="1:14" s="8" customFormat="1" ht="76.5" hidden="1">
      <c r="A67" s="88" t="s">
        <v>332</v>
      </c>
      <c r="B67" s="78" t="s">
        <v>334</v>
      </c>
      <c r="C67" s="147">
        <f t="shared" si="0"/>
        <v>0</v>
      </c>
      <c r="D67" s="149">
        <f>D69+D70</f>
        <v>0</v>
      </c>
      <c r="E67" s="149"/>
      <c r="F67" s="149"/>
      <c r="G67" s="149"/>
      <c r="H67" s="147">
        <f t="shared" si="1"/>
        <v>0</v>
      </c>
      <c r="I67" s="149"/>
      <c r="J67" s="149"/>
      <c r="K67" s="149"/>
      <c r="L67" s="149"/>
      <c r="M67" s="149"/>
      <c r="N67" s="147">
        <f t="shared" si="2"/>
        <v>0</v>
      </c>
    </row>
    <row r="68" spans="1:14" s="8" customFormat="1" ht="12.75" hidden="1">
      <c r="A68" s="88"/>
      <c r="B68" s="103" t="s">
        <v>148</v>
      </c>
      <c r="C68" s="147"/>
      <c r="D68" s="149"/>
      <c r="E68" s="149"/>
      <c r="F68" s="149"/>
      <c r="G68" s="149"/>
      <c r="H68" s="147"/>
      <c r="I68" s="149"/>
      <c r="J68" s="149"/>
      <c r="K68" s="149"/>
      <c r="L68" s="149"/>
      <c r="M68" s="149"/>
      <c r="N68" s="147"/>
    </row>
    <row r="69" spans="1:14" s="8" customFormat="1" ht="63.75" hidden="1">
      <c r="A69" s="88"/>
      <c r="B69" s="103" t="s">
        <v>241</v>
      </c>
      <c r="C69" s="147">
        <f t="shared" si="0"/>
        <v>0</v>
      </c>
      <c r="D69" s="149"/>
      <c r="E69" s="149"/>
      <c r="F69" s="149"/>
      <c r="G69" s="149"/>
      <c r="H69" s="147"/>
      <c r="I69" s="149"/>
      <c r="J69" s="149"/>
      <c r="K69" s="149"/>
      <c r="L69" s="149"/>
      <c r="M69" s="149"/>
      <c r="N69" s="147">
        <f t="shared" si="2"/>
        <v>0</v>
      </c>
    </row>
    <row r="70" spans="1:14" s="8" customFormat="1" ht="25.5" hidden="1">
      <c r="A70" s="88"/>
      <c r="B70" s="103" t="s">
        <v>205</v>
      </c>
      <c r="C70" s="147">
        <f t="shared" si="0"/>
        <v>0</v>
      </c>
      <c r="D70" s="149"/>
      <c r="E70" s="149"/>
      <c r="F70" s="149"/>
      <c r="G70" s="149"/>
      <c r="H70" s="147"/>
      <c r="I70" s="149"/>
      <c r="J70" s="149"/>
      <c r="K70" s="149"/>
      <c r="L70" s="149"/>
      <c r="M70" s="149"/>
      <c r="N70" s="147">
        <f t="shared" si="2"/>
        <v>0</v>
      </c>
    </row>
    <row r="71" spans="1:14" s="8" customFormat="1" ht="25.5">
      <c r="A71" s="164" t="s">
        <v>167</v>
      </c>
      <c r="B71" s="186" t="s">
        <v>438</v>
      </c>
      <c r="C71" s="147">
        <f>D71+G71</f>
        <v>25350</v>
      </c>
      <c r="D71" s="149">
        <v>25350</v>
      </c>
      <c r="E71" s="149"/>
      <c r="F71" s="149"/>
      <c r="G71" s="149"/>
      <c r="H71" s="147">
        <f>I71+L71</f>
        <v>0</v>
      </c>
      <c r="I71" s="149"/>
      <c r="J71" s="149"/>
      <c r="K71" s="149"/>
      <c r="L71" s="149"/>
      <c r="M71" s="149"/>
      <c r="N71" s="147">
        <f>C71+H71</f>
        <v>25350</v>
      </c>
    </row>
    <row r="72" spans="1:14" s="8" customFormat="1" ht="25.5">
      <c r="A72" s="164" t="s">
        <v>123</v>
      </c>
      <c r="B72" s="165" t="s">
        <v>153</v>
      </c>
      <c r="C72" s="147">
        <f t="shared" si="0"/>
        <v>370000</v>
      </c>
      <c r="D72" s="149">
        <v>370000</v>
      </c>
      <c r="E72" s="149"/>
      <c r="F72" s="149"/>
      <c r="G72" s="149"/>
      <c r="H72" s="147">
        <f t="shared" si="1"/>
        <v>0</v>
      </c>
      <c r="I72" s="149"/>
      <c r="J72" s="149"/>
      <c r="K72" s="149"/>
      <c r="L72" s="149"/>
      <c r="M72" s="149"/>
      <c r="N72" s="147">
        <f t="shared" si="2"/>
        <v>370000</v>
      </c>
    </row>
    <row r="73" spans="1:14" s="133" customFormat="1" ht="38.25">
      <c r="A73" s="124" t="s">
        <v>394</v>
      </c>
      <c r="B73" s="126" t="s">
        <v>349</v>
      </c>
      <c r="C73" s="159">
        <f t="shared" si="0"/>
        <v>911846</v>
      </c>
      <c r="D73" s="159">
        <f>D74+D75</f>
        <v>911846</v>
      </c>
      <c r="E73" s="159">
        <f>E74+E75</f>
        <v>74546</v>
      </c>
      <c r="F73" s="159">
        <f>F74+F75</f>
        <v>468000</v>
      </c>
      <c r="G73" s="159">
        <f>G74+G75</f>
        <v>0</v>
      </c>
      <c r="H73" s="159">
        <f t="shared" si="1"/>
        <v>50000</v>
      </c>
      <c r="I73" s="159">
        <f>I74+I75</f>
        <v>50000</v>
      </c>
      <c r="J73" s="159">
        <f>J74+J75</f>
        <v>0</v>
      </c>
      <c r="K73" s="159">
        <f>K74+K75</f>
        <v>10000</v>
      </c>
      <c r="L73" s="159">
        <f>L74+L75</f>
        <v>0</v>
      </c>
      <c r="M73" s="159">
        <f>M74+M75</f>
        <v>0</v>
      </c>
      <c r="N73" s="159">
        <f t="shared" si="2"/>
        <v>961846</v>
      </c>
    </row>
    <row r="74" spans="1:14" s="17" customFormat="1" ht="12.75">
      <c r="A74" s="92" t="s">
        <v>24</v>
      </c>
      <c r="B74" s="20" t="s">
        <v>25</v>
      </c>
      <c r="C74" s="147">
        <f t="shared" si="0"/>
        <v>111846</v>
      </c>
      <c r="D74" s="147">
        <v>111846</v>
      </c>
      <c r="E74" s="147">
        <v>74546</v>
      </c>
      <c r="F74" s="147"/>
      <c r="G74" s="147"/>
      <c r="H74" s="147">
        <f t="shared" si="1"/>
        <v>0</v>
      </c>
      <c r="I74" s="147"/>
      <c r="J74" s="147"/>
      <c r="K74" s="147"/>
      <c r="L74" s="147"/>
      <c r="M74" s="147"/>
      <c r="N74" s="147">
        <f t="shared" si="2"/>
        <v>111846</v>
      </c>
    </row>
    <row r="75" spans="1:14" s="22" customFormat="1" ht="12.75">
      <c r="A75" s="46">
        <v>100203</v>
      </c>
      <c r="B75" s="20" t="s">
        <v>55</v>
      </c>
      <c r="C75" s="147">
        <f t="shared" si="0"/>
        <v>800000</v>
      </c>
      <c r="D75" s="148">
        <v>800000</v>
      </c>
      <c r="E75" s="148"/>
      <c r="F75" s="148">
        <v>468000</v>
      </c>
      <c r="G75" s="148"/>
      <c r="H75" s="147">
        <f t="shared" si="1"/>
        <v>50000</v>
      </c>
      <c r="I75" s="148">
        <v>50000</v>
      </c>
      <c r="J75" s="148"/>
      <c r="K75" s="148">
        <v>10000</v>
      </c>
      <c r="L75" s="148"/>
      <c r="M75" s="148"/>
      <c r="N75" s="147">
        <f t="shared" si="2"/>
        <v>850000</v>
      </c>
    </row>
    <row r="76" spans="1:14" s="133" customFormat="1" ht="25.5">
      <c r="A76" s="124" t="s">
        <v>288</v>
      </c>
      <c r="B76" s="126" t="s">
        <v>350</v>
      </c>
      <c r="C76" s="159">
        <f t="shared" si="0"/>
        <v>188216</v>
      </c>
      <c r="D76" s="159">
        <f>D77</f>
        <v>188216</v>
      </c>
      <c r="E76" s="159">
        <f>E77</f>
        <v>125837</v>
      </c>
      <c r="F76" s="159">
        <f>F77</f>
        <v>0</v>
      </c>
      <c r="G76" s="159">
        <f>G77</f>
        <v>0</v>
      </c>
      <c r="H76" s="182">
        <f t="shared" si="1"/>
        <v>0</v>
      </c>
      <c r="I76" s="182">
        <f>I77+I78</f>
        <v>0</v>
      </c>
      <c r="J76" s="159">
        <f>J77+J78</f>
        <v>0</v>
      </c>
      <c r="K76" s="159">
        <f>K77+K78</f>
        <v>0</v>
      </c>
      <c r="L76" s="159">
        <f>L77+L78</f>
        <v>0</v>
      </c>
      <c r="M76" s="159">
        <f>M77+M78</f>
        <v>0</v>
      </c>
      <c r="N76" s="159">
        <f t="shared" si="2"/>
        <v>188216</v>
      </c>
    </row>
    <row r="77" spans="1:14" s="17" customFormat="1" ht="12.75">
      <c r="A77" s="92" t="s">
        <v>24</v>
      </c>
      <c r="B77" s="20" t="s">
        <v>25</v>
      </c>
      <c r="C77" s="147">
        <f t="shared" si="0"/>
        <v>188216</v>
      </c>
      <c r="D77" s="147">
        <v>188216</v>
      </c>
      <c r="E77" s="147">
        <v>125837</v>
      </c>
      <c r="F77" s="147"/>
      <c r="G77" s="147"/>
      <c r="H77" s="147">
        <f t="shared" si="1"/>
        <v>0</v>
      </c>
      <c r="I77" s="147"/>
      <c r="J77" s="147"/>
      <c r="K77" s="147"/>
      <c r="L77" s="147"/>
      <c r="M77" s="147"/>
      <c r="N77" s="147">
        <f t="shared" si="2"/>
        <v>188216</v>
      </c>
    </row>
    <row r="78" spans="1:14" s="17" customFormat="1" ht="76.5" hidden="1">
      <c r="A78" s="119" t="s">
        <v>419</v>
      </c>
      <c r="B78" s="80" t="s">
        <v>420</v>
      </c>
      <c r="C78" s="148">
        <f t="shared" si="0"/>
        <v>0</v>
      </c>
      <c r="D78" s="148"/>
      <c r="E78" s="148"/>
      <c r="F78" s="148"/>
      <c r="G78" s="148"/>
      <c r="H78" s="179">
        <f t="shared" si="1"/>
        <v>0</v>
      </c>
      <c r="I78" s="179"/>
      <c r="J78" s="148"/>
      <c r="K78" s="148"/>
      <c r="L78" s="148"/>
      <c r="M78" s="148"/>
      <c r="N78" s="147">
        <f t="shared" si="2"/>
        <v>0</v>
      </c>
    </row>
    <row r="79" spans="1:14" s="22" customFormat="1" ht="12.75">
      <c r="A79" s="45"/>
      <c r="B79" s="52" t="s">
        <v>75</v>
      </c>
      <c r="C79" s="147">
        <f t="shared" si="0"/>
        <v>54311288</v>
      </c>
      <c r="D79" s="148">
        <f>D10+D26+D40+D73+D76</f>
        <v>54233288</v>
      </c>
      <c r="E79" s="148">
        <f>E10+E26+E40+E73+E76</f>
        <v>25053027</v>
      </c>
      <c r="F79" s="148">
        <f>F10+F26+F40+F73+F76</f>
        <v>2641042</v>
      </c>
      <c r="G79" s="148">
        <f>G10+G26+G40+G73+G76</f>
        <v>78000</v>
      </c>
      <c r="H79" s="147">
        <f t="shared" si="1"/>
        <v>3063129</v>
      </c>
      <c r="I79" s="148">
        <f>I10+I26+I40+I73+I76</f>
        <v>2915195</v>
      </c>
      <c r="J79" s="148">
        <f>J10+J26+J40+J73+J76</f>
        <v>852835</v>
      </c>
      <c r="K79" s="148">
        <f>K10+K26+K40+K73+K76</f>
        <v>130543</v>
      </c>
      <c r="L79" s="148">
        <f>L10+L26+L40+L73+L76</f>
        <v>147934</v>
      </c>
      <c r="M79" s="148">
        <f>M10+M26+M40+M73+M76</f>
        <v>0</v>
      </c>
      <c r="N79" s="147">
        <f t="shared" si="2"/>
        <v>57374417</v>
      </c>
    </row>
    <row r="81" spans="2:16" s="50" customFormat="1" ht="18">
      <c r="B81" s="195" t="s">
        <v>155</v>
      </c>
      <c r="C81" s="195"/>
      <c r="D81" s="195"/>
      <c r="E81" s="195"/>
      <c r="F81" s="195"/>
      <c r="G81" s="195"/>
      <c r="H81" s="195"/>
      <c r="I81" s="195"/>
      <c r="J81" s="195"/>
      <c r="K81" s="195"/>
      <c r="L81" s="195"/>
      <c r="M81" s="195"/>
      <c r="N81" s="195"/>
      <c r="O81" s="195"/>
      <c r="P81" s="195"/>
    </row>
    <row r="83" ht="12.75">
      <c r="H83" s="100"/>
    </row>
  </sheetData>
  <mergeCells count="10">
    <mergeCell ref="B81:P81"/>
    <mergeCell ref="N7:N8"/>
    <mergeCell ref="L1:N1"/>
    <mergeCell ref="L2:N2"/>
    <mergeCell ref="A5:O5"/>
    <mergeCell ref="L3:N3"/>
    <mergeCell ref="A7:A8"/>
    <mergeCell ref="B7:B8"/>
    <mergeCell ref="C7:G7"/>
    <mergeCell ref="H7:M7"/>
  </mergeCells>
  <printOptions/>
  <pageMargins left="0.9055118110236221" right="0.35433070866141736" top="0.56" bottom="0.34" header="0.5118110236220472" footer="0.37"/>
  <pageSetup fitToHeight="4" fitToWidth="1" horizontalDpi="300" verticalDpi="3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P85"/>
  <sheetViews>
    <sheetView showZeros="0" view="pageBreakPreview" zoomScale="75" zoomScaleNormal="75" zoomScaleSheetLayoutView="75" workbookViewId="0" topLeftCell="A1">
      <pane xSplit="2" ySplit="10" topLeftCell="H67" activePane="bottomRight" state="frozen"/>
      <selection pane="topLeft" activeCell="A1" sqref="A1"/>
      <selection pane="topRight" activeCell="C1" sqref="C1"/>
      <selection pane="bottomLeft" activeCell="A11" sqref="A11"/>
      <selection pane="bottomRight" activeCell="H81" sqref="H81:I81"/>
    </sheetView>
  </sheetViews>
  <sheetFormatPr defaultColWidth="9.00390625" defaultRowHeight="12.75"/>
  <cols>
    <col min="1" max="1" width="8.00390625" style="22" customWidth="1"/>
    <col min="2" max="2" width="38.625" style="22" customWidth="1"/>
    <col min="3" max="3" width="12.125" style="22" customWidth="1"/>
    <col min="4" max="4" width="11.875" style="22" customWidth="1"/>
    <col min="5" max="5" width="12.00390625" style="22" customWidth="1"/>
    <col min="6" max="6" width="10.00390625" style="22" customWidth="1"/>
    <col min="7" max="7" width="11.375" style="22" customWidth="1"/>
    <col min="8" max="8" width="12.125" style="22" customWidth="1"/>
    <col min="9" max="10" width="12.00390625" style="22" customWidth="1"/>
    <col min="11" max="11" width="10.125" style="22" customWidth="1"/>
    <col min="12" max="12" width="11.625" style="22" customWidth="1"/>
    <col min="13" max="13" width="9.875" style="22" customWidth="1"/>
    <col min="14" max="14" width="13.125" style="22" customWidth="1"/>
    <col min="15" max="16384" width="9.125" style="22" customWidth="1"/>
  </cols>
  <sheetData>
    <row r="1" spans="12:14" ht="18">
      <c r="L1" s="192" t="s">
        <v>327</v>
      </c>
      <c r="M1" s="192"/>
      <c r="N1" s="192"/>
    </row>
    <row r="2" spans="12:14" ht="18">
      <c r="L2" s="192" t="s">
        <v>115</v>
      </c>
      <c r="M2" s="192"/>
      <c r="N2" s="192"/>
    </row>
    <row r="3" spans="6:14" ht="18">
      <c r="F3" s="192"/>
      <c r="G3" s="192"/>
      <c r="H3" s="192"/>
      <c r="I3" s="203"/>
      <c r="L3" s="192" t="s">
        <v>114</v>
      </c>
      <c r="M3" s="192"/>
      <c r="N3" s="192"/>
    </row>
    <row r="5" spans="1:14" ht="18">
      <c r="A5" s="193" t="s">
        <v>8</v>
      </c>
      <c r="B5" s="193"/>
      <c r="C5" s="193"/>
      <c r="D5" s="193"/>
      <c r="E5" s="193"/>
      <c r="F5" s="193"/>
      <c r="G5" s="193"/>
      <c r="H5" s="193"/>
      <c r="I5" s="193"/>
      <c r="J5" s="193"/>
      <c r="K5" s="193"/>
      <c r="L5" s="193"/>
      <c r="M5" s="193"/>
      <c r="N5" s="193"/>
    </row>
    <row r="7" spans="1:14" ht="12.75">
      <c r="A7" s="30"/>
      <c r="B7" s="30"/>
      <c r="C7" s="30"/>
      <c r="D7" s="30"/>
      <c r="E7" s="30"/>
      <c r="F7" s="30"/>
      <c r="G7" s="30"/>
      <c r="H7" s="30"/>
      <c r="I7" s="30"/>
      <c r="J7" s="30"/>
      <c r="K7" s="30"/>
      <c r="L7" s="204" t="s">
        <v>379</v>
      </c>
      <c r="M7" s="204"/>
      <c r="N7" s="30"/>
    </row>
    <row r="8" spans="1:14" ht="12.75">
      <c r="A8" s="188" t="s">
        <v>339</v>
      </c>
      <c r="B8" s="188" t="s">
        <v>340</v>
      </c>
      <c r="C8" s="191" t="s">
        <v>16</v>
      </c>
      <c r="D8" s="191"/>
      <c r="E8" s="191"/>
      <c r="F8" s="191"/>
      <c r="G8" s="191"/>
      <c r="H8" s="191" t="s">
        <v>17</v>
      </c>
      <c r="I8" s="191"/>
      <c r="J8" s="191"/>
      <c r="K8" s="191"/>
      <c r="L8" s="191"/>
      <c r="M8" s="191"/>
      <c r="N8" s="191" t="s">
        <v>97</v>
      </c>
    </row>
    <row r="9" spans="1:14" ht="51">
      <c r="A9" s="188"/>
      <c r="B9" s="188"/>
      <c r="C9" s="23" t="s">
        <v>18</v>
      </c>
      <c r="D9" s="6" t="s">
        <v>19</v>
      </c>
      <c r="E9" s="6" t="s">
        <v>20</v>
      </c>
      <c r="F9" s="6" t="s">
        <v>21</v>
      </c>
      <c r="G9" s="6" t="s">
        <v>22</v>
      </c>
      <c r="H9" s="23" t="s">
        <v>18</v>
      </c>
      <c r="I9" s="6" t="s">
        <v>19</v>
      </c>
      <c r="J9" s="6" t="s">
        <v>20</v>
      </c>
      <c r="K9" s="6" t="s">
        <v>21</v>
      </c>
      <c r="L9" s="6" t="s">
        <v>22</v>
      </c>
      <c r="M9" s="6" t="s">
        <v>23</v>
      </c>
      <c r="N9" s="191"/>
    </row>
    <row r="10" spans="1:14" s="86" customFormat="1" ht="12.75">
      <c r="A10" s="31">
        <v>1</v>
      </c>
      <c r="B10" s="31">
        <v>2</v>
      </c>
      <c r="C10" s="31">
        <v>3</v>
      </c>
      <c r="D10" s="31">
        <v>4</v>
      </c>
      <c r="E10" s="31">
        <v>5</v>
      </c>
      <c r="F10" s="31">
        <v>6</v>
      </c>
      <c r="G10" s="31">
        <v>7</v>
      </c>
      <c r="H10" s="31">
        <v>8</v>
      </c>
      <c r="I10" s="31">
        <v>9</v>
      </c>
      <c r="J10" s="31">
        <v>10</v>
      </c>
      <c r="K10" s="31">
        <v>11</v>
      </c>
      <c r="L10" s="31">
        <v>12</v>
      </c>
      <c r="M10" s="31">
        <v>13</v>
      </c>
      <c r="N10" s="31">
        <v>14</v>
      </c>
    </row>
    <row r="11" spans="1:14" s="125" customFormat="1" ht="12.75">
      <c r="A11" s="138" t="s">
        <v>276</v>
      </c>
      <c r="B11" s="139" t="s">
        <v>341</v>
      </c>
      <c r="C11" s="160">
        <f>D11+G11</f>
        <v>5247011</v>
      </c>
      <c r="D11" s="160">
        <f>D12+D13+D20+D21+D22</f>
        <v>5235011</v>
      </c>
      <c r="E11" s="160">
        <f>E12+E13+E20+E21+E22</f>
        <v>3338492</v>
      </c>
      <c r="F11" s="160">
        <f>F12+F13+F20+F21+F22</f>
        <v>238001</v>
      </c>
      <c r="G11" s="160">
        <f>G12+G13+G20+G21+G22</f>
        <v>12000</v>
      </c>
      <c r="H11" s="160">
        <f>I11+L11</f>
        <v>773832</v>
      </c>
      <c r="I11" s="160">
        <f>I12+I13+I20+I21+I22</f>
        <v>713832</v>
      </c>
      <c r="J11" s="160">
        <f>J12+J13+J20+J21+J22</f>
        <v>230879</v>
      </c>
      <c r="K11" s="160">
        <f>K12+K13+K20+K21+K22</f>
        <v>46265</v>
      </c>
      <c r="L11" s="160">
        <f>L12+L13+L20+L21+L22</f>
        <v>60000</v>
      </c>
      <c r="M11" s="160">
        <f>M12+M13+M20+M21+M22</f>
        <v>0</v>
      </c>
      <c r="N11" s="160">
        <f>C11+H11</f>
        <v>6020843</v>
      </c>
    </row>
    <row r="12" spans="1:14" s="2" customFormat="1" ht="12.75">
      <c r="A12" s="113" t="s">
        <v>24</v>
      </c>
      <c r="B12" s="114" t="s">
        <v>25</v>
      </c>
      <c r="C12" s="148">
        <f aca="true" t="shared" si="0" ref="C12:C81">D12+G12</f>
        <v>1144641</v>
      </c>
      <c r="D12" s="158">
        <f>1145090-12449</f>
        <v>1132641</v>
      </c>
      <c r="E12" s="158">
        <f>698632-9140</f>
        <v>689492</v>
      </c>
      <c r="F12" s="158">
        <v>51601</v>
      </c>
      <c r="G12" s="158">
        <v>12000</v>
      </c>
      <c r="H12" s="148">
        <f aca="true" t="shared" si="1" ref="H12:H81">I12+L12</f>
        <v>0</v>
      </c>
      <c r="I12" s="158"/>
      <c r="J12" s="158"/>
      <c r="K12" s="158"/>
      <c r="L12" s="158"/>
      <c r="M12" s="158"/>
      <c r="N12" s="148">
        <f aca="true" t="shared" si="2" ref="N12:N81">C12+H12</f>
        <v>1144641</v>
      </c>
    </row>
    <row r="13" spans="1:14" s="2" customFormat="1" ht="12.75">
      <c r="A13" s="117" t="s">
        <v>35</v>
      </c>
      <c r="B13" s="118" t="s">
        <v>14</v>
      </c>
      <c r="C13" s="148">
        <f t="shared" si="0"/>
        <v>4058400</v>
      </c>
      <c r="D13" s="158">
        <f>D14+D15+D16+D17+D18+D19</f>
        <v>4058400</v>
      </c>
      <c r="E13" s="158">
        <f>E14+E15+E16+E17+E18+E19</f>
        <v>2649000</v>
      </c>
      <c r="F13" s="158">
        <f>F14+F15+F16+F17+F18+F19</f>
        <v>186400</v>
      </c>
      <c r="G13" s="158">
        <f>G14+G15+G16+G17+G18+G19</f>
        <v>0</v>
      </c>
      <c r="H13" s="148">
        <f t="shared" si="1"/>
        <v>737832</v>
      </c>
      <c r="I13" s="158">
        <f>I14+I15+I16+I17+I18+I19</f>
        <v>677832</v>
      </c>
      <c r="J13" s="158">
        <f>J14+J15+J16+J17+J18+J19</f>
        <v>230879</v>
      </c>
      <c r="K13" s="158">
        <f>K14+K15+K16+K17+K18+K19</f>
        <v>46265</v>
      </c>
      <c r="L13" s="158">
        <f>L14+L15+L16+L17+L18+L19</f>
        <v>60000</v>
      </c>
      <c r="M13" s="158">
        <f>M14+M15+M16+M17+M18+M19</f>
        <v>0</v>
      </c>
      <c r="N13" s="148">
        <f t="shared" si="2"/>
        <v>4796232</v>
      </c>
    </row>
    <row r="14" spans="1:14" ht="12.75" hidden="1">
      <c r="A14" s="25" t="s">
        <v>37</v>
      </c>
      <c r="B14" s="27" t="s">
        <v>38</v>
      </c>
      <c r="C14" s="148">
        <f t="shared" si="0"/>
        <v>0</v>
      </c>
      <c r="D14" s="148"/>
      <c r="E14" s="148"/>
      <c r="F14" s="148"/>
      <c r="G14" s="148"/>
      <c r="H14" s="148">
        <f t="shared" si="1"/>
        <v>0</v>
      </c>
      <c r="I14" s="148"/>
      <c r="J14" s="148"/>
      <c r="K14" s="148"/>
      <c r="L14" s="148"/>
      <c r="M14" s="148"/>
      <c r="N14" s="148">
        <f t="shared" si="2"/>
        <v>0</v>
      </c>
    </row>
    <row r="15" spans="1:14" ht="12.75" hidden="1">
      <c r="A15" s="25" t="s">
        <v>88</v>
      </c>
      <c r="B15" s="27" t="s">
        <v>89</v>
      </c>
      <c r="C15" s="148">
        <f t="shared" si="0"/>
        <v>0</v>
      </c>
      <c r="D15" s="148"/>
      <c r="E15" s="148"/>
      <c r="F15" s="148"/>
      <c r="G15" s="148"/>
      <c r="H15" s="148">
        <f t="shared" si="1"/>
        <v>0</v>
      </c>
      <c r="I15" s="148"/>
      <c r="J15" s="148"/>
      <c r="K15" s="148"/>
      <c r="L15" s="148"/>
      <c r="M15" s="148"/>
      <c r="N15" s="148">
        <f t="shared" si="2"/>
        <v>0</v>
      </c>
    </row>
    <row r="16" spans="1:14" ht="12.75">
      <c r="A16" s="25" t="s">
        <v>39</v>
      </c>
      <c r="B16" s="27" t="s">
        <v>100</v>
      </c>
      <c r="C16" s="148">
        <f t="shared" si="0"/>
        <v>3265509</v>
      </c>
      <c r="D16" s="148">
        <f>3251509+14000</f>
        <v>3265509</v>
      </c>
      <c r="E16" s="148">
        <v>2163619</v>
      </c>
      <c r="F16" s="148">
        <v>146437</v>
      </c>
      <c r="G16" s="148"/>
      <c r="H16" s="148">
        <f t="shared" si="1"/>
        <v>174082</v>
      </c>
      <c r="I16" s="148">
        <v>174082</v>
      </c>
      <c r="J16" s="148">
        <v>10619</v>
      </c>
      <c r="K16" s="148">
        <v>22385</v>
      </c>
      <c r="L16" s="148"/>
      <c r="M16" s="148"/>
      <c r="N16" s="148">
        <f t="shared" si="2"/>
        <v>3439591</v>
      </c>
    </row>
    <row r="17" spans="1:14" ht="25.5">
      <c r="A17" s="25" t="s">
        <v>41</v>
      </c>
      <c r="B17" s="26" t="s">
        <v>101</v>
      </c>
      <c r="C17" s="148">
        <f t="shared" si="0"/>
        <v>792891</v>
      </c>
      <c r="D17" s="148">
        <v>792891</v>
      </c>
      <c r="E17" s="148">
        <v>485381</v>
      </c>
      <c r="F17" s="148">
        <v>39963</v>
      </c>
      <c r="G17" s="148"/>
      <c r="H17" s="148">
        <f t="shared" si="1"/>
        <v>563750</v>
      </c>
      <c r="I17" s="148">
        <v>503750</v>
      </c>
      <c r="J17" s="148">
        <v>220260</v>
      </c>
      <c r="K17" s="148">
        <v>23880</v>
      </c>
      <c r="L17" s="148">
        <v>60000</v>
      </c>
      <c r="M17" s="148"/>
      <c r="N17" s="148">
        <f t="shared" si="2"/>
        <v>1356641</v>
      </c>
    </row>
    <row r="18" spans="1:14" ht="12.75" hidden="1">
      <c r="A18" s="119" t="s">
        <v>44</v>
      </c>
      <c r="B18" s="26" t="s">
        <v>102</v>
      </c>
      <c r="C18" s="148">
        <f t="shared" si="0"/>
        <v>0</v>
      </c>
      <c r="D18" s="148"/>
      <c r="E18" s="148"/>
      <c r="F18" s="148"/>
      <c r="G18" s="148"/>
      <c r="H18" s="148">
        <f t="shared" si="1"/>
        <v>0</v>
      </c>
      <c r="I18" s="148"/>
      <c r="J18" s="148"/>
      <c r="K18" s="148"/>
      <c r="L18" s="148"/>
      <c r="M18" s="148"/>
      <c r="N18" s="148">
        <f t="shared" si="2"/>
        <v>0</v>
      </c>
    </row>
    <row r="19" spans="1:14" ht="12.75" hidden="1">
      <c r="A19" s="25" t="s">
        <v>47</v>
      </c>
      <c r="B19" s="26" t="s">
        <v>103</v>
      </c>
      <c r="C19" s="148">
        <f t="shared" si="0"/>
        <v>0</v>
      </c>
      <c r="D19" s="148"/>
      <c r="E19" s="148"/>
      <c r="F19" s="148"/>
      <c r="G19" s="148"/>
      <c r="H19" s="148">
        <f t="shared" si="1"/>
        <v>0</v>
      </c>
      <c r="I19" s="148"/>
      <c r="J19" s="148"/>
      <c r="K19" s="148"/>
      <c r="L19" s="148"/>
      <c r="M19" s="148"/>
      <c r="N19" s="148">
        <f t="shared" si="2"/>
        <v>0</v>
      </c>
    </row>
    <row r="20" spans="1:14" ht="25.5" hidden="1">
      <c r="A20" s="25" t="s">
        <v>167</v>
      </c>
      <c r="B20" s="16" t="s">
        <v>217</v>
      </c>
      <c r="C20" s="148">
        <f t="shared" si="0"/>
        <v>0</v>
      </c>
      <c r="D20" s="148"/>
      <c r="E20" s="148"/>
      <c r="F20" s="148"/>
      <c r="G20" s="148"/>
      <c r="H20" s="148">
        <f t="shared" si="1"/>
        <v>0</v>
      </c>
      <c r="I20" s="148"/>
      <c r="J20" s="148"/>
      <c r="K20" s="148"/>
      <c r="L20" s="148"/>
      <c r="M20" s="148"/>
      <c r="N20" s="148">
        <f t="shared" si="2"/>
        <v>0</v>
      </c>
    </row>
    <row r="21" spans="1:14" ht="12.75">
      <c r="A21" s="28" t="s">
        <v>71</v>
      </c>
      <c r="B21" s="26" t="s">
        <v>93</v>
      </c>
      <c r="C21" s="148">
        <f t="shared" si="0"/>
        <v>0</v>
      </c>
      <c r="D21" s="148"/>
      <c r="E21" s="148"/>
      <c r="F21" s="148"/>
      <c r="G21" s="148"/>
      <c r="H21" s="148">
        <f t="shared" si="1"/>
        <v>36000</v>
      </c>
      <c r="I21" s="148">
        <v>36000</v>
      </c>
      <c r="J21" s="148"/>
      <c r="K21" s="148"/>
      <c r="L21" s="148"/>
      <c r="M21" s="148"/>
      <c r="N21" s="148">
        <f t="shared" si="2"/>
        <v>36000</v>
      </c>
    </row>
    <row r="22" spans="1:14" ht="12.75">
      <c r="A22" s="28" t="s">
        <v>73</v>
      </c>
      <c r="B22" s="80" t="s">
        <v>72</v>
      </c>
      <c r="C22" s="148">
        <f t="shared" si="0"/>
        <v>43970</v>
      </c>
      <c r="D22" s="148">
        <f>D23+D24+D26+D25</f>
        <v>43970</v>
      </c>
      <c r="E22" s="148">
        <f>E23+E24+E26+E25</f>
        <v>0</v>
      </c>
      <c r="F22" s="148">
        <f>F23+F24+F26+F25</f>
        <v>0</v>
      </c>
      <c r="G22" s="148">
        <f>G23+G24+G26+G25</f>
        <v>0</v>
      </c>
      <c r="H22" s="148">
        <f t="shared" si="1"/>
        <v>0</v>
      </c>
      <c r="I22" s="148"/>
      <c r="J22" s="148">
        <f>J23+J24+J26+J25</f>
        <v>0</v>
      </c>
      <c r="K22" s="148">
        <f>K23+K24+K26+K25</f>
        <v>0</v>
      </c>
      <c r="L22" s="148">
        <f>L23+L24+L26+L25</f>
        <v>0</v>
      </c>
      <c r="M22" s="148">
        <f>M23+M24+M26+M25</f>
        <v>0</v>
      </c>
      <c r="N22" s="148">
        <f t="shared" si="2"/>
        <v>43970</v>
      </c>
    </row>
    <row r="23" spans="1:14" ht="25.5">
      <c r="A23" s="28"/>
      <c r="B23" s="80" t="s">
        <v>255</v>
      </c>
      <c r="C23" s="148">
        <f t="shared" si="0"/>
        <v>34320</v>
      </c>
      <c r="D23" s="148">
        <v>34320</v>
      </c>
      <c r="E23" s="148"/>
      <c r="F23" s="148"/>
      <c r="G23" s="148"/>
      <c r="H23" s="148">
        <f t="shared" si="1"/>
        <v>0</v>
      </c>
      <c r="I23" s="148"/>
      <c r="J23" s="148"/>
      <c r="K23" s="148"/>
      <c r="L23" s="148"/>
      <c r="M23" s="148"/>
      <c r="N23" s="148">
        <f t="shared" si="2"/>
        <v>34320</v>
      </c>
    </row>
    <row r="24" spans="1:14" ht="25.5">
      <c r="A24" s="28"/>
      <c r="B24" s="80" t="s">
        <v>254</v>
      </c>
      <c r="C24" s="148">
        <f t="shared" si="0"/>
        <v>9650</v>
      </c>
      <c r="D24" s="148">
        <v>9650</v>
      </c>
      <c r="E24" s="148"/>
      <c r="F24" s="148"/>
      <c r="G24" s="148"/>
      <c r="H24" s="148">
        <f t="shared" si="1"/>
        <v>0</v>
      </c>
      <c r="I24" s="148"/>
      <c r="J24" s="148"/>
      <c r="K24" s="148"/>
      <c r="L24" s="148"/>
      <c r="M24" s="148"/>
      <c r="N24" s="148">
        <f t="shared" si="2"/>
        <v>9650</v>
      </c>
    </row>
    <row r="25" spans="1:14" ht="38.25" hidden="1">
      <c r="A25" s="28"/>
      <c r="B25" s="109" t="s">
        <v>248</v>
      </c>
      <c r="C25" s="148">
        <f t="shared" si="0"/>
        <v>0</v>
      </c>
      <c r="D25" s="148"/>
      <c r="E25" s="148"/>
      <c r="F25" s="148"/>
      <c r="G25" s="148"/>
      <c r="H25" s="148">
        <f t="shared" si="1"/>
        <v>0</v>
      </c>
      <c r="I25" s="148"/>
      <c r="J25" s="148"/>
      <c r="K25" s="148"/>
      <c r="L25" s="148"/>
      <c r="M25" s="148"/>
      <c r="N25" s="148">
        <f t="shared" si="2"/>
        <v>0</v>
      </c>
    </row>
    <row r="26" spans="1:14" ht="25.5" hidden="1">
      <c r="A26" s="28"/>
      <c r="B26" s="80" t="s">
        <v>244</v>
      </c>
      <c r="C26" s="148">
        <f t="shared" si="0"/>
        <v>0</v>
      </c>
      <c r="D26" s="148"/>
      <c r="E26" s="148"/>
      <c r="F26" s="148"/>
      <c r="G26" s="148"/>
      <c r="H26" s="148">
        <f t="shared" si="1"/>
        <v>0</v>
      </c>
      <c r="I26" s="148"/>
      <c r="J26" s="148"/>
      <c r="K26" s="148"/>
      <c r="L26" s="148"/>
      <c r="M26" s="148"/>
      <c r="N26" s="148">
        <f t="shared" si="2"/>
        <v>0</v>
      </c>
    </row>
    <row r="27" spans="1:14" s="125" customFormat="1" ht="25.5">
      <c r="A27" s="138" t="s">
        <v>280</v>
      </c>
      <c r="B27" s="139" t="s">
        <v>342</v>
      </c>
      <c r="C27" s="160">
        <f t="shared" si="0"/>
        <v>18690657</v>
      </c>
      <c r="D27" s="160">
        <f>D28+D29+D40</f>
        <v>18672657</v>
      </c>
      <c r="E27" s="160">
        <f>E28+E29+E40</f>
        <v>11236328</v>
      </c>
      <c r="F27" s="160">
        <f>F28+F29+F40</f>
        <v>1466790</v>
      </c>
      <c r="G27" s="160">
        <f>G28+G29+G40</f>
        <v>18000</v>
      </c>
      <c r="H27" s="160">
        <f t="shared" si="1"/>
        <v>1229879</v>
      </c>
      <c r="I27" s="160">
        <f>I28+I29</f>
        <v>1229879</v>
      </c>
      <c r="J27" s="160">
        <f>J28+J29</f>
        <v>87524</v>
      </c>
      <c r="K27" s="160">
        <f>K28+K29</f>
        <v>19619</v>
      </c>
      <c r="L27" s="160">
        <f>L28+L29</f>
        <v>0</v>
      </c>
      <c r="M27" s="160">
        <f>M28+M29</f>
        <v>0</v>
      </c>
      <c r="N27" s="160">
        <f t="shared" si="2"/>
        <v>19920536</v>
      </c>
    </row>
    <row r="28" spans="1:14" s="2" customFormat="1" ht="12.75">
      <c r="A28" s="113" t="s">
        <v>24</v>
      </c>
      <c r="B28" s="114" t="s">
        <v>25</v>
      </c>
      <c r="C28" s="148">
        <f t="shared" si="0"/>
        <v>107028</v>
      </c>
      <c r="D28" s="158">
        <v>107028</v>
      </c>
      <c r="E28" s="158">
        <v>76636</v>
      </c>
      <c r="F28" s="158"/>
      <c r="G28" s="158"/>
      <c r="H28" s="148">
        <f t="shared" si="1"/>
        <v>0</v>
      </c>
      <c r="I28" s="158"/>
      <c r="J28" s="158"/>
      <c r="K28" s="158"/>
      <c r="L28" s="158"/>
      <c r="M28" s="158"/>
      <c r="N28" s="148">
        <f t="shared" si="2"/>
        <v>107028</v>
      </c>
    </row>
    <row r="29" spans="1:14" s="2" customFormat="1" ht="12.75">
      <c r="A29" s="115" t="s">
        <v>26</v>
      </c>
      <c r="B29" s="116" t="s">
        <v>27</v>
      </c>
      <c r="C29" s="148">
        <f t="shared" si="0"/>
        <v>18580000</v>
      </c>
      <c r="D29" s="158">
        <f>D30+D31+D32+D34+D35+D36+D37+D33+D38+D39</f>
        <v>18562000</v>
      </c>
      <c r="E29" s="158">
        <f>E30+E31+E32+E34+E35+E36+E37+E33+E38+E39</f>
        <v>11159692</v>
      </c>
      <c r="F29" s="158">
        <f>F30+F31+F32+F34+F35+F36+F37+F33+F38+F39</f>
        <v>1466790</v>
      </c>
      <c r="G29" s="158">
        <f>G30+G31+G32+G34+G35+G36+G37+G33+G38+G39</f>
        <v>18000</v>
      </c>
      <c r="H29" s="148">
        <f t="shared" si="1"/>
        <v>1229879</v>
      </c>
      <c r="I29" s="158">
        <f>I30+I31+I32+I34+I35+I36+I37+I33</f>
        <v>1229879</v>
      </c>
      <c r="J29" s="158">
        <f>J30+J31+J32+J34+J35+J36+J37+J33</f>
        <v>87524</v>
      </c>
      <c r="K29" s="158">
        <f>K30+K31+K32+K34+K35+K36+K37+K33</f>
        <v>19619</v>
      </c>
      <c r="L29" s="158">
        <f>L30+L31+L32+L34+L35+L36+L37+L33</f>
        <v>0</v>
      </c>
      <c r="M29" s="158">
        <f>M30+M31+M32+M34+M35+M36+M37+M33</f>
        <v>0</v>
      </c>
      <c r="N29" s="148">
        <f t="shared" si="2"/>
        <v>19809879</v>
      </c>
    </row>
    <row r="30" spans="1:14" ht="12.75">
      <c r="A30" s="25" t="s">
        <v>82</v>
      </c>
      <c r="B30" s="27" t="s">
        <v>78</v>
      </c>
      <c r="C30" s="148">
        <f t="shared" si="0"/>
        <v>6325816</v>
      </c>
      <c r="D30" s="148">
        <v>6325816</v>
      </c>
      <c r="E30" s="148">
        <v>3354656</v>
      </c>
      <c r="F30" s="148">
        <v>686283</v>
      </c>
      <c r="G30" s="148"/>
      <c r="H30" s="148">
        <f t="shared" si="1"/>
        <v>833149</v>
      </c>
      <c r="I30" s="148">
        <v>833149</v>
      </c>
      <c r="J30" s="148"/>
      <c r="K30" s="148">
        <v>2000</v>
      </c>
      <c r="L30" s="148"/>
      <c r="M30" s="148"/>
      <c r="N30" s="148">
        <f t="shared" si="2"/>
        <v>7158965</v>
      </c>
    </row>
    <row r="31" spans="1:14" ht="51">
      <c r="A31" s="25" t="s">
        <v>28</v>
      </c>
      <c r="B31" s="26" t="s">
        <v>294</v>
      </c>
      <c r="C31" s="148">
        <f t="shared" si="0"/>
        <v>10899689</v>
      </c>
      <c r="D31" s="148">
        <v>10899689</v>
      </c>
      <c r="E31" s="148">
        <v>6970141</v>
      </c>
      <c r="F31" s="148">
        <v>739990</v>
      </c>
      <c r="G31" s="148"/>
      <c r="H31" s="148">
        <f t="shared" si="1"/>
        <v>366620</v>
      </c>
      <c r="I31" s="148">
        <v>366620</v>
      </c>
      <c r="J31" s="148">
        <v>87524</v>
      </c>
      <c r="K31" s="148">
        <v>14879</v>
      </c>
      <c r="L31" s="148"/>
      <c r="M31" s="148"/>
      <c r="N31" s="148">
        <f t="shared" si="2"/>
        <v>11266309</v>
      </c>
    </row>
    <row r="32" spans="1:14" ht="12.75">
      <c r="A32" s="25" t="s">
        <v>83</v>
      </c>
      <c r="B32" s="27" t="s">
        <v>98</v>
      </c>
      <c r="C32" s="148">
        <f t="shared" si="0"/>
        <v>534021</v>
      </c>
      <c r="D32" s="148">
        <v>534021</v>
      </c>
      <c r="E32" s="148">
        <v>376630</v>
      </c>
      <c r="F32" s="148">
        <v>18627</v>
      </c>
      <c r="G32" s="148"/>
      <c r="H32" s="148">
        <f t="shared" si="1"/>
        <v>13427</v>
      </c>
      <c r="I32" s="148">
        <v>13427</v>
      </c>
      <c r="J32" s="148"/>
      <c r="K32" s="148">
        <v>2740</v>
      </c>
      <c r="L32" s="148"/>
      <c r="M32" s="148"/>
      <c r="N32" s="148">
        <f t="shared" si="2"/>
        <v>547448</v>
      </c>
    </row>
    <row r="33" spans="1:14" ht="51" hidden="1">
      <c r="A33" s="45" t="s">
        <v>389</v>
      </c>
      <c r="B33" s="52" t="s">
        <v>390</v>
      </c>
      <c r="C33" s="148">
        <f>D33+G33</f>
        <v>0</v>
      </c>
      <c r="D33" s="148"/>
      <c r="E33" s="148"/>
      <c r="F33" s="148"/>
      <c r="G33" s="148"/>
      <c r="H33" s="148">
        <f>I33+L33</f>
        <v>0</v>
      </c>
      <c r="I33" s="148"/>
      <c r="J33" s="148"/>
      <c r="K33" s="148"/>
      <c r="L33" s="148"/>
      <c r="M33" s="148"/>
      <c r="N33" s="148">
        <f>C33+H33</f>
        <v>0</v>
      </c>
    </row>
    <row r="34" spans="1:14" ht="25.5">
      <c r="A34" s="25" t="s">
        <v>31</v>
      </c>
      <c r="B34" s="26" t="s">
        <v>295</v>
      </c>
      <c r="C34" s="148">
        <f t="shared" si="0"/>
        <v>161534</v>
      </c>
      <c r="D34" s="148">
        <v>161534</v>
      </c>
      <c r="E34" s="148">
        <v>112953</v>
      </c>
      <c r="F34" s="148"/>
      <c r="G34" s="148"/>
      <c r="H34" s="148">
        <f t="shared" si="1"/>
        <v>0</v>
      </c>
      <c r="I34" s="148"/>
      <c r="J34" s="148"/>
      <c r="K34" s="148"/>
      <c r="L34" s="148"/>
      <c r="M34" s="148"/>
      <c r="N34" s="148">
        <f t="shared" si="2"/>
        <v>161534</v>
      </c>
    </row>
    <row r="35" spans="1:14" ht="25.5">
      <c r="A35" s="25" t="s">
        <v>32</v>
      </c>
      <c r="B35" s="26" t="s">
        <v>296</v>
      </c>
      <c r="C35" s="148">
        <f t="shared" si="0"/>
        <v>512910</v>
      </c>
      <c r="D35" s="148">
        <f>501705-795</f>
        <v>500910</v>
      </c>
      <c r="E35" s="148">
        <v>276719</v>
      </c>
      <c r="F35" s="148">
        <v>21890</v>
      </c>
      <c r="G35" s="148">
        <v>12000</v>
      </c>
      <c r="H35" s="148">
        <f t="shared" si="1"/>
        <v>0</v>
      </c>
      <c r="I35" s="148"/>
      <c r="J35" s="148"/>
      <c r="K35" s="148"/>
      <c r="L35" s="148"/>
      <c r="M35" s="148"/>
      <c r="N35" s="148">
        <f t="shared" si="2"/>
        <v>512910</v>
      </c>
    </row>
    <row r="36" spans="1:14" ht="25.5">
      <c r="A36" s="25" t="s">
        <v>33</v>
      </c>
      <c r="B36" s="26" t="s">
        <v>34</v>
      </c>
      <c r="C36" s="148">
        <f t="shared" si="0"/>
        <v>144440</v>
      </c>
      <c r="D36" s="148">
        <v>138440</v>
      </c>
      <c r="E36" s="148">
        <v>68593</v>
      </c>
      <c r="F36" s="148"/>
      <c r="G36" s="148">
        <v>6000</v>
      </c>
      <c r="H36" s="148">
        <f t="shared" si="1"/>
        <v>16683</v>
      </c>
      <c r="I36" s="148">
        <v>16683</v>
      </c>
      <c r="J36" s="148"/>
      <c r="K36" s="148"/>
      <c r="L36" s="148"/>
      <c r="M36" s="148"/>
      <c r="N36" s="148">
        <f t="shared" si="2"/>
        <v>161123</v>
      </c>
    </row>
    <row r="37" spans="1:14" ht="12.75" hidden="1">
      <c r="A37" s="25" t="s">
        <v>106</v>
      </c>
      <c r="B37" s="26" t="s">
        <v>99</v>
      </c>
      <c r="C37" s="148">
        <f t="shared" si="0"/>
        <v>0</v>
      </c>
      <c r="D37" s="148"/>
      <c r="E37" s="148"/>
      <c r="F37" s="148"/>
      <c r="G37" s="148"/>
      <c r="H37" s="148">
        <f t="shared" si="1"/>
        <v>0</v>
      </c>
      <c r="I37" s="148"/>
      <c r="J37" s="148"/>
      <c r="K37" s="148"/>
      <c r="L37" s="148"/>
      <c r="M37" s="148"/>
      <c r="N37" s="148">
        <f t="shared" si="2"/>
        <v>0</v>
      </c>
    </row>
    <row r="38" spans="1:14" s="17" customFormat="1" ht="38.25">
      <c r="A38" s="45" t="s">
        <v>387</v>
      </c>
      <c r="B38" s="27" t="s">
        <v>388</v>
      </c>
      <c r="C38" s="148">
        <f t="shared" si="0"/>
        <v>1590</v>
      </c>
      <c r="D38" s="148">
        <v>1590</v>
      </c>
      <c r="E38" s="148"/>
      <c r="F38" s="148"/>
      <c r="G38" s="148"/>
      <c r="H38" s="148">
        <f t="shared" si="1"/>
        <v>0</v>
      </c>
      <c r="I38" s="148"/>
      <c r="J38" s="148"/>
      <c r="K38" s="148"/>
      <c r="L38" s="148"/>
      <c r="M38" s="148"/>
      <c r="N38" s="147">
        <f t="shared" si="2"/>
        <v>1590</v>
      </c>
    </row>
    <row r="39" spans="1:16" ht="89.25" hidden="1">
      <c r="A39" s="45" t="s">
        <v>416</v>
      </c>
      <c r="B39" s="27" t="s">
        <v>417</v>
      </c>
      <c r="C39" s="144">
        <f t="shared" si="0"/>
        <v>0</v>
      </c>
      <c r="D39" s="144"/>
      <c r="E39" s="144"/>
      <c r="F39" s="144"/>
      <c r="G39" s="144"/>
      <c r="H39" s="144">
        <f t="shared" si="1"/>
        <v>0</v>
      </c>
      <c r="I39" s="144"/>
      <c r="J39" s="144"/>
      <c r="K39" s="144"/>
      <c r="L39" s="144"/>
      <c r="M39" s="144"/>
      <c r="N39" s="143">
        <f t="shared" si="2"/>
        <v>0</v>
      </c>
      <c r="O39" s="145"/>
      <c r="P39" s="145"/>
    </row>
    <row r="40" spans="1:16" ht="63.75">
      <c r="A40" s="45" t="s">
        <v>323</v>
      </c>
      <c r="B40" s="27" t="s">
        <v>436</v>
      </c>
      <c r="C40" s="144">
        <f t="shared" si="0"/>
        <v>3629</v>
      </c>
      <c r="D40" s="148">
        <v>3629</v>
      </c>
      <c r="E40" s="144"/>
      <c r="F40" s="144"/>
      <c r="G40" s="144"/>
      <c r="H40" s="144">
        <f t="shared" si="1"/>
        <v>0</v>
      </c>
      <c r="I40" s="144"/>
      <c r="J40" s="144"/>
      <c r="K40" s="144"/>
      <c r="L40" s="144"/>
      <c r="M40" s="144"/>
      <c r="N40" s="143">
        <f t="shared" si="2"/>
        <v>3629</v>
      </c>
      <c r="O40" s="145"/>
      <c r="P40" s="145"/>
    </row>
    <row r="41" spans="1:14" s="125" customFormat="1" ht="38.25">
      <c r="A41" s="138" t="s">
        <v>281</v>
      </c>
      <c r="B41" s="139" t="s">
        <v>343</v>
      </c>
      <c r="C41" s="160">
        <f t="shared" si="0"/>
        <v>10013890</v>
      </c>
      <c r="D41" s="160">
        <f>D42+D43+D74</f>
        <v>9983890</v>
      </c>
      <c r="E41" s="160">
        <f>E42+E43+E74</f>
        <v>451077</v>
      </c>
      <c r="F41" s="160">
        <f>F42+F43+F74</f>
        <v>23377</v>
      </c>
      <c r="G41" s="160">
        <f>G42+G43+G74</f>
        <v>30000</v>
      </c>
      <c r="H41" s="160">
        <f t="shared" si="1"/>
        <v>0</v>
      </c>
      <c r="I41" s="160">
        <f>I42+I43</f>
        <v>0</v>
      </c>
      <c r="J41" s="160">
        <f>J42+J43</f>
        <v>0</v>
      </c>
      <c r="K41" s="160">
        <f>K42+K43</f>
        <v>0</v>
      </c>
      <c r="L41" s="160">
        <f>L42+L43</f>
        <v>0</v>
      </c>
      <c r="M41" s="160">
        <f>M42+M43</f>
        <v>0</v>
      </c>
      <c r="N41" s="160">
        <f t="shared" si="2"/>
        <v>10013890</v>
      </c>
    </row>
    <row r="42" spans="1:14" s="2" customFormat="1" ht="12.75">
      <c r="A42" s="113" t="s">
        <v>24</v>
      </c>
      <c r="B42" s="114" t="s">
        <v>25</v>
      </c>
      <c r="C42" s="148">
        <f t="shared" si="0"/>
        <v>696778</v>
      </c>
      <c r="D42" s="158">
        <v>666778</v>
      </c>
      <c r="E42" s="158">
        <v>451077</v>
      </c>
      <c r="F42" s="158">
        <v>23377</v>
      </c>
      <c r="G42" s="158">
        <v>30000</v>
      </c>
      <c r="H42" s="148">
        <f t="shared" si="1"/>
        <v>0</v>
      </c>
      <c r="I42" s="158"/>
      <c r="J42" s="158"/>
      <c r="K42" s="158"/>
      <c r="L42" s="158"/>
      <c r="M42" s="158"/>
      <c r="N42" s="148">
        <f t="shared" si="2"/>
        <v>696778</v>
      </c>
    </row>
    <row r="43" spans="1:14" s="2" customFormat="1" ht="25.5">
      <c r="A43" s="115" t="s">
        <v>49</v>
      </c>
      <c r="B43" s="120" t="s">
        <v>150</v>
      </c>
      <c r="C43" s="148">
        <f t="shared" si="0"/>
        <v>9317112</v>
      </c>
      <c r="D43" s="158">
        <f>D44+D45+D46+D47+D48+D49+D50+D51+D52+D53+D61+D62+D66+D69+D73+D67+D68</f>
        <v>9317112</v>
      </c>
      <c r="E43" s="158"/>
      <c r="F43" s="158"/>
      <c r="G43" s="158"/>
      <c r="H43" s="148">
        <f t="shared" si="1"/>
        <v>0</v>
      </c>
      <c r="I43" s="158"/>
      <c r="J43" s="158"/>
      <c r="K43" s="158"/>
      <c r="L43" s="158"/>
      <c r="M43" s="158"/>
      <c r="N43" s="148">
        <f t="shared" si="2"/>
        <v>9317112</v>
      </c>
    </row>
    <row r="44" spans="1:14" ht="102">
      <c r="A44" s="25" t="s">
        <v>165</v>
      </c>
      <c r="B44" s="89" t="s">
        <v>443</v>
      </c>
      <c r="C44" s="148">
        <f t="shared" si="0"/>
        <v>4273912</v>
      </c>
      <c r="D44" s="148">
        <v>4273912</v>
      </c>
      <c r="E44" s="148"/>
      <c r="F44" s="148"/>
      <c r="G44" s="148"/>
      <c r="H44" s="148">
        <f t="shared" si="1"/>
        <v>0</v>
      </c>
      <c r="I44" s="148"/>
      <c r="J44" s="148"/>
      <c r="K44" s="148"/>
      <c r="L44" s="148"/>
      <c r="M44" s="148"/>
      <c r="N44" s="148">
        <f t="shared" si="2"/>
        <v>4273912</v>
      </c>
    </row>
    <row r="45" spans="1:14" ht="63.75">
      <c r="A45" s="25" t="s">
        <v>171</v>
      </c>
      <c r="B45" s="89" t="s">
        <v>444</v>
      </c>
      <c r="C45" s="148">
        <f t="shared" si="0"/>
        <v>14040</v>
      </c>
      <c r="D45" s="148">
        <v>14040</v>
      </c>
      <c r="E45" s="148"/>
      <c r="F45" s="148"/>
      <c r="G45" s="148"/>
      <c r="H45" s="148">
        <f t="shared" si="1"/>
        <v>0</v>
      </c>
      <c r="I45" s="148"/>
      <c r="J45" s="148"/>
      <c r="K45" s="148"/>
      <c r="L45" s="148"/>
      <c r="M45" s="148"/>
      <c r="N45" s="148">
        <f t="shared" si="2"/>
        <v>14040</v>
      </c>
    </row>
    <row r="46" spans="1:14" ht="89.25">
      <c r="A46" s="25" t="s">
        <v>172</v>
      </c>
      <c r="B46" s="20" t="s">
        <v>445</v>
      </c>
      <c r="C46" s="148">
        <f t="shared" si="0"/>
        <v>732841</v>
      </c>
      <c r="D46" s="148">
        <v>732841</v>
      </c>
      <c r="E46" s="148"/>
      <c r="F46" s="148"/>
      <c r="G46" s="148"/>
      <c r="H46" s="148">
        <f t="shared" si="1"/>
        <v>0</v>
      </c>
      <c r="I46" s="148"/>
      <c r="J46" s="148"/>
      <c r="K46" s="148"/>
      <c r="L46" s="148"/>
      <c r="M46" s="148"/>
      <c r="N46" s="148">
        <f t="shared" si="2"/>
        <v>732841</v>
      </c>
    </row>
    <row r="47" spans="1:14" ht="357">
      <c r="A47" s="25" t="s">
        <v>173</v>
      </c>
      <c r="B47" s="20" t="s">
        <v>1</v>
      </c>
      <c r="C47" s="148">
        <f t="shared" si="0"/>
        <v>349680</v>
      </c>
      <c r="D47" s="148">
        <v>349680</v>
      </c>
      <c r="E47" s="148"/>
      <c r="F47" s="148"/>
      <c r="G47" s="148"/>
      <c r="H47" s="148">
        <f t="shared" si="1"/>
        <v>0</v>
      </c>
      <c r="I47" s="148"/>
      <c r="J47" s="148"/>
      <c r="K47" s="148"/>
      <c r="L47" s="148"/>
      <c r="M47" s="148"/>
      <c r="N47" s="148">
        <f t="shared" si="2"/>
        <v>349680</v>
      </c>
    </row>
    <row r="48" spans="1:14" ht="280.5">
      <c r="A48" s="25" t="s">
        <v>174</v>
      </c>
      <c r="B48" s="20" t="s">
        <v>2</v>
      </c>
      <c r="C48" s="148">
        <f t="shared" si="0"/>
        <v>500</v>
      </c>
      <c r="D48" s="148">
        <v>500</v>
      </c>
      <c r="E48" s="148"/>
      <c r="F48" s="148"/>
      <c r="G48" s="148"/>
      <c r="H48" s="148">
        <f t="shared" si="1"/>
        <v>0</v>
      </c>
      <c r="I48" s="148"/>
      <c r="J48" s="148"/>
      <c r="K48" s="148"/>
      <c r="L48" s="148"/>
      <c r="M48" s="148"/>
      <c r="N48" s="148">
        <f t="shared" si="2"/>
        <v>500</v>
      </c>
    </row>
    <row r="49" spans="1:14" ht="127.5">
      <c r="A49" s="25" t="s">
        <v>166</v>
      </c>
      <c r="B49" s="20" t="s">
        <v>13</v>
      </c>
      <c r="C49" s="148">
        <f t="shared" si="0"/>
        <v>30935</v>
      </c>
      <c r="D49" s="148">
        <v>30935</v>
      </c>
      <c r="E49" s="148"/>
      <c r="F49" s="148"/>
      <c r="G49" s="148"/>
      <c r="H49" s="148">
        <f t="shared" si="1"/>
        <v>0</v>
      </c>
      <c r="I49" s="148"/>
      <c r="J49" s="148"/>
      <c r="K49" s="148"/>
      <c r="L49" s="148"/>
      <c r="M49" s="148"/>
      <c r="N49" s="148">
        <f t="shared" si="2"/>
        <v>30935</v>
      </c>
    </row>
    <row r="50" spans="1:14" ht="38.25">
      <c r="A50" s="25" t="s">
        <v>175</v>
      </c>
      <c r="B50" s="20" t="s">
        <v>176</v>
      </c>
      <c r="C50" s="148">
        <f t="shared" si="0"/>
        <v>156690</v>
      </c>
      <c r="D50" s="148">
        <v>156690</v>
      </c>
      <c r="E50" s="148"/>
      <c r="F50" s="148"/>
      <c r="G50" s="148"/>
      <c r="H50" s="148">
        <f t="shared" si="1"/>
        <v>0</v>
      </c>
      <c r="I50" s="148"/>
      <c r="J50" s="148"/>
      <c r="K50" s="148"/>
      <c r="L50" s="148"/>
      <c r="M50" s="148"/>
      <c r="N50" s="148">
        <f t="shared" si="2"/>
        <v>156690</v>
      </c>
    </row>
    <row r="51" spans="1:14" ht="51" hidden="1">
      <c r="A51" s="25" t="s">
        <v>177</v>
      </c>
      <c r="B51" s="80" t="s">
        <v>212</v>
      </c>
      <c r="C51" s="148">
        <f t="shared" si="0"/>
        <v>0</v>
      </c>
      <c r="D51" s="148"/>
      <c r="E51" s="148"/>
      <c r="F51" s="148"/>
      <c r="G51" s="148"/>
      <c r="H51" s="148">
        <f t="shared" si="1"/>
        <v>0</v>
      </c>
      <c r="I51" s="148"/>
      <c r="J51" s="148"/>
      <c r="K51" s="148"/>
      <c r="L51" s="148"/>
      <c r="M51" s="148"/>
      <c r="N51" s="148">
        <f t="shared" si="2"/>
        <v>0</v>
      </c>
    </row>
    <row r="52" spans="1:14" ht="25.5">
      <c r="A52" s="25" t="s">
        <v>178</v>
      </c>
      <c r="B52" s="103" t="s">
        <v>235</v>
      </c>
      <c r="C52" s="148">
        <f t="shared" si="0"/>
        <v>26572</v>
      </c>
      <c r="D52" s="148">
        <v>26572</v>
      </c>
      <c r="E52" s="148"/>
      <c r="F52" s="148"/>
      <c r="G52" s="148"/>
      <c r="H52" s="148">
        <f t="shared" si="1"/>
        <v>0</v>
      </c>
      <c r="I52" s="148"/>
      <c r="J52" s="148"/>
      <c r="K52" s="148"/>
      <c r="L52" s="148"/>
      <c r="M52" s="148"/>
      <c r="N52" s="148">
        <f t="shared" si="2"/>
        <v>26572</v>
      </c>
    </row>
    <row r="53" spans="1:14" ht="38.25" hidden="1">
      <c r="A53" s="25" t="s">
        <v>128</v>
      </c>
      <c r="B53" s="26" t="s">
        <v>231</v>
      </c>
      <c r="C53" s="148">
        <f t="shared" si="0"/>
        <v>2490000</v>
      </c>
      <c r="D53" s="148">
        <f>D54+D55+D56+D57+D58+D59+D60</f>
        <v>2490000</v>
      </c>
      <c r="E53" s="148"/>
      <c r="F53" s="148"/>
      <c r="G53" s="148"/>
      <c r="H53" s="148">
        <f t="shared" si="1"/>
        <v>0</v>
      </c>
      <c r="I53" s="148"/>
      <c r="J53" s="148"/>
      <c r="K53" s="148"/>
      <c r="L53" s="148"/>
      <c r="M53" s="148"/>
      <c r="N53" s="148">
        <f t="shared" si="2"/>
        <v>2490000</v>
      </c>
    </row>
    <row r="54" spans="1:14" ht="25.5" hidden="1">
      <c r="A54" s="25" t="s">
        <v>129</v>
      </c>
      <c r="B54" s="26" t="s">
        <v>246</v>
      </c>
      <c r="C54" s="148">
        <f t="shared" si="0"/>
        <v>0</v>
      </c>
      <c r="D54" s="148"/>
      <c r="E54" s="148"/>
      <c r="F54" s="148"/>
      <c r="G54" s="148"/>
      <c r="H54" s="148">
        <f t="shared" si="1"/>
        <v>0</v>
      </c>
      <c r="I54" s="148"/>
      <c r="J54" s="148"/>
      <c r="K54" s="148"/>
      <c r="L54" s="148"/>
      <c r="M54" s="148"/>
      <c r="N54" s="148">
        <f t="shared" si="2"/>
        <v>0</v>
      </c>
    </row>
    <row r="55" spans="1:14" ht="12.75">
      <c r="A55" s="25" t="s">
        <v>130</v>
      </c>
      <c r="B55" s="26" t="s">
        <v>214</v>
      </c>
      <c r="C55" s="148">
        <f t="shared" si="0"/>
        <v>100000</v>
      </c>
      <c r="D55" s="148">
        <v>100000</v>
      </c>
      <c r="E55" s="148"/>
      <c r="F55" s="148"/>
      <c r="G55" s="148"/>
      <c r="H55" s="148">
        <f t="shared" si="1"/>
        <v>0</v>
      </c>
      <c r="I55" s="148"/>
      <c r="J55" s="148"/>
      <c r="K55" s="148"/>
      <c r="L55" s="148"/>
      <c r="M55" s="148"/>
      <c r="N55" s="148">
        <f t="shared" si="2"/>
        <v>100000</v>
      </c>
    </row>
    <row r="56" spans="1:14" ht="25.5">
      <c r="A56" s="25" t="s">
        <v>131</v>
      </c>
      <c r="B56" s="26" t="s">
        <v>232</v>
      </c>
      <c r="C56" s="148">
        <f t="shared" si="0"/>
        <v>660000</v>
      </c>
      <c r="D56" s="148">
        <v>660000</v>
      </c>
      <c r="E56" s="148"/>
      <c r="F56" s="148"/>
      <c r="G56" s="148"/>
      <c r="H56" s="148">
        <f t="shared" si="1"/>
        <v>0</v>
      </c>
      <c r="I56" s="148"/>
      <c r="J56" s="148"/>
      <c r="K56" s="148"/>
      <c r="L56" s="148"/>
      <c r="M56" s="148"/>
      <c r="N56" s="148">
        <f t="shared" si="2"/>
        <v>660000</v>
      </c>
    </row>
    <row r="57" spans="1:14" ht="25.5">
      <c r="A57" s="25" t="s">
        <v>132</v>
      </c>
      <c r="B57" s="26" t="s">
        <v>105</v>
      </c>
      <c r="C57" s="148">
        <f t="shared" si="0"/>
        <v>700000</v>
      </c>
      <c r="D57" s="148">
        <v>700000</v>
      </c>
      <c r="E57" s="148"/>
      <c r="F57" s="148"/>
      <c r="G57" s="148"/>
      <c r="H57" s="148">
        <f t="shared" si="1"/>
        <v>0</v>
      </c>
      <c r="I57" s="148"/>
      <c r="J57" s="148"/>
      <c r="K57" s="148"/>
      <c r="L57" s="148"/>
      <c r="M57" s="148"/>
      <c r="N57" s="148">
        <f t="shared" si="2"/>
        <v>700000</v>
      </c>
    </row>
    <row r="58" spans="1:14" ht="25.5">
      <c r="A58" s="25" t="s">
        <v>91</v>
      </c>
      <c r="B58" s="103" t="s">
        <v>181</v>
      </c>
      <c r="C58" s="148">
        <f t="shared" si="0"/>
        <v>180000</v>
      </c>
      <c r="D58" s="148">
        <v>180000</v>
      </c>
      <c r="E58" s="148"/>
      <c r="F58" s="148"/>
      <c r="G58" s="148"/>
      <c r="H58" s="148">
        <f t="shared" si="1"/>
        <v>0</v>
      </c>
      <c r="I58" s="148"/>
      <c r="J58" s="148"/>
      <c r="K58" s="148"/>
      <c r="L58" s="148"/>
      <c r="M58" s="148"/>
      <c r="N58" s="148">
        <f t="shared" si="2"/>
        <v>180000</v>
      </c>
    </row>
    <row r="59" spans="1:14" ht="12.75">
      <c r="A59" s="25" t="s">
        <v>245</v>
      </c>
      <c r="B59" s="16" t="s">
        <v>180</v>
      </c>
      <c r="C59" s="148">
        <f t="shared" si="0"/>
        <v>750000</v>
      </c>
      <c r="D59" s="148">
        <v>750000</v>
      </c>
      <c r="E59" s="148"/>
      <c r="F59" s="148"/>
      <c r="G59" s="148"/>
      <c r="H59" s="148">
        <f t="shared" si="1"/>
        <v>0</v>
      </c>
      <c r="I59" s="148"/>
      <c r="J59" s="148"/>
      <c r="K59" s="148"/>
      <c r="L59" s="148"/>
      <c r="M59" s="148"/>
      <c r="N59" s="148">
        <f t="shared" si="2"/>
        <v>750000</v>
      </c>
    </row>
    <row r="60" spans="1:14" ht="12.75">
      <c r="A60" s="25" t="s">
        <v>440</v>
      </c>
      <c r="B60" s="103" t="s">
        <v>441</v>
      </c>
      <c r="C60" s="148">
        <f t="shared" si="0"/>
        <v>100000</v>
      </c>
      <c r="D60" s="148">
        <v>100000</v>
      </c>
      <c r="E60" s="148"/>
      <c r="F60" s="148"/>
      <c r="G60" s="148"/>
      <c r="H60" s="148"/>
      <c r="I60" s="148"/>
      <c r="J60" s="148"/>
      <c r="K60" s="148"/>
      <c r="L60" s="148"/>
      <c r="M60" s="148"/>
      <c r="N60" s="148">
        <f t="shared" si="2"/>
        <v>100000</v>
      </c>
    </row>
    <row r="61" spans="1:14" ht="25.5">
      <c r="A61" s="25" t="s">
        <v>182</v>
      </c>
      <c r="B61" s="26" t="s">
        <v>233</v>
      </c>
      <c r="C61" s="148">
        <f t="shared" si="0"/>
        <v>386000</v>
      </c>
      <c r="D61" s="148">
        <v>386000</v>
      </c>
      <c r="E61" s="148"/>
      <c r="F61" s="148"/>
      <c r="G61" s="148"/>
      <c r="H61" s="148">
        <f t="shared" si="1"/>
        <v>0</v>
      </c>
      <c r="I61" s="148"/>
      <c r="J61" s="148"/>
      <c r="K61" s="148"/>
      <c r="L61" s="148"/>
      <c r="M61" s="148"/>
      <c r="N61" s="148">
        <f t="shared" si="2"/>
        <v>386000</v>
      </c>
    </row>
    <row r="62" spans="1:14" ht="38.25">
      <c r="A62" s="121" t="s">
        <v>92</v>
      </c>
      <c r="B62" s="122" t="s">
        <v>151</v>
      </c>
      <c r="C62" s="148">
        <f t="shared" si="0"/>
        <v>483742</v>
      </c>
      <c r="D62" s="148">
        <f>D64+D65</f>
        <v>483742</v>
      </c>
      <c r="E62" s="148"/>
      <c r="F62" s="148"/>
      <c r="G62" s="148"/>
      <c r="H62" s="148">
        <f t="shared" si="1"/>
        <v>0</v>
      </c>
      <c r="I62" s="148"/>
      <c r="J62" s="148"/>
      <c r="K62" s="148"/>
      <c r="L62" s="148"/>
      <c r="M62" s="148"/>
      <c r="N62" s="148">
        <f t="shared" si="2"/>
        <v>483742</v>
      </c>
    </row>
    <row r="63" spans="1:14" ht="12.75">
      <c r="A63" s="45"/>
      <c r="B63" s="80" t="s">
        <v>148</v>
      </c>
      <c r="C63" s="148"/>
      <c r="D63" s="148"/>
      <c r="E63" s="148"/>
      <c r="F63" s="148"/>
      <c r="G63" s="148"/>
      <c r="H63" s="148"/>
      <c r="I63" s="148"/>
      <c r="J63" s="148"/>
      <c r="K63" s="148"/>
      <c r="L63" s="148"/>
      <c r="M63" s="148"/>
      <c r="N63" s="148"/>
    </row>
    <row r="64" spans="1:14" ht="63.75">
      <c r="A64" s="45"/>
      <c r="B64" s="80" t="s">
        <v>184</v>
      </c>
      <c r="C64" s="148">
        <f t="shared" si="0"/>
        <v>477022</v>
      </c>
      <c r="D64" s="148">
        <v>477022</v>
      </c>
      <c r="E64" s="148"/>
      <c r="F64" s="148"/>
      <c r="G64" s="148"/>
      <c r="H64" s="148">
        <f t="shared" si="1"/>
        <v>0</v>
      </c>
      <c r="I64" s="148"/>
      <c r="J64" s="148"/>
      <c r="K64" s="148"/>
      <c r="L64" s="148"/>
      <c r="M64" s="148"/>
      <c r="N64" s="148">
        <f t="shared" si="2"/>
        <v>477022</v>
      </c>
    </row>
    <row r="65" spans="1:14" ht="25.5">
      <c r="A65" s="45"/>
      <c r="B65" s="80" t="s">
        <v>205</v>
      </c>
      <c r="C65" s="148">
        <f t="shared" si="0"/>
        <v>6720</v>
      </c>
      <c r="D65" s="148">
        <v>6720</v>
      </c>
      <c r="E65" s="148"/>
      <c r="F65" s="148"/>
      <c r="G65" s="148"/>
      <c r="H65" s="148">
        <f t="shared" si="1"/>
        <v>0</v>
      </c>
      <c r="I65" s="148"/>
      <c r="J65" s="148"/>
      <c r="K65" s="148"/>
      <c r="L65" s="148"/>
      <c r="M65" s="148"/>
      <c r="N65" s="148">
        <f t="shared" si="2"/>
        <v>6720</v>
      </c>
    </row>
    <row r="66" spans="1:14" ht="25.5">
      <c r="A66" s="25" t="s">
        <v>50</v>
      </c>
      <c r="B66" s="16" t="s">
        <v>234</v>
      </c>
      <c r="C66" s="148">
        <f t="shared" si="0"/>
        <v>50000</v>
      </c>
      <c r="D66" s="148">
        <v>50000</v>
      </c>
      <c r="E66" s="148"/>
      <c r="F66" s="148"/>
      <c r="G66" s="148"/>
      <c r="H66" s="148">
        <f t="shared" si="1"/>
        <v>0</v>
      </c>
      <c r="I66" s="148"/>
      <c r="J66" s="148"/>
      <c r="K66" s="148"/>
      <c r="L66" s="148"/>
      <c r="M66" s="148"/>
      <c r="N66" s="148">
        <f t="shared" si="2"/>
        <v>50000</v>
      </c>
    </row>
    <row r="67" spans="1:14" ht="25.5">
      <c r="A67" s="25" t="s">
        <v>167</v>
      </c>
      <c r="B67" s="186" t="s">
        <v>438</v>
      </c>
      <c r="C67" s="148">
        <f>D67+G67</f>
        <v>22200</v>
      </c>
      <c r="D67" s="148">
        <v>22200</v>
      </c>
      <c r="E67" s="148"/>
      <c r="F67" s="148"/>
      <c r="G67" s="148"/>
      <c r="H67" s="148">
        <f>I67+L67</f>
        <v>0</v>
      </c>
      <c r="I67" s="148"/>
      <c r="J67" s="148"/>
      <c r="K67" s="148"/>
      <c r="L67" s="148"/>
      <c r="M67" s="148"/>
      <c r="N67" s="148">
        <f>C67+H67</f>
        <v>22200</v>
      </c>
    </row>
    <row r="68" spans="1:14" ht="25.5" hidden="1">
      <c r="A68" s="90" t="s">
        <v>335</v>
      </c>
      <c r="B68" s="80" t="s">
        <v>410</v>
      </c>
      <c r="C68" s="147">
        <f t="shared" si="0"/>
        <v>0</v>
      </c>
      <c r="D68" s="148"/>
      <c r="E68" s="148"/>
      <c r="F68" s="148"/>
      <c r="G68" s="148"/>
      <c r="H68" s="148"/>
      <c r="I68" s="148"/>
      <c r="J68" s="148"/>
      <c r="K68" s="148"/>
      <c r="L68" s="148"/>
      <c r="M68" s="148"/>
      <c r="N68" s="148">
        <f t="shared" si="2"/>
        <v>0</v>
      </c>
    </row>
    <row r="69" spans="1:14" ht="76.5" hidden="1">
      <c r="A69" s="45" t="s">
        <v>332</v>
      </c>
      <c r="B69" s="53" t="s">
        <v>334</v>
      </c>
      <c r="C69" s="148">
        <f t="shared" si="0"/>
        <v>0</v>
      </c>
      <c r="D69" s="148">
        <f>D71+D72</f>
        <v>0</v>
      </c>
      <c r="E69" s="148"/>
      <c r="F69" s="148"/>
      <c r="G69" s="148"/>
      <c r="H69" s="148">
        <f t="shared" si="1"/>
        <v>0</v>
      </c>
      <c r="I69" s="148"/>
      <c r="J69" s="148"/>
      <c r="K69" s="148"/>
      <c r="L69" s="148"/>
      <c r="M69" s="148"/>
      <c r="N69" s="148">
        <f t="shared" si="2"/>
        <v>0</v>
      </c>
    </row>
    <row r="70" spans="1:14" ht="12.75" hidden="1">
      <c r="A70" s="25"/>
      <c r="B70" s="80" t="s">
        <v>148</v>
      </c>
      <c r="C70" s="148"/>
      <c r="D70" s="148"/>
      <c r="E70" s="148"/>
      <c r="F70" s="148"/>
      <c r="G70" s="148"/>
      <c r="H70" s="148"/>
      <c r="I70" s="148"/>
      <c r="J70" s="148"/>
      <c r="K70" s="148"/>
      <c r="L70" s="148"/>
      <c r="M70" s="148"/>
      <c r="N70" s="148"/>
    </row>
    <row r="71" spans="1:14" ht="63.75" hidden="1">
      <c r="A71" s="25"/>
      <c r="B71" s="80" t="s">
        <v>184</v>
      </c>
      <c r="C71" s="148">
        <f t="shared" si="0"/>
        <v>0</v>
      </c>
      <c r="D71" s="148"/>
      <c r="E71" s="148"/>
      <c r="F71" s="148"/>
      <c r="G71" s="148"/>
      <c r="H71" s="148"/>
      <c r="I71" s="148"/>
      <c r="J71" s="148"/>
      <c r="K71" s="148"/>
      <c r="L71" s="148"/>
      <c r="M71" s="148"/>
      <c r="N71" s="148">
        <f t="shared" si="2"/>
        <v>0</v>
      </c>
    </row>
    <row r="72" spans="1:14" ht="25.5" hidden="1">
      <c r="A72" s="25"/>
      <c r="B72" s="80" t="s">
        <v>205</v>
      </c>
      <c r="C72" s="148">
        <f t="shared" si="0"/>
        <v>0</v>
      </c>
      <c r="D72" s="148"/>
      <c r="E72" s="148"/>
      <c r="F72" s="148"/>
      <c r="G72" s="148"/>
      <c r="H72" s="148"/>
      <c r="I72" s="148"/>
      <c r="J72" s="148"/>
      <c r="K72" s="148"/>
      <c r="L72" s="148"/>
      <c r="M72" s="148"/>
      <c r="N72" s="148">
        <f t="shared" si="2"/>
        <v>0</v>
      </c>
    </row>
    <row r="73" spans="1:14" ht="25.5">
      <c r="A73" s="25" t="s">
        <v>123</v>
      </c>
      <c r="B73" s="26" t="s">
        <v>153</v>
      </c>
      <c r="C73" s="148">
        <f t="shared" si="0"/>
        <v>300000</v>
      </c>
      <c r="D73" s="148">
        <v>300000</v>
      </c>
      <c r="E73" s="148"/>
      <c r="F73" s="148"/>
      <c r="G73" s="148"/>
      <c r="H73" s="148">
        <f t="shared" si="1"/>
        <v>0</v>
      </c>
      <c r="I73" s="148"/>
      <c r="J73" s="148"/>
      <c r="K73" s="148"/>
      <c r="L73" s="148"/>
      <c r="M73" s="148"/>
      <c r="N73" s="148">
        <f t="shared" si="2"/>
        <v>300000</v>
      </c>
    </row>
    <row r="74" spans="1:14" ht="38.25" hidden="1">
      <c r="A74" s="174" t="s">
        <v>396</v>
      </c>
      <c r="B74" s="26" t="s">
        <v>397</v>
      </c>
      <c r="C74" s="148">
        <f t="shared" si="0"/>
        <v>0</v>
      </c>
      <c r="D74" s="148"/>
      <c r="E74" s="148"/>
      <c r="F74" s="148"/>
      <c r="G74" s="148"/>
      <c r="H74" s="148"/>
      <c r="I74" s="148"/>
      <c r="J74" s="148"/>
      <c r="K74" s="148"/>
      <c r="L74" s="148"/>
      <c r="M74" s="148"/>
      <c r="N74" s="148">
        <f t="shared" si="2"/>
        <v>0</v>
      </c>
    </row>
    <row r="75" spans="1:14" s="125" customFormat="1" ht="25.5">
      <c r="A75" s="138" t="s">
        <v>394</v>
      </c>
      <c r="B75" s="132" t="s">
        <v>344</v>
      </c>
      <c r="C75" s="160">
        <f t="shared" si="0"/>
        <v>353137</v>
      </c>
      <c r="D75" s="160">
        <f>D76+D77</f>
        <v>353137</v>
      </c>
      <c r="E75" s="160">
        <f>E76+E77</f>
        <v>52457</v>
      </c>
      <c r="F75" s="160">
        <f>F76+F77</f>
        <v>235500</v>
      </c>
      <c r="G75" s="160">
        <f>G76+G77</f>
        <v>0</v>
      </c>
      <c r="H75" s="160">
        <f t="shared" si="1"/>
        <v>85200</v>
      </c>
      <c r="I75" s="160">
        <f>I76+I77</f>
        <v>85200</v>
      </c>
      <c r="J75" s="160">
        <f>J76+J77</f>
        <v>0</v>
      </c>
      <c r="K75" s="160">
        <f>K76+K77</f>
        <v>16200</v>
      </c>
      <c r="L75" s="160">
        <f>L76+L77</f>
        <v>0</v>
      </c>
      <c r="M75" s="160">
        <f>M76+M77</f>
        <v>0</v>
      </c>
      <c r="N75" s="160">
        <f t="shared" si="2"/>
        <v>438337</v>
      </c>
    </row>
    <row r="76" spans="1:14" s="2" customFormat="1" ht="12.75">
      <c r="A76" s="113" t="s">
        <v>24</v>
      </c>
      <c r="B76" s="114" t="s">
        <v>25</v>
      </c>
      <c r="C76" s="148">
        <f t="shared" si="0"/>
        <v>78137</v>
      </c>
      <c r="D76" s="158">
        <v>78137</v>
      </c>
      <c r="E76" s="158">
        <v>52457</v>
      </c>
      <c r="F76" s="158"/>
      <c r="G76" s="158"/>
      <c r="H76" s="148">
        <f t="shared" si="1"/>
        <v>0</v>
      </c>
      <c r="I76" s="158"/>
      <c r="J76" s="158"/>
      <c r="K76" s="158"/>
      <c r="L76" s="158"/>
      <c r="M76" s="158"/>
      <c r="N76" s="148">
        <f t="shared" si="2"/>
        <v>78137</v>
      </c>
    </row>
    <row r="77" spans="1:14" ht="12.75">
      <c r="A77" s="25">
        <v>100203</v>
      </c>
      <c r="B77" s="26" t="s">
        <v>55</v>
      </c>
      <c r="C77" s="148">
        <f t="shared" si="0"/>
        <v>275000</v>
      </c>
      <c r="D77" s="148">
        <v>275000</v>
      </c>
      <c r="E77" s="148"/>
      <c r="F77" s="148">
        <v>235500</v>
      </c>
      <c r="G77" s="148"/>
      <c r="H77" s="148">
        <f t="shared" si="1"/>
        <v>85200</v>
      </c>
      <c r="I77" s="148">
        <v>85200</v>
      </c>
      <c r="J77" s="148"/>
      <c r="K77" s="148">
        <v>16200</v>
      </c>
      <c r="L77" s="148"/>
      <c r="M77" s="148"/>
      <c r="N77" s="148">
        <f t="shared" si="2"/>
        <v>360200</v>
      </c>
    </row>
    <row r="78" spans="1:14" s="125" customFormat="1" ht="25.5">
      <c r="A78" s="138" t="s">
        <v>288</v>
      </c>
      <c r="B78" s="132" t="s">
        <v>345</v>
      </c>
      <c r="C78" s="160">
        <f t="shared" si="0"/>
        <v>191389</v>
      </c>
      <c r="D78" s="160">
        <f>D79+D80</f>
        <v>186389</v>
      </c>
      <c r="E78" s="160">
        <f>E79+E80</f>
        <v>127495</v>
      </c>
      <c r="F78" s="160">
        <f>F79+F80</f>
        <v>0</v>
      </c>
      <c r="G78" s="160">
        <f>G79+G80</f>
        <v>5000</v>
      </c>
      <c r="H78" s="181">
        <f t="shared" si="1"/>
        <v>0</v>
      </c>
      <c r="I78" s="181">
        <f>I79+I80</f>
        <v>0</v>
      </c>
      <c r="J78" s="160">
        <f>J79+J80</f>
        <v>0</v>
      </c>
      <c r="K78" s="160">
        <f>K79+K80</f>
        <v>0</v>
      </c>
      <c r="L78" s="160">
        <f>L79+L80</f>
        <v>0</v>
      </c>
      <c r="M78" s="160">
        <f>M79</f>
        <v>0</v>
      </c>
      <c r="N78" s="160">
        <f t="shared" si="2"/>
        <v>191389</v>
      </c>
    </row>
    <row r="79" spans="1:14" s="2" customFormat="1" ht="12.75">
      <c r="A79" s="113" t="s">
        <v>24</v>
      </c>
      <c r="B79" s="114" t="s">
        <v>25</v>
      </c>
      <c r="C79" s="148">
        <f t="shared" si="0"/>
        <v>191389</v>
      </c>
      <c r="D79" s="158">
        <v>186389</v>
      </c>
      <c r="E79" s="158">
        <v>127495</v>
      </c>
      <c r="F79" s="158"/>
      <c r="G79" s="158">
        <v>5000</v>
      </c>
      <c r="H79" s="148">
        <f t="shared" si="1"/>
        <v>0</v>
      </c>
      <c r="I79" s="158"/>
      <c r="J79" s="158"/>
      <c r="K79" s="158"/>
      <c r="L79" s="158"/>
      <c r="M79" s="158"/>
      <c r="N79" s="148">
        <f t="shared" si="2"/>
        <v>191389</v>
      </c>
    </row>
    <row r="80" spans="1:14" s="17" customFormat="1" ht="76.5" hidden="1">
      <c r="A80" s="119" t="s">
        <v>419</v>
      </c>
      <c r="B80" s="80" t="s">
        <v>420</v>
      </c>
      <c r="C80" s="148">
        <f t="shared" si="0"/>
        <v>0</v>
      </c>
      <c r="D80" s="148"/>
      <c r="E80" s="148"/>
      <c r="F80" s="148"/>
      <c r="G80" s="148"/>
      <c r="H80" s="179">
        <f t="shared" si="1"/>
        <v>0</v>
      </c>
      <c r="I80" s="179"/>
      <c r="J80" s="148"/>
      <c r="K80" s="148"/>
      <c r="L80" s="148"/>
      <c r="M80" s="148"/>
      <c r="N80" s="147">
        <f t="shared" si="2"/>
        <v>0</v>
      </c>
    </row>
    <row r="81" spans="1:14" ht="12.75">
      <c r="A81" s="25"/>
      <c r="B81" s="26" t="s">
        <v>75</v>
      </c>
      <c r="C81" s="148">
        <f t="shared" si="0"/>
        <v>34496084</v>
      </c>
      <c r="D81" s="148">
        <f>D11+D27+D41+D75+D78</f>
        <v>34431084</v>
      </c>
      <c r="E81" s="148">
        <f>E11+E27+E41+E75+E78</f>
        <v>15205849</v>
      </c>
      <c r="F81" s="148">
        <f>F11+F27+F41+F75+F78</f>
        <v>1963668</v>
      </c>
      <c r="G81" s="148">
        <f>G11+G27+G41+G75+G78</f>
        <v>65000</v>
      </c>
      <c r="H81" s="148">
        <f t="shared" si="1"/>
        <v>2088911</v>
      </c>
      <c r="I81" s="148">
        <f>I11+I27+I41+I75+I78</f>
        <v>2028911</v>
      </c>
      <c r="J81" s="148">
        <f>J11+J27+J41+J75+J78</f>
        <v>318403</v>
      </c>
      <c r="K81" s="148">
        <f>K11+K27+K41+K75+K78</f>
        <v>82084</v>
      </c>
      <c r="L81" s="148">
        <f>L11+L27+L41+L75+L78</f>
        <v>60000</v>
      </c>
      <c r="M81" s="148">
        <f>M11+M27+M41+M75+M78</f>
        <v>0</v>
      </c>
      <c r="N81" s="148">
        <f t="shared" si="2"/>
        <v>36584995</v>
      </c>
    </row>
    <row r="83" spans="1:13" ht="18">
      <c r="A83" s="32" t="s">
        <v>251</v>
      </c>
      <c r="B83" s="56"/>
      <c r="C83" s="56"/>
      <c r="D83" s="56"/>
      <c r="E83" s="56"/>
      <c r="F83" s="56"/>
      <c r="L83" s="32" t="s">
        <v>252</v>
      </c>
      <c r="M83" s="32"/>
    </row>
    <row r="85" ht="12.75">
      <c r="H85" s="54"/>
    </row>
  </sheetData>
  <mergeCells count="11">
    <mergeCell ref="A5:N5"/>
    <mergeCell ref="A8:A9"/>
    <mergeCell ref="B8:B9"/>
    <mergeCell ref="N8:N9"/>
    <mergeCell ref="L7:M7"/>
    <mergeCell ref="C8:G8"/>
    <mergeCell ref="H8:M8"/>
    <mergeCell ref="F3:I3"/>
    <mergeCell ref="L1:N1"/>
    <mergeCell ref="L2:N2"/>
    <mergeCell ref="L3:N3"/>
  </mergeCells>
  <printOptions/>
  <pageMargins left="0.9055118110236221" right="0.35433070866141736" top="0.6299212598425197" bottom="0.38" header="0.2362204724409449" footer="0.2362204724409449"/>
  <pageSetup fitToHeight="23" fitToWidth="1" horizontalDpi="300" verticalDpi="3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P87"/>
  <sheetViews>
    <sheetView showZeros="0" view="pageBreakPreview" zoomScale="75" zoomScaleSheetLayoutView="75" workbookViewId="0" topLeftCell="A1">
      <pane xSplit="2" ySplit="10" topLeftCell="G73" activePane="bottomRight" state="frozen"/>
      <selection pane="topLeft" activeCell="A1" sqref="A1"/>
      <selection pane="topRight" activeCell="C1" sqref="C1"/>
      <selection pane="bottomLeft" activeCell="A11" sqref="A11"/>
      <selection pane="bottomRight" activeCell="H83" sqref="H83"/>
    </sheetView>
  </sheetViews>
  <sheetFormatPr defaultColWidth="9.00390625" defaultRowHeight="12.75"/>
  <cols>
    <col min="1" max="1" width="7.75390625" style="86" customWidth="1"/>
    <col min="2" max="2" width="39.75390625" style="22" customWidth="1"/>
    <col min="3" max="3" width="12.125" style="22" customWidth="1"/>
    <col min="4" max="4" width="11.875" style="22" customWidth="1"/>
    <col min="5" max="5" width="11.75390625" style="22" customWidth="1"/>
    <col min="6" max="6" width="10.00390625" style="22" customWidth="1"/>
    <col min="7" max="7" width="11.375" style="22" customWidth="1"/>
    <col min="8" max="8" width="13.75390625" style="22" customWidth="1"/>
    <col min="9" max="9" width="13.875" style="22" customWidth="1"/>
    <col min="10" max="10" width="11.875" style="22" customWidth="1"/>
    <col min="11" max="11" width="10.125" style="22" customWidth="1"/>
    <col min="12" max="12" width="11.375" style="22" customWidth="1"/>
    <col min="13" max="13" width="9.75390625" style="22" customWidth="1"/>
    <col min="14" max="14" width="13.125" style="22" customWidth="1"/>
    <col min="15" max="16384" width="9.125" style="22" customWidth="1"/>
  </cols>
  <sheetData>
    <row r="1" spans="3:14" ht="18">
      <c r="C1" s="3"/>
      <c r="L1" s="192" t="s">
        <v>328</v>
      </c>
      <c r="M1" s="192"/>
      <c r="N1" s="192"/>
    </row>
    <row r="2" spans="3:14" ht="18">
      <c r="C2" s="3"/>
      <c r="L2" s="192" t="s">
        <v>115</v>
      </c>
      <c r="M2" s="192"/>
      <c r="N2" s="192"/>
    </row>
    <row r="3" spans="3:14" ht="18">
      <c r="C3" s="3"/>
      <c r="L3" s="192" t="s">
        <v>114</v>
      </c>
      <c r="M3" s="192"/>
      <c r="N3" s="192"/>
    </row>
    <row r="4" ht="12" customHeight="1">
      <c r="C4" s="3"/>
    </row>
    <row r="5" spans="1:14" ht="18">
      <c r="A5" s="193" t="s">
        <v>7</v>
      </c>
      <c r="B5" s="193"/>
      <c r="C5" s="193"/>
      <c r="D5" s="193"/>
      <c r="E5" s="193"/>
      <c r="F5" s="193"/>
      <c r="G5" s="193"/>
      <c r="H5" s="193"/>
      <c r="I5" s="193"/>
      <c r="J5" s="193"/>
      <c r="K5" s="193"/>
      <c r="L5" s="193"/>
      <c r="M5" s="193"/>
      <c r="N5" s="193"/>
    </row>
    <row r="6" ht="15.75" hidden="1">
      <c r="C6" s="3" t="s">
        <v>219</v>
      </c>
    </row>
    <row r="7" spans="3:14" ht="15.75">
      <c r="C7" s="3"/>
      <c r="D7" s="2"/>
      <c r="N7" s="22" t="s">
        <v>379</v>
      </c>
    </row>
    <row r="8" spans="1:14" ht="12.75">
      <c r="A8" s="188" t="s">
        <v>339</v>
      </c>
      <c r="B8" s="188" t="s">
        <v>424</v>
      </c>
      <c r="C8" s="191" t="s">
        <v>16</v>
      </c>
      <c r="D8" s="191"/>
      <c r="E8" s="191"/>
      <c r="F8" s="191"/>
      <c r="G8" s="191"/>
      <c r="H8" s="191" t="s">
        <v>17</v>
      </c>
      <c r="I8" s="191"/>
      <c r="J8" s="191"/>
      <c r="K8" s="191"/>
      <c r="L8" s="191"/>
      <c r="M8" s="191"/>
      <c r="N8" s="191" t="s">
        <v>97</v>
      </c>
    </row>
    <row r="9" spans="1:14" ht="51">
      <c r="A9" s="188"/>
      <c r="B9" s="188"/>
      <c r="C9" s="23" t="s">
        <v>18</v>
      </c>
      <c r="D9" s="6" t="s">
        <v>19</v>
      </c>
      <c r="E9" s="6" t="s">
        <v>20</v>
      </c>
      <c r="F9" s="6" t="s">
        <v>21</v>
      </c>
      <c r="G9" s="6" t="s">
        <v>22</v>
      </c>
      <c r="H9" s="23" t="s">
        <v>18</v>
      </c>
      <c r="I9" s="6" t="s">
        <v>19</v>
      </c>
      <c r="J9" s="6" t="s">
        <v>20</v>
      </c>
      <c r="K9" s="6" t="s">
        <v>21</v>
      </c>
      <c r="L9" s="6" t="s">
        <v>22</v>
      </c>
      <c r="M9" s="6" t="s">
        <v>23</v>
      </c>
      <c r="N9" s="191"/>
    </row>
    <row r="10" spans="1:14" ht="12.75">
      <c r="A10" s="62">
        <v>1</v>
      </c>
      <c r="B10" s="63">
        <v>2</v>
      </c>
      <c r="C10" s="62">
        <v>3</v>
      </c>
      <c r="D10" s="62">
        <v>4</v>
      </c>
      <c r="E10" s="62">
        <v>5</v>
      </c>
      <c r="F10" s="62">
        <v>6</v>
      </c>
      <c r="G10" s="62">
        <v>7</v>
      </c>
      <c r="H10" s="62">
        <v>8</v>
      </c>
      <c r="I10" s="62">
        <v>9</v>
      </c>
      <c r="J10" s="62">
        <v>10</v>
      </c>
      <c r="K10" s="62">
        <v>11</v>
      </c>
      <c r="L10" s="62">
        <v>12</v>
      </c>
      <c r="M10" s="62">
        <v>13</v>
      </c>
      <c r="N10" s="62">
        <v>14</v>
      </c>
    </row>
    <row r="11" spans="1:14" s="125" customFormat="1" ht="25.5">
      <c r="A11" s="124" t="s">
        <v>276</v>
      </c>
      <c r="B11" s="140" t="s">
        <v>356</v>
      </c>
      <c r="C11" s="159">
        <f>D11+G11</f>
        <v>17550741</v>
      </c>
      <c r="D11" s="159">
        <f>D12+D13+D20+D21+D22</f>
        <v>17550741</v>
      </c>
      <c r="E11" s="159">
        <f>E12+E13+E20+E21+E22</f>
        <v>10717653</v>
      </c>
      <c r="F11" s="159">
        <f>F12+F13+F20+F21+F22</f>
        <v>1215471</v>
      </c>
      <c r="G11" s="159">
        <f>G12+G13+G20+G21+G22</f>
        <v>0</v>
      </c>
      <c r="H11" s="159">
        <f>I11+L11</f>
        <v>959515</v>
      </c>
      <c r="I11" s="159">
        <f>I12+I13+I20+I21+I22</f>
        <v>844015</v>
      </c>
      <c r="J11" s="159">
        <f>J12+J13+J20+J21+J22</f>
        <v>323315</v>
      </c>
      <c r="K11" s="159">
        <f>K12+K13+K20+K21+K22</f>
        <v>86716</v>
      </c>
      <c r="L11" s="159">
        <f>L12+L13+L20+L21+L22</f>
        <v>115500</v>
      </c>
      <c r="M11" s="159">
        <f>M12+M13+M20+M21+M22</f>
        <v>0</v>
      </c>
      <c r="N11" s="159">
        <f>C11+H11</f>
        <v>18510256</v>
      </c>
    </row>
    <row r="12" spans="1:14" ht="12.75">
      <c r="A12" s="45" t="s">
        <v>24</v>
      </c>
      <c r="B12" s="53" t="s">
        <v>25</v>
      </c>
      <c r="C12" s="147">
        <f aca="true" t="shared" si="0" ref="C12:C83">D12+G12</f>
        <v>1154991</v>
      </c>
      <c r="D12" s="143">
        <f>1167440-12449</f>
        <v>1154991</v>
      </c>
      <c r="E12" s="143">
        <f>712693-9140</f>
        <v>703553</v>
      </c>
      <c r="F12" s="143">
        <v>64071</v>
      </c>
      <c r="G12" s="143"/>
      <c r="H12" s="147">
        <f aca="true" t="shared" si="1" ref="H12:H83">I12+L12</f>
        <v>65616</v>
      </c>
      <c r="I12" s="143">
        <v>65616</v>
      </c>
      <c r="J12" s="143"/>
      <c r="K12" s="143">
        <v>34716</v>
      </c>
      <c r="L12" s="143"/>
      <c r="M12" s="143"/>
      <c r="N12" s="147">
        <f aca="true" t="shared" si="2" ref="N12:N83">C12+H12</f>
        <v>1220607</v>
      </c>
    </row>
    <row r="13" spans="1:14" ht="12.75">
      <c r="A13" s="45" t="s">
        <v>35</v>
      </c>
      <c r="B13" s="53" t="s">
        <v>220</v>
      </c>
      <c r="C13" s="147">
        <f t="shared" si="0"/>
        <v>16287000</v>
      </c>
      <c r="D13" s="143">
        <f>D14+D15+D16+D17+D18+D19</f>
        <v>16287000</v>
      </c>
      <c r="E13" s="143">
        <f>E14+E15+E16+E17+E18+E19</f>
        <v>10014100</v>
      </c>
      <c r="F13" s="143">
        <f>F14+F15+F16+F17+F18+F19</f>
        <v>1151400</v>
      </c>
      <c r="G13" s="143">
        <f>G14+G15+G16+G17+G18+G19</f>
        <v>0</v>
      </c>
      <c r="H13" s="147">
        <f t="shared" si="1"/>
        <v>853899</v>
      </c>
      <c r="I13" s="143">
        <f>I14+I15+I16+I17+I18+I19</f>
        <v>738399</v>
      </c>
      <c r="J13" s="143">
        <f>J14+J15+J16+J17+J18+J19</f>
        <v>323315</v>
      </c>
      <c r="K13" s="143">
        <f>K14+K15+K16+K17+K18+K19</f>
        <v>44000</v>
      </c>
      <c r="L13" s="143">
        <f>L14+L15+L16+L17+L18+L19</f>
        <v>115500</v>
      </c>
      <c r="M13" s="143">
        <f>M14+M15+M16+M17+M18+M19</f>
        <v>0</v>
      </c>
      <c r="N13" s="147">
        <f t="shared" si="2"/>
        <v>17140899</v>
      </c>
    </row>
    <row r="14" spans="1:14" ht="12.75">
      <c r="A14" s="45" t="s">
        <v>37</v>
      </c>
      <c r="B14" s="53" t="s">
        <v>312</v>
      </c>
      <c r="C14" s="147">
        <f t="shared" si="0"/>
        <v>5562605</v>
      </c>
      <c r="D14" s="143">
        <v>5562605</v>
      </c>
      <c r="E14" s="143">
        <v>3260580</v>
      </c>
      <c r="F14" s="143">
        <v>432870</v>
      </c>
      <c r="G14" s="143"/>
      <c r="H14" s="147">
        <f t="shared" si="1"/>
        <v>57960</v>
      </c>
      <c r="I14" s="143">
        <v>57960</v>
      </c>
      <c r="J14" s="143">
        <v>1820</v>
      </c>
      <c r="K14" s="143">
        <v>7400</v>
      </c>
      <c r="L14" s="143"/>
      <c r="M14" s="143"/>
      <c r="N14" s="147">
        <f t="shared" si="2"/>
        <v>5620565</v>
      </c>
    </row>
    <row r="15" spans="1:14" ht="12.75">
      <c r="A15" s="45" t="s">
        <v>88</v>
      </c>
      <c r="B15" s="53" t="s">
        <v>89</v>
      </c>
      <c r="C15" s="147">
        <f t="shared" si="0"/>
        <v>3064405</v>
      </c>
      <c r="D15" s="143">
        <v>3064405</v>
      </c>
      <c r="E15" s="143">
        <v>1902510</v>
      </c>
      <c r="F15" s="143">
        <v>342170</v>
      </c>
      <c r="G15" s="143"/>
      <c r="H15" s="147">
        <f t="shared" si="1"/>
        <v>30690</v>
      </c>
      <c r="I15" s="143">
        <v>30690</v>
      </c>
      <c r="J15" s="143">
        <v>7800</v>
      </c>
      <c r="K15" s="143">
        <v>10000</v>
      </c>
      <c r="L15" s="143"/>
      <c r="M15" s="143"/>
      <c r="N15" s="147">
        <f t="shared" si="2"/>
        <v>3095095</v>
      </c>
    </row>
    <row r="16" spans="1:14" ht="12.75">
      <c r="A16" s="45" t="s">
        <v>39</v>
      </c>
      <c r="B16" s="53" t="s">
        <v>120</v>
      </c>
      <c r="C16" s="147">
        <f t="shared" si="0"/>
        <v>6366090</v>
      </c>
      <c r="D16" s="143">
        <f>6337090+29000</f>
        <v>6366090</v>
      </c>
      <c r="E16" s="143">
        <v>4093390</v>
      </c>
      <c r="F16" s="143">
        <v>354950</v>
      </c>
      <c r="G16" s="143"/>
      <c r="H16" s="147">
        <f t="shared" si="1"/>
        <v>194774</v>
      </c>
      <c r="I16" s="143">
        <v>179274</v>
      </c>
      <c r="J16" s="143">
        <v>93695</v>
      </c>
      <c r="K16" s="143">
        <v>9600</v>
      </c>
      <c r="L16" s="143">
        <v>15500</v>
      </c>
      <c r="M16" s="143"/>
      <c r="N16" s="147">
        <f t="shared" si="2"/>
        <v>6560864</v>
      </c>
    </row>
    <row r="17" spans="1:14" ht="12.75">
      <c r="A17" s="45" t="s">
        <v>41</v>
      </c>
      <c r="B17" s="53" t="s">
        <v>121</v>
      </c>
      <c r="C17" s="147">
        <f t="shared" si="0"/>
        <v>943340</v>
      </c>
      <c r="D17" s="143">
        <v>943340</v>
      </c>
      <c r="E17" s="143">
        <v>512640</v>
      </c>
      <c r="F17" s="143">
        <v>20850</v>
      </c>
      <c r="G17" s="143"/>
      <c r="H17" s="147">
        <f t="shared" si="1"/>
        <v>570475</v>
      </c>
      <c r="I17" s="143">
        <v>470475</v>
      </c>
      <c r="J17" s="143">
        <v>220000</v>
      </c>
      <c r="K17" s="143">
        <v>17000</v>
      </c>
      <c r="L17" s="143">
        <v>100000</v>
      </c>
      <c r="M17" s="143"/>
      <c r="N17" s="147">
        <f t="shared" si="2"/>
        <v>1513815</v>
      </c>
    </row>
    <row r="18" spans="1:14" ht="12.75" hidden="1">
      <c r="A18" s="45" t="s">
        <v>44</v>
      </c>
      <c r="B18" s="53" t="s">
        <v>107</v>
      </c>
      <c r="C18" s="147">
        <f t="shared" si="0"/>
        <v>0</v>
      </c>
      <c r="D18" s="143"/>
      <c r="E18" s="143"/>
      <c r="F18" s="143"/>
      <c r="G18" s="143"/>
      <c r="H18" s="147">
        <f t="shared" si="1"/>
        <v>0</v>
      </c>
      <c r="I18" s="143"/>
      <c r="J18" s="143"/>
      <c r="K18" s="143"/>
      <c r="L18" s="143"/>
      <c r="M18" s="143"/>
      <c r="N18" s="147">
        <f t="shared" si="2"/>
        <v>0</v>
      </c>
    </row>
    <row r="19" spans="1:16" ht="12.75">
      <c r="A19" s="45" t="s">
        <v>47</v>
      </c>
      <c r="B19" s="53" t="s">
        <v>48</v>
      </c>
      <c r="C19" s="147">
        <f t="shared" si="0"/>
        <v>350560</v>
      </c>
      <c r="D19" s="143">
        <v>350560</v>
      </c>
      <c r="E19" s="143">
        <v>244980</v>
      </c>
      <c r="F19" s="143">
        <v>560</v>
      </c>
      <c r="G19" s="143"/>
      <c r="H19" s="147">
        <f t="shared" si="1"/>
        <v>0</v>
      </c>
      <c r="I19" s="143"/>
      <c r="J19" s="143"/>
      <c r="K19" s="143"/>
      <c r="L19" s="143"/>
      <c r="M19" s="143"/>
      <c r="N19" s="147">
        <f t="shared" si="2"/>
        <v>350560</v>
      </c>
      <c r="O19" s="64"/>
      <c r="P19" s="30"/>
    </row>
    <row r="20" spans="1:14" ht="12.75" hidden="1">
      <c r="A20" s="45" t="s">
        <v>261</v>
      </c>
      <c r="B20" s="53" t="s">
        <v>66</v>
      </c>
      <c r="C20" s="147">
        <f t="shared" si="0"/>
        <v>0</v>
      </c>
      <c r="D20" s="143"/>
      <c r="E20" s="143"/>
      <c r="F20" s="143"/>
      <c r="G20" s="143"/>
      <c r="H20" s="147">
        <f t="shared" si="1"/>
        <v>0</v>
      </c>
      <c r="I20" s="143"/>
      <c r="J20" s="143"/>
      <c r="K20" s="143"/>
      <c r="L20" s="143"/>
      <c r="M20" s="143"/>
      <c r="N20" s="147">
        <f t="shared" si="2"/>
        <v>0</v>
      </c>
    </row>
    <row r="21" spans="1:14" ht="25.5">
      <c r="A21" s="45" t="s">
        <v>71</v>
      </c>
      <c r="B21" s="93" t="s">
        <v>229</v>
      </c>
      <c r="C21" s="147">
        <f t="shared" si="0"/>
        <v>0</v>
      </c>
      <c r="D21" s="143"/>
      <c r="E21" s="143"/>
      <c r="F21" s="143"/>
      <c r="G21" s="143"/>
      <c r="H21" s="147">
        <f t="shared" si="1"/>
        <v>40000</v>
      </c>
      <c r="I21" s="143">
        <v>40000</v>
      </c>
      <c r="J21" s="143"/>
      <c r="K21" s="143">
        <v>8000</v>
      </c>
      <c r="L21" s="143"/>
      <c r="M21" s="143"/>
      <c r="N21" s="147">
        <f t="shared" si="2"/>
        <v>40000</v>
      </c>
    </row>
    <row r="22" spans="1:14" ht="12.75">
      <c r="A22" s="45">
        <v>250404</v>
      </c>
      <c r="B22" s="53" t="s">
        <v>74</v>
      </c>
      <c r="C22" s="147">
        <f t="shared" si="0"/>
        <v>108750</v>
      </c>
      <c r="D22" s="143">
        <f>D23+D25+D26</f>
        <v>108750</v>
      </c>
      <c r="E22" s="143">
        <f>E23+E25+E26</f>
        <v>0</v>
      </c>
      <c r="F22" s="143">
        <f>F23+F25+F26</f>
        <v>0</v>
      </c>
      <c r="G22" s="143">
        <f>G23+G25+G26</f>
        <v>0</v>
      </c>
      <c r="H22" s="147">
        <f t="shared" si="1"/>
        <v>0</v>
      </c>
      <c r="I22" s="143">
        <f>I23+I25+I26</f>
        <v>0</v>
      </c>
      <c r="J22" s="143">
        <f>J23+J25+J26</f>
        <v>0</v>
      </c>
      <c r="K22" s="143">
        <f>K23+K25+K26</f>
        <v>0</v>
      </c>
      <c r="L22" s="143">
        <f>L23+L25+L26</f>
        <v>0</v>
      </c>
      <c r="M22" s="143">
        <f>M23+M25+M26</f>
        <v>0</v>
      </c>
      <c r="N22" s="147">
        <f t="shared" si="2"/>
        <v>108750</v>
      </c>
    </row>
    <row r="23" spans="1:14" ht="30" customHeight="1">
      <c r="A23" s="45"/>
      <c r="B23" s="53" t="s">
        <v>187</v>
      </c>
      <c r="C23" s="147">
        <f t="shared" si="0"/>
        <v>78000</v>
      </c>
      <c r="D23" s="143">
        <v>78000</v>
      </c>
      <c r="E23" s="143"/>
      <c r="F23" s="143"/>
      <c r="G23" s="143"/>
      <c r="H23" s="147">
        <f t="shared" si="1"/>
        <v>0</v>
      </c>
      <c r="I23" s="143"/>
      <c r="J23" s="143"/>
      <c r="K23" s="143"/>
      <c r="L23" s="143"/>
      <c r="M23" s="143"/>
      <c r="N23" s="147">
        <f t="shared" si="2"/>
        <v>78000</v>
      </c>
    </row>
    <row r="24" spans="1:14" ht="12.75" hidden="1">
      <c r="A24" s="45"/>
      <c r="B24" s="53" t="s">
        <v>75</v>
      </c>
      <c r="C24" s="147">
        <f t="shared" si="0"/>
        <v>0</v>
      </c>
      <c r="D24" s="143"/>
      <c r="E24" s="143"/>
      <c r="F24" s="143"/>
      <c r="G24" s="143"/>
      <c r="H24" s="147">
        <f t="shared" si="1"/>
        <v>0</v>
      </c>
      <c r="I24" s="143"/>
      <c r="J24" s="143"/>
      <c r="K24" s="143"/>
      <c r="L24" s="143"/>
      <c r="M24" s="143"/>
      <c r="N24" s="147">
        <f t="shared" si="2"/>
        <v>0</v>
      </c>
    </row>
    <row r="25" spans="1:14" ht="25.5">
      <c r="A25" s="45"/>
      <c r="B25" s="80" t="s">
        <v>254</v>
      </c>
      <c r="C25" s="147">
        <f t="shared" si="0"/>
        <v>30750</v>
      </c>
      <c r="D25" s="143">
        <v>30750</v>
      </c>
      <c r="E25" s="143"/>
      <c r="F25" s="143"/>
      <c r="G25" s="143"/>
      <c r="H25" s="147">
        <f t="shared" si="1"/>
        <v>0</v>
      </c>
      <c r="I25" s="143"/>
      <c r="J25" s="143"/>
      <c r="K25" s="143"/>
      <c r="L25" s="143"/>
      <c r="M25" s="143"/>
      <c r="N25" s="147">
        <f t="shared" si="2"/>
        <v>30750</v>
      </c>
    </row>
    <row r="26" spans="1:14" ht="25.5" hidden="1">
      <c r="A26" s="45"/>
      <c r="B26" s="53" t="s">
        <v>244</v>
      </c>
      <c r="C26" s="147">
        <f t="shared" si="0"/>
        <v>0</v>
      </c>
      <c r="D26" s="143"/>
      <c r="E26" s="143"/>
      <c r="F26" s="143"/>
      <c r="G26" s="143"/>
      <c r="H26" s="147">
        <f t="shared" si="1"/>
        <v>0</v>
      </c>
      <c r="I26" s="143"/>
      <c r="J26" s="143"/>
      <c r="K26" s="143"/>
      <c r="L26" s="143"/>
      <c r="M26" s="143"/>
      <c r="N26" s="147">
        <f t="shared" si="2"/>
        <v>0</v>
      </c>
    </row>
    <row r="27" spans="1:14" s="125" customFormat="1" ht="25.5">
      <c r="A27" s="124" t="s">
        <v>280</v>
      </c>
      <c r="B27" s="140" t="s">
        <v>357</v>
      </c>
      <c r="C27" s="159">
        <f t="shared" si="0"/>
        <v>36786522</v>
      </c>
      <c r="D27" s="159">
        <f>D28+D29+D41</f>
        <v>36706522</v>
      </c>
      <c r="E27" s="159">
        <f>E28+E29+E41</f>
        <v>21947865</v>
      </c>
      <c r="F27" s="159">
        <f>F28+F29+F41</f>
        <v>3127269</v>
      </c>
      <c r="G27" s="159">
        <f>G28+G29+G41</f>
        <v>80000</v>
      </c>
      <c r="H27" s="159">
        <f t="shared" si="1"/>
        <v>1629416</v>
      </c>
      <c r="I27" s="159">
        <f>I28+I29</f>
        <v>1629416</v>
      </c>
      <c r="J27" s="159">
        <f>J28+J29</f>
        <v>176481</v>
      </c>
      <c r="K27" s="159">
        <f>K28+K29</f>
        <v>142150</v>
      </c>
      <c r="L27" s="159">
        <f>L28+L29</f>
        <v>0</v>
      </c>
      <c r="M27" s="159">
        <f>M28+M29</f>
        <v>0</v>
      </c>
      <c r="N27" s="159">
        <f t="shared" si="2"/>
        <v>38415938</v>
      </c>
    </row>
    <row r="28" spans="1:14" ht="12.75">
      <c r="A28" s="45" t="s">
        <v>24</v>
      </c>
      <c r="B28" s="53" t="s">
        <v>25</v>
      </c>
      <c r="C28" s="147">
        <f t="shared" si="0"/>
        <v>142552</v>
      </c>
      <c r="D28" s="143">
        <v>142552</v>
      </c>
      <c r="E28" s="143">
        <v>99838</v>
      </c>
      <c r="F28" s="143"/>
      <c r="G28" s="143"/>
      <c r="H28" s="147">
        <f t="shared" si="1"/>
        <v>0</v>
      </c>
      <c r="I28" s="143"/>
      <c r="J28" s="143"/>
      <c r="K28" s="143"/>
      <c r="L28" s="143"/>
      <c r="M28" s="143"/>
      <c r="N28" s="147">
        <f t="shared" si="2"/>
        <v>142552</v>
      </c>
    </row>
    <row r="29" spans="1:14" ht="12.75">
      <c r="A29" s="45" t="s">
        <v>26</v>
      </c>
      <c r="B29" s="53" t="s">
        <v>197</v>
      </c>
      <c r="C29" s="147">
        <f t="shared" si="0"/>
        <v>36610000</v>
      </c>
      <c r="D29" s="143">
        <f>SUM(D30:D40)</f>
        <v>36530000</v>
      </c>
      <c r="E29" s="143">
        <f>SUM(E30:E40)</f>
        <v>21848027</v>
      </c>
      <c r="F29" s="143">
        <f>SUM(F30:F40)</f>
        <v>3127269</v>
      </c>
      <c r="G29" s="143">
        <f>SUM(G30:G40)</f>
        <v>80000</v>
      </c>
      <c r="H29" s="147">
        <f t="shared" si="1"/>
        <v>1629416</v>
      </c>
      <c r="I29" s="143">
        <f>SUM(I30:I40)</f>
        <v>1629416</v>
      </c>
      <c r="J29" s="143">
        <f>SUM(J30:J40)</f>
        <v>176481</v>
      </c>
      <c r="K29" s="143">
        <f>SUM(K30:K40)</f>
        <v>142150</v>
      </c>
      <c r="L29" s="143">
        <f>SUM(L30:L40)</f>
        <v>0</v>
      </c>
      <c r="M29" s="143">
        <f>SUM(M30:M38)</f>
        <v>0</v>
      </c>
      <c r="N29" s="147">
        <f t="shared" si="2"/>
        <v>38239416</v>
      </c>
    </row>
    <row r="30" spans="1:14" ht="12.75">
      <c r="A30" s="45" t="s">
        <v>82</v>
      </c>
      <c r="B30" s="53" t="s">
        <v>78</v>
      </c>
      <c r="C30" s="147">
        <f t="shared" si="0"/>
        <v>8045679</v>
      </c>
      <c r="D30" s="143">
        <v>8045679</v>
      </c>
      <c r="E30" s="143">
        <v>4264154</v>
      </c>
      <c r="F30" s="143">
        <v>809289</v>
      </c>
      <c r="G30" s="143"/>
      <c r="H30" s="147">
        <f t="shared" si="1"/>
        <v>690688</v>
      </c>
      <c r="I30" s="143">
        <v>690688</v>
      </c>
      <c r="J30" s="143">
        <v>30481</v>
      </c>
      <c r="K30" s="143">
        <v>10833</v>
      </c>
      <c r="L30" s="143"/>
      <c r="M30" s="143"/>
      <c r="N30" s="147">
        <f t="shared" si="2"/>
        <v>8736367</v>
      </c>
    </row>
    <row r="31" spans="1:14" ht="41.25" customHeight="1">
      <c r="A31" s="45" t="s">
        <v>28</v>
      </c>
      <c r="B31" s="53" t="s">
        <v>294</v>
      </c>
      <c r="C31" s="147">
        <f t="shared" si="0"/>
        <v>26610094</v>
      </c>
      <c r="D31" s="143">
        <v>26610094</v>
      </c>
      <c r="E31" s="143">
        <v>16320039</v>
      </c>
      <c r="F31" s="143">
        <v>2287930</v>
      </c>
      <c r="G31" s="143"/>
      <c r="H31" s="147">
        <f t="shared" si="1"/>
        <v>851932</v>
      </c>
      <c r="I31" s="143">
        <v>851932</v>
      </c>
      <c r="J31" s="143">
        <v>146000</v>
      </c>
      <c r="K31" s="143">
        <v>62837</v>
      </c>
      <c r="L31" s="143"/>
      <c r="M31" s="143"/>
      <c r="N31" s="147">
        <f t="shared" si="2"/>
        <v>27462026</v>
      </c>
    </row>
    <row r="32" spans="1:14" ht="12.75">
      <c r="A32" s="45" t="s">
        <v>83</v>
      </c>
      <c r="B32" s="53" t="s">
        <v>118</v>
      </c>
      <c r="C32" s="147">
        <f t="shared" si="0"/>
        <v>341748</v>
      </c>
      <c r="D32" s="143">
        <v>341748</v>
      </c>
      <c r="E32" s="143">
        <v>250090</v>
      </c>
      <c r="F32" s="143"/>
      <c r="G32" s="143"/>
      <c r="H32" s="147">
        <f t="shared" si="1"/>
        <v>0</v>
      </c>
      <c r="I32" s="143"/>
      <c r="J32" s="143"/>
      <c r="K32" s="143"/>
      <c r="L32" s="143"/>
      <c r="M32" s="143"/>
      <c r="N32" s="147">
        <f t="shared" si="2"/>
        <v>341748</v>
      </c>
    </row>
    <row r="33" spans="1:14" ht="38.25">
      <c r="A33" s="45" t="s">
        <v>84</v>
      </c>
      <c r="B33" s="53" t="s">
        <v>119</v>
      </c>
      <c r="C33" s="147">
        <f t="shared" si="0"/>
        <v>267737</v>
      </c>
      <c r="D33" s="143">
        <v>267737</v>
      </c>
      <c r="E33" s="143">
        <v>195929</v>
      </c>
      <c r="F33" s="143"/>
      <c r="G33" s="143"/>
      <c r="H33" s="147">
        <f t="shared" si="1"/>
        <v>0</v>
      </c>
      <c r="I33" s="143"/>
      <c r="J33" s="143"/>
      <c r="K33" s="143"/>
      <c r="L33" s="143"/>
      <c r="M33" s="143"/>
      <c r="N33" s="147">
        <f t="shared" si="2"/>
        <v>267737</v>
      </c>
    </row>
    <row r="34" spans="1:14" ht="38.25" hidden="1">
      <c r="A34" s="45" t="s">
        <v>389</v>
      </c>
      <c r="B34" s="52" t="s">
        <v>390</v>
      </c>
      <c r="C34" s="147">
        <f t="shared" si="0"/>
        <v>0</v>
      </c>
      <c r="D34" s="143"/>
      <c r="E34" s="143"/>
      <c r="F34" s="143"/>
      <c r="G34" s="143"/>
      <c r="H34" s="147">
        <f t="shared" si="1"/>
        <v>0</v>
      </c>
      <c r="I34" s="143"/>
      <c r="J34" s="143"/>
      <c r="K34" s="143"/>
      <c r="L34" s="143"/>
      <c r="M34" s="143"/>
      <c r="N34" s="147">
        <f t="shared" si="2"/>
        <v>0</v>
      </c>
    </row>
    <row r="35" spans="1:14" ht="25.5">
      <c r="A35" s="45" t="s">
        <v>31</v>
      </c>
      <c r="B35" s="53" t="s">
        <v>295</v>
      </c>
      <c r="C35" s="147">
        <f t="shared" si="0"/>
        <v>235299</v>
      </c>
      <c r="D35" s="143">
        <v>235299</v>
      </c>
      <c r="E35" s="143">
        <v>171985</v>
      </c>
      <c r="F35" s="143"/>
      <c r="G35" s="143"/>
      <c r="H35" s="147">
        <f t="shared" si="1"/>
        <v>0</v>
      </c>
      <c r="I35" s="143"/>
      <c r="J35" s="143"/>
      <c r="K35" s="143"/>
      <c r="L35" s="143"/>
      <c r="M35" s="143"/>
      <c r="N35" s="147">
        <f t="shared" si="2"/>
        <v>235299</v>
      </c>
    </row>
    <row r="36" spans="1:14" ht="25.5">
      <c r="A36" s="45" t="s">
        <v>32</v>
      </c>
      <c r="B36" s="53" t="s">
        <v>296</v>
      </c>
      <c r="C36" s="147">
        <f t="shared" si="0"/>
        <v>511812</v>
      </c>
      <c r="D36" s="143">
        <v>471812</v>
      </c>
      <c r="E36" s="143">
        <v>285963</v>
      </c>
      <c r="F36" s="143">
        <v>30050</v>
      </c>
      <c r="G36" s="143">
        <v>40000</v>
      </c>
      <c r="H36" s="147">
        <f t="shared" si="1"/>
        <v>0</v>
      </c>
      <c r="I36" s="143"/>
      <c r="J36" s="143"/>
      <c r="K36" s="143"/>
      <c r="L36" s="143"/>
      <c r="M36" s="143"/>
      <c r="N36" s="147">
        <f t="shared" si="2"/>
        <v>511812</v>
      </c>
    </row>
    <row r="37" spans="1:14" ht="25.5">
      <c r="A37" s="45" t="s">
        <v>33</v>
      </c>
      <c r="B37" s="53" t="s">
        <v>242</v>
      </c>
      <c r="C37" s="147">
        <f t="shared" si="0"/>
        <v>294322</v>
      </c>
      <c r="D37" s="143">
        <v>254322</v>
      </c>
      <c r="E37" s="143">
        <v>146051</v>
      </c>
      <c r="F37" s="143"/>
      <c r="G37" s="143">
        <v>40000</v>
      </c>
      <c r="H37" s="147">
        <f t="shared" si="1"/>
        <v>15016</v>
      </c>
      <c r="I37" s="143">
        <v>15016</v>
      </c>
      <c r="J37" s="143"/>
      <c r="K37" s="143"/>
      <c r="L37" s="143"/>
      <c r="M37" s="143"/>
      <c r="N37" s="147">
        <f t="shared" si="2"/>
        <v>309338</v>
      </c>
    </row>
    <row r="38" spans="1:14" ht="12.75">
      <c r="A38" s="45" t="s">
        <v>106</v>
      </c>
      <c r="B38" s="53" t="s">
        <v>99</v>
      </c>
      <c r="C38" s="147">
        <f t="shared" si="0"/>
        <v>292179</v>
      </c>
      <c r="D38" s="143">
        <v>292179</v>
      </c>
      <c r="E38" s="143">
        <v>213816</v>
      </c>
      <c r="F38" s="143"/>
      <c r="G38" s="143"/>
      <c r="H38" s="147">
        <f t="shared" si="1"/>
        <v>71780</v>
      </c>
      <c r="I38" s="143">
        <v>71780</v>
      </c>
      <c r="J38" s="143"/>
      <c r="K38" s="143">
        <v>68480</v>
      </c>
      <c r="L38" s="143"/>
      <c r="M38" s="143"/>
      <c r="N38" s="147">
        <f t="shared" si="2"/>
        <v>363959</v>
      </c>
    </row>
    <row r="39" spans="1:14" s="17" customFormat="1" ht="38.25">
      <c r="A39" s="45" t="s">
        <v>387</v>
      </c>
      <c r="B39" s="27" t="s">
        <v>388</v>
      </c>
      <c r="C39" s="148">
        <f t="shared" si="0"/>
        <v>11130</v>
      </c>
      <c r="D39" s="148">
        <v>11130</v>
      </c>
      <c r="E39" s="148"/>
      <c r="F39" s="148"/>
      <c r="G39" s="148"/>
      <c r="H39" s="148">
        <f t="shared" si="1"/>
        <v>0</v>
      </c>
      <c r="I39" s="148"/>
      <c r="J39" s="148"/>
      <c r="K39" s="148"/>
      <c r="L39" s="148"/>
      <c r="M39" s="148"/>
      <c r="N39" s="147">
        <f t="shared" si="2"/>
        <v>11130</v>
      </c>
    </row>
    <row r="40" spans="1:16" ht="89.25" hidden="1">
      <c r="A40" s="45" t="s">
        <v>416</v>
      </c>
      <c r="B40" s="27" t="s">
        <v>417</v>
      </c>
      <c r="C40" s="144">
        <f t="shared" si="0"/>
        <v>0</v>
      </c>
      <c r="D40" s="144"/>
      <c r="E40" s="144"/>
      <c r="F40" s="144"/>
      <c r="G40" s="144"/>
      <c r="H40" s="144">
        <f t="shared" si="1"/>
        <v>0</v>
      </c>
      <c r="I40" s="144"/>
      <c r="J40" s="144"/>
      <c r="K40" s="144"/>
      <c r="L40" s="144"/>
      <c r="M40" s="144"/>
      <c r="N40" s="143">
        <f t="shared" si="2"/>
        <v>0</v>
      </c>
      <c r="O40" s="145"/>
      <c r="P40" s="145"/>
    </row>
    <row r="41" spans="1:16" ht="63.75">
      <c r="A41" s="45" t="s">
        <v>323</v>
      </c>
      <c r="B41" s="27" t="s">
        <v>436</v>
      </c>
      <c r="C41" s="144">
        <f t="shared" si="0"/>
        <v>33970</v>
      </c>
      <c r="D41" s="143">
        <v>33970</v>
      </c>
      <c r="E41" s="144"/>
      <c r="F41" s="144"/>
      <c r="G41" s="144"/>
      <c r="H41" s="144">
        <f t="shared" si="1"/>
        <v>0</v>
      </c>
      <c r="I41" s="144"/>
      <c r="J41" s="144"/>
      <c r="K41" s="144"/>
      <c r="L41" s="144"/>
      <c r="M41" s="144"/>
      <c r="N41" s="143">
        <f t="shared" si="2"/>
        <v>33970</v>
      </c>
      <c r="O41" s="145"/>
      <c r="P41" s="145"/>
    </row>
    <row r="42" spans="1:14" s="125" customFormat="1" ht="38.25">
      <c r="A42" s="124" t="s">
        <v>281</v>
      </c>
      <c r="B42" s="140" t="s">
        <v>358</v>
      </c>
      <c r="C42" s="159">
        <f t="shared" si="0"/>
        <v>19707043</v>
      </c>
      <c r="D42" s="159">
        <f>D43+D44</f>
        <v>19679043</v>
      </c>
      <c r="E42" s="159">
        <f>E43+E44</f>
        <v>720370</v>
      </c>
      <c r="F42" s="159">
        <f>F43+F44</f>
        <v>20618</v>
      </c>
      <c r="G42" s="159">
        <f>G43+G44</f>
        <v>28000</v>
      </c>
      <c r="H42" s="159">
        <f t="shared" si="1"/>
        <v>0</v>
      </c>
      <c r="I42" s="159">
        <f>I43+I44</f>
        <v>0</v>
      </c>
      <c r="J42" s="159">
        <f>J43+J44</f>
        <v>0</v>
      </c>
      <c r="K42" s="159">
        <f>K43+K44</f>
        <v>0</v>
      </c>
      <c r="L42" s="159">
        <f>L43+L44</f>
        <v>0</v>
      </c>
      <c r="M42" s="159">
        <f>M43+M44</f>
        <v>0</v>
      </c>
      <c r="N42" s="159">
        <f t="shared" si="2"/>
        <v>19707043</v>
      </c>
    </row>
    <row r="43" spans="1:14" ht="12.75">
      <c r="A43" s="45" t="s">
        <v>24</v>
      </c>
      <c r="B43" s="53" t="s">
        <v>25</v>
      </c>
      <c r="C43" s="147">
        <f t="shared" si="0"/>
        <v>1065364</v>
      </c>
      <c r="D43" s="143">
        <v>1037364</v>
      </c>
      <c r="E43" s="143">
        <v>720370</v>
      </c>
      <c r="F43" s="143">
        <v>20618</v>
      </c>
      <c r="G43" s="143">
        <v>28000</v>
      </c>
      <c r="H43" s="147">
        <f t="shared" si="1"/>
        <v>0</v>
      </c>
      <c r="I43" s="143"/>
      <c r="J43" s="143"/>
      <c r="K43" s="143"/>
      <c r="L43" s="143"/>
      <c r="M43" s="143"/>
      <c r="N43" s="147">
        <f t="shared" si="2"/>
        <v>1065364</v>
      </c>
    </row>
    <row r="44" spans="1:16" ht="25.5">
      <c r="A44" s="45" t="s">
        <v>49</v>
      </c>
      <c r="B44" s="53" t="s">
        <v>150</v>
      </c>
      <c r="C44" s="147">
        <f t="shared" si="0"/>
        <v>18641679</v>
      </c>
      <c r="D44" s="143">
        <f>D45+D46+D47+D48+D49+D50+D51+D52+D53+D55+D56+D57+D58+D59+D61+D62+D66+D69+D73+D74+D67+D68+D60</f>
        <v>18641679</v>
      </c>
      <c r="E44" s="143"/>
      <c r="F44" s="143"/>
      <c r="G44" s="143"/>
      <c r="H44" s="147">
        <f t="shared" si="1"/>
        <v>0</v>
      </c>
      <c r="I44" s="143"/>
      <c r="J44" s="143"/>
      <c r="K44" s="143"/>
      <c r="L44" s="143"/>
      <c r="M44" s="143"/>
      <c r="N44" s="147">
        <f t="shared" si="2"/>
        <v>18641679</v>
      </c>
      <c r="O44" s="64"/>
      <c r="P44" s="30"/>
    </row>
    <row r="45" spans="1:15" ht="89.25">
      <c r="A45" s="45" t="s">
        <v>165</v>
      </c>
      <c r="B45" s="89" t="s">
        <v>443</v>
      </c>
      <c r="C45" s="147">
        <f t="shared" si="0"/>
        <v>7836950</v>
      </c>
      <c r="D45" s="143">
        <v>7836950</v>
      </c>
      <c r="E45" s="143"/>
      <c r="F45" s="143"/>
      <c r="G45" s="143"/>
      <c r="H45" s="147">
        <f t="shared" si="1"/>
        <v>0</v>
      </c>
      <c r="I45" s="143"/>
      <c r="J45" s="143"/>
      <c r="K45" s="143"/>
      <c r="L45" s="143"/>
      <c r="M45" s="143"/>
      <c r="N45" s="147">
        <f t="shared" si="2"/>
        <v>7836950</v>
      </c>
      <c r="O45" s="30"/>
    </row>
    <row r="46" spans="1:15" ht="63.75">
      <c r="A46" s="45" t="s">
        <v>171</v>
      </c>
      <c r="B46" s="89" t="s">
        <v>444</v>
      </c>
      <c r="C46" s="147">
        <f t="shared" si="0"/>
        <v>99962</v>
      </c>
      <c r="D46" s="143">
        <v>99962</v>
      </c>
      <c r="E46" s="143"/>
      <c r="F46" s="143"/>
      <c r="G46" s="143"/>
      <c r="H46" s="147">
        <f t="shared" si="1"/>
        <v>0</v>
      </c>
      <c r="I46" s="143"/>
      <c r="J46" s="143"/>
      <c r="K46" s="143"/>
      <c r="L46" s="143"/>
      <c r="M46" s="143"/>
      <c r="N46" s="147">
        <f t="shared" si="2"/>
        <v>99962</v>
      </c>
      <c r="O46" s="30"/>
    </row>
    <row r="47" spans="1:15" ht="89.25">
      <c r="A47" s="45" t="s">
        <v>172</v>
      </c>
      <c r="B47" s="20" t="s">
        <v>445</v>
      </c>
      <c r="C47" s="147">
        <f t="shared" si="0"/>
        <v>924821</v>
      </c>
      <c r="D47" s="143">
        <v>924821</v>
      </c>
      <c r="E47" s="143"/>
      <c r="F47" s="143"/>
      <c r="G47" s="143"/>
      <c r="H47" s="147">
        <f t="shared" si="1"/>
        <v>0</v>
      </c>
      <c r="I47" s="143"/>
      <c r="J47" s="143"/>
      <c r="K47" s="143"/>
      <c r="L47" s="143"/>
      <c r="M47" s="143"/>
      <c r="N47" s="147">
        <f t="shared" si="2"/>
        <v>924821</v>
      </c>
      <c r="O47" s="30"/>
    </row>
    <row r="48" spans="1:15" ht="344.25">
      <c r="A48" s="45" t="s">
        <v>173</v>
      </c>
      <c r="B48" s="20" t="s">
        <v>1</v>
      </c>
      <c r="C48" s="147">
        <f t="shared" si="0"/>
        <v>648000</v>
      </c>
      <c r="D48" s="143">
        <v>648000</v>
      </c>
      <c r="E48" s="143"/>
      <c r="F48" s="143"/>
      <c r="G48" s="143"/>
      <c r="H48" s="147">
        <f t="shared" si="1"/>
        <v>0</v>
      </c>
      <c r="I48" s="143"/>
      <c r="J48" s="143"/>
      <c r="K48" s="143"/>
      <c r="L48" s="143"/>
      <c r="M48" s="143"/>
      <c r="N48" s="147">
        <f t="shared" si="2"/>
        <v>648000</v>
      </c>
      <c r="O48" s="30"/>
    </row>
    <row r="49" spans="1:15" ht="280.5">
      <c r="A49" s="45" t="s">
        <v>174</v>
      </c>
      <c r="B49" s="20" t="s">
        <v>2</v>
      </c>
      <c r="C49" s="147">
        <f t="shared" si="0"/>
        <v>1240</v>
      </c>
      <c r="D49" s="143">
        <v>1240</v>
      </c>
      <c r="E49" s="143"/>
      <c r="F49" s="143"/>
      <c r="G49" s="143"/>
      <c r="H49" s="147">
        <f t="shared" si="1"/>
        <v>0</v>
      </c>
      <c r="I49" s="143"/>
      <c r="J49" s="143"/>
      <c r="K49" s="143"/>
      <c r="L49" s="143"/>
      <c r="M49" s="143"/>
      <c r="N49" s="147">
        <f t="shared" si="2"/>
        <v>1240</v>
      </c>
      <c r="O49" s="30"/>
    </row>
    <row r="50" spans="1:15" ht="127.5">
      <c r="A50" s="45" t="s">
        <v>166</v>
      </c>
      <c r="B50" s="20" t="s">
        <v>13</v>
      </c>
      <c r="C50" s="147">
        <f t="shared" si="0"/>
        <v>50000</v>
      </c>
      <c r="D50" s="143">
        <v>50000</v>
      </c>
      <c r="E50" s="143"/>
      <c r="F50" s="143"/>
      <c r="G50" s="143"/>
      <c r="H50" s="147">
        <f t="shared" si="1"/>
        <v>0</v>
      </c>
      <c r="I50" s="143"/>
      <c r="J50" s="143"/>
      <c r="K50" s="143"/>
      <c r="L50" s="143"/>
      <c r="M50" s="143"/>
      <c r="N50" s="147">
        <f t="shared" si="2"/>
        <v>50000</v>
      </c>
      <c r="O50" s="30"/>
    </row>
    <row r="51" spans="1:15" ht="38.25">
      <c r="A51" s="45" t="s">
        <v>175</v>
      </c>
      <c r="B51" s="20" t="s">
        <v>176</v>
      </c>
      <c r="C51" s="147">
        <f t="shared" si="0"/>
        <v>225000</v>
      </c>
      <c r="D51" s="143">
        <v>225000</v>
      </c>
      <c r="E51" s="143"/>
      <c r="F51" s="143"/>
      <c r="G51" s="143"/>
      <c r="H51" s="147">
        <f t="shared" si="1"/>
        <v>0</v>
      </c>
      <c r="I51" s="143"/>
      <c r="J51" s="143"/>
      <c r="K51" s="143"/>
      <c r="L51" s="143"/>
      <c r="M51" s="143"/>
      <c r="N51" s="147">
        <f t="shared" si="2"/>
        <v>225000</v>
      </c>
      <c r="O51" s="30"/>
    </row>
    <row r="52" spans="1:15" ht="38.25">
      <c r="A52" s="45" t="s">
        <v>177</v>
      </c>
      <c r="B52" s="20" t="s">
        <v>3</v>
      </c>
      <c r="C52" s="147">
        <f t="shared" si="0"/>
        <v>624</v>
      </c>
      <c r="D52" s="143">
        <v>624</v>
      </c>
      <c r="E52" s="143"/>
      <c r="F52" s="143"/>
      <c r="G52" s="143"/>
      <c r="H52" s="147">
        <f t="shared" si="1"/>
        <v>0</v>
      </c>
      <c r="I52" s="143"/>
      <c r="J52" s="143"/>
      <c r="K52" s="143"/>
      <c r="L52" s="143"/>
      <c r="M52" s="143"/>
      <c r="N52" s="147">
        <f t="shared" si="2"/>
        <v>624</v>
      </c>
      <c r="O52" s="30"/>
    </row>
    <row r="53" spans="1:15" ht="25.5">
      <c r="A53" s="45" t="s">
        <v>178</v>
      </c>
      <c r="B53" s="53" t="s">
        <v>221</v>
      </c>
      <c r="C53" s="147">
        <f t="shared" si="0"/>
        <v>33000</v>
      </c>
      <c r="D53" s="143">
        <v>33000</v>
      </c>
      <c r="E53" s="143"/>
      <c r="F53" s="143"/>
      <c r="G53" s="143"/>
      <c r="H53" s="147">
        <f t="shared" si="1"/>
        <v>0</v>
      </c>
      <c r="I53" s="143"/>
      <c r="J53" s="143"/>
      <c r="K53" s="143"/>
      <c r="L53" s="143"/>
      <c r="M53" s="143"/>
      <c r="N53" s="147">
        <f t="shared" si="2"/>
        <v>33000</v>
      </c>
      <c r="O53" s="30"/>
    </row>
    <row r="54" spans="1:15" ht="25.5" hidden="1">
      <c r="A54" s="45" t="s">
        <v>129</v>
      </c>
      <c r="B54" s="89" t="s">
        <v>256</v>
      </c>
      <c r="C54" s="147">
        <f t="shared" si="0"/>
        <v>0</v>
      </c>
      <c r="D54" s="143"/>
      <c r="E54" s="143"/>
      <c r="F54" s="143"/>
      <c r="G54" s="143"/>
      <c r="H54" s="147">
        <f t="shared" si="1"/>
        <v>0</v>
      </c>
      <c r="I54" s="143"/>
      <c r="J54" s="143"/>
      <c r="K54" s="143"/>
      <c r="L54" s="143"/>
      <c r="M54" s="143"/>
      <c r="N54" s="147">
        <f t="shared" si="2"/>
        <v>0</v>
      </c>
      <c r="O54" s="30"/>
    </row>
    <row r="55" spans="1:15" ht="12.75">
      <c r="A55" s="45" t="s">
        <v>130</v>
      </c>
      <c r="B55" s="53" t="s">
        <v>222</v>
      </c>
      <c r="C55" s="147">
        <f t="shared" si="0"/>
        <v>250000</v>
      </c>
      <c r="D55" s="143">
        <v>250000</v>
      </c>
      <c r="E55" s="143"/>
      <c r="F55" s="143"/>
      <c r="G55" s="143"/>
      <c r="H55" s="147">
        <f t="shared" si="1"/>
        <v>0</v>
      </c>
      <c r="I55" s="143"/>
      <c r="J55" s="143"/>
      <c r="K55" s="143"/>
      <c r="L55" s="143"/>
      <c r="M55" s="143"/>
      <c r="N55" s="147">
        <f t="shared" si="2"/>
        <v>250000</v>
      </c>
      <c r="O55" s="30"/>
    </row>
    <row r="56" spans="1:15" ht="25.5">
      <c r="A56" s="45" t="s">
        <v>131</v>
      </c>
      <c r="B56" s="53" t="s">
        <v>223</v>
      </c>
      <c r="C56" s="147">
        <f t="shared" si="0"/>
        <v>1700000</v>
      </c>
      <c r="D56" s="143">
        <v>1700000</v>
      </c>
      <c r="E56" s="143"/>
      <c r="F56" s="143"/>
      <c r="G56" s="143"/>
      <c r="H56" s="147">
        <f t="shared" si="1"/>
        <v>0</v>
      </c>
      <c r="I56" s="143"/>
      <c r="J56" s="143"/>
      <c r="K56" s="143"/>
      <c r="L56" s="143"/>
      <c r="M56" s="143"/>
      <c r="N56" s="147">
        <f t="shared" si="2"/>
        <v>1700000</v>
      </c>
      <c r="O56" s="30"/>
    </row>
    <row r="57" spans="1:15" ht="25.5">
      <c r="A57" s="45" t="s">
        <v>132</v>
      </c>
      <c r="B57" s="53" t="s">
        <v>105</v>
      </c>
      <c r="C57" s="147">
        <f t="shared" si="0"/>
        <v>2500000</v>
      </c>
      <c r="D57" s="143">
        <v>2500000</v>
      </c>
      <c r="E57" s="143"/>
      <c r="F57" s="143"/>
      <c r="G57" s="143"/>
      <c r="H57" s="147">
        <f t="shared" si="1"/>
        <v>0</v>
      </c>
      <c r="I57" s="143"/>
      <c r="J57" s="143"/>
      <c r="K57" s="143"/>
      <c r="L57" s="143"/>
      <c r="M57" s="143"/>
      <c r="N57" s="147">
        <f t="shared" si="2"/>
        <v>2500000</v>
      </c>
      <c r="O57" s="30"/>
    </row>
    <row r="58" spans="1:15" ht="25.5">
      <c r="A58" s="45" t="s">
        <v>91</v>
      </c>
      <c r="B58" s="53" t="s">
        <v>181</v>
      </c>
      <c r="C58" s="147">
        <f t="shared" si="0"/>
        <v>320000</v>
      </c>
      <c r="D58" s="143">
        <v>320000</v>
      </c>
      <c r="E58" s="143"/>
      <c r="F58" s="143"/>
      <c r="G58" s="143"/>
      <c r="H58" s="147">
        <f t="shared" si="1"/>
        <v>0</v>
      </c>
      <c r="I58" s="143"/>
      <c r="J58" s="143"/>
      <c r="K58" s="143"/>
      <c r="L58" s="143"/>
      <c r="M58" s="143"/>
      <c r="N58" s="147">
        <f t="shared" si="2"/>
        <v>320000</v>
      </c>
      <c r="O58" s="30"/>
    </row>
    <row r="59" spans="1:15" ht="12.75">
      <c r="A59" s="45" t="s">
        <v>245</v>
      </c>
      <c r="B59" s="53" t="s">
        <v>180</v>
      </c>
      <c r="C59" s="147">
        <f t="shared" si="0"/>
        <v>1400000</v>
      </c>
      <c r="D59" s="143">
        <v>1400000</v>
      </c>
      <c r="E59" s="143"/>
      <c r="F59" s="143"/>
      <c r="G59" s="143"/>
      <c r="H59" s="147">
        <f t="shared" si="1"/>
        <v>0</v>
      </c>
      <c r="I59" s="143"/>
      <c r="J59" s="143"/>
      <c r="K59" s="143"/>
      <c r="L59" s="143"/>
      <c r="M59" s="143"/>
      <c r="N59" s="147">
        <f t="shared" si="2"/>
        <v>1400000</v>
      </c>
      <c r="O59" s="30"/>
    </row>
    <row r="60" spans="1:15" ht="12.75">
      <c r="A60" s="45" t="s">
        <v>440</v>
      </c>
      <c r="B60" s="103" t="s">
        <v>441</v>
      </c>
      <c r="C60" s="147">
        <f t="shared" si="0"/>
        <v>50000</v>
      </c>
      <c r="D60" s="143">
        <v>50000</v>
      </c>
      <c r="E60" s="143"/>
      <c r="F60" s="143"/>
      <c r="G60" s="143"/>
      <c r="H60" s="147"/>
      <c r="I60" s="143"/>
      <c r="J60" s="143"/>
      <c r="K60" s="143"/>
      <c r="L60" s="143"/>
      <c r="M60" s="143"/>
      <c r="N60" s="147">
        <f t="shared" si="2"/>
        <v>50000</v>
      </c>
      <c r="O60" s="30"/>
    </row>
    <row r="61" spans="1:15" ht="25.5">
      <c r="A61" s="45" t="s">
        <v>182</v>
      </c>
      <c r="B61" s="53" t="s">
        <v>224</v>
      </c>
      <c r="C61" s="147">
        <f t="shared" si="0"/>
        <v>800000</v>
      </c>
      <c r="D61" s="143">
        <v>800000</v>
      </c>
      <c r="E61" s="143"/>
      <c r="F61" s="143"/>
      <c r="G61" s="143"/>
      <c r="H61" s="147">
        <f t="shared" si="1"/>
        <v>0</v>
      </c>
      <c r="I61" s="143"/>
      <c r="J61" s="143"/>
      <c r="K61" s="143"/>
      <c r="L61" s="143"/>
      <c r="M61" s="143"/>
      <c r="N61" s="147">
        <f t="shared" si="2"/>
        <v>800000</v>
      </c>
      <c r="O61" s="30"/>
    </row>
    <row r="62" spans="1:15" ht="38.25">
      <c r="A62" s="45" t="s">
        <v>92</v>
      </c>
      <c r="B62" s="53" t="s">
        <v>151</v>
      </c>
      <c r="C62" s="147">
        <f t="shared" si="0"/>
        <v>893732</v>
      </c>
      <c r="D62" s="143">
        <v>893732</v>
      </c>
      <c r="E62" s="143"/>
      <c r="F62" s="143"/>
      <c r="G62" s="143"/>
      <c r="H62" s="147">
        <f t="shared" si="1"/>
        <v>0</v>
      </c>
      <c r="I62" s="143"/>
      <c r="J62" s="143"/>
      <c r="K62" s="143"/>
      <c r="L62" s="143"/>
      <c r="M62" s="143"/>
      <c r="N62" s="147">
        <f t="shared" si="2"/>
        <v>893732</v>
      </c>
      <c r="O62" s="30"/>
    </row>
    <row r="63" spans="1:15" ht="12.75">
      <c r="A63" s="45"/>
      <c r="B63" s="53" t="s">
        <v>236</v>
      </c>
      <c r="C63" s="147"/>
      <c r="D63" s="143"/>
      <c r="E63" s="143"/>
      <c r="F63" s="143"/>
      <c r="G63" s="143"/>
      <c r="H63" s="147"/>
      <c r="I63" s="143"/>
      <c r="J63" s="143"/>
      <c r="K63" s="143"/>
      <c r="L63" s="143"/>
      <c r="M63" s="143"/>
      <c r="N63" s="147"/>
      <c r="O63" s="30"/>
    </row>
    <row r="64" spans="1:15" ht="63.75">
      <c r="A64" s="45"/>
      <c r="B64" s="53" t="s">
        <v>225</v>
      </c>
      <c r="C64" s="147">
        <f t="shared" si="0"/>
        <v>833027</v>
      </c>
      <c r="D64" s="143">
        <v>833027</v>
      </c>
      <c r="E64" s="143"/>
      <c r="F64" s="143"/>
      <c r="G64" s="143"/>
      <c r="H64" s="147">
        <f t="shared" si="1"/>
        <v>0</v>
      </c>
      <c r="I64" s="143"/>
      <c r="J64" s="143"/>
      <c r="K64" s="143"/>
      <c r="L64" s="143"/>
      <c r="M64" s="143"/>
      <c r="N64" s="147">
        <f t="shared" si="2"/>
        <v>833027</v>
      </c>
      <c r="O64" s="30"/>
    </row>
    <row r="65" spans="1:15" ht="25.5">
      <c r="A65" s="45"/>
      <c r="B65" s="53" t="s">
        <v>205</v>
      </c>
      <c r="C65" s="147">
        <f t="shared" si="0"/>
        <v>60705</v>
      </c>
      <c r="D65" s="143">
        <v>60705</v>
      </c>
      <c r="E65" s="143"/>
      <c r="F65" s="143"/>
      <c r="G65" s="143"/>
      <c r="H65" s="147">
        <f t="shared" si="1"/>
        <v>0</v>
      </c>
      <c r="I65" s="143"/>
      <c r="J65" s="143"/>
      <c r="K65" s="143"/>
      <c r="L65" s="143"/>
      <c r="M65" s="143"/>
      <c r="N65" s="147">
        <f t="shared" si="2"/>
        <v>60705</v>
      </c>
      <c r="O65" s="30"/>
    </row>
    <row r="66" spans="1:15" ht="25.5">
      <c r="A66" s="45" t="s">
        <v>50</v>
      </c>
      <c r="B66" s="93" t="s">
        <v>206</v>
      </c>
      <c r="C66" s="147">
        <f t="shared" si="0"/>
        <v>90000</v>
      </c>
      <c r="D66" s="143">
        <v>90000</v>
      </c>
      <c r="E66" s="143"/>
      <c r="F66" s="143"/>
      <c r="G66" s="143"/>
      <c r="H66" s="147">
        <f t="shared" si="1"/>
        <v>0</v>
      </c>
      <c r="I66" s="143"/>
      <c r="J66" s="143"/>
      <c r="K66" s="143"/>
      <c r="L66" s="143"/>
      <c r="M66" s="143"/>
      <c r="N66" s="147">
        <f t="shared" si="2"/>
        <v>90000</v>
      </c>
      <c r="O66" s="30"/>
    </row>
    <row r="67" spans="1:15" ht="25.5" hidden="1">
      <c r="A67" s="90" t="s">
        <v>408</v>
      </c>
      <c r="B67" s="80" t="s">
        <v>409</v>
      </c>
      <c r="C67" s="147">
        <f t="shared" si="0"/>
        <v>0</v>
      </c>
      <c r="D67" s="143"/>
      <c r="E67" s="143"/>
      <c r="F67" s="143"/>
      <c r="G67" s="143"/>
      <c r="H67" s="147"/>
      <c r="I67" s="143"/>
      <c r="J67" s="143"/>
      <c r="K67" s="143"/>
      <c r="L67" s="143"/>
      <c r="M67" s="143"/>
      <c r="N67" s="147">
        <f t="shared" si="2"/>
        <v>0</v>
      </c>
      <c r="O67" s="30"/>
    </row>
    <row r="68" spans="1:15" ht="25.5" hidden="1">
      <c r="A68" s="90" t="s">
        <v>335</v>
      </c>
      <c r="B68" s="80" t="s">
        <v>410</v>
      </c>
      <c r="C68" s="147">
        <f t="shared" si="0"/>
        <v>0</v>
      </c>
      <c r="D68" s="143"/>
      <c r="E68" s="143"/>
      <c r="F68" s="143"/>
      <c r="G68" s="143"/>
      <c r="H68" s="147"/>
      <c r="I68" s="143"/>
      <c r="J68" s="143"/>
      <c r="K68" s="143"/>
      <c r="L68" s="143"/>
      <c r="M68" s="143"/>
      <c r="N68" s="147">
        <f t="shared" si="2"/>
        <v>0</v>
      </c>
      <c r="O68" s="30"/>
    </row>
    <row r="69" spans="1:15" ht="76.5" hidden="1">
      <c r="A69" s="45" t="s">
        <v>332</v>
      </c>
      <c r="B69" s="53" t="s">
        <v>334</v>
      </c>
      <c r="C69" s="147">
        <f t="shared" si="0"/>
        <v>0</v>
      </c>
      <c r="D69" s="143">
        <f>D71+D72</f>
        <v>0</v>
      </c>
      <c r="E69" s="143"/>
      <c r="F69" s="143"/>
      <c r="G69" s="143"/>
      <c r="H69" s="147">
        <f t="shared" si="1"/>
        <v>0</v>
      </c>
      <c r="I69" s="143"/>
      <c r="J69" s="143"/>
      <c r="K69" s="143"/>
      <c r="L69" s="143"/>
      <c r="M69" s="143"/>
      <c r="N69" s="147">
        <f t="shared" si="2"/>
        <v>0</v>
      </c>
      <c r="O69" s="30"/>
    </row>
    <row r="70" spans="1:15" ht="12.75" hidden="1">
      <c r="A70" s="45"/>
      <c r="B70" s="53" t="s">
        <v>236</v>
      </c>
      <c r="C70" s="147"/>
      <c r="D70" s="143"/>
      <c r="E70" s="143"/>
      <c r="F70" s="143"/>
      <c r="G70" s="143"/>
      <c r="H70" s="147"/>
      <c r="I70" s="143"/>
      <c r="J70" s="143"/>
      <c r="K70" s="143"/>
      <c r="L70" s="143"/>
      <c r="M70" s="143"/>
      <c r="N70" s="147"/>
      <c r="O70" s="30"/>
    </row>
    <row r="71" spans="1:15" ht="63.75" hidden="1">
      <c r="A71" s="45"/>
      <c r="B71" s="53" t="s">
        <v>225</v>
      </c>
      <c r="C71" s="147">
        <f t="shared" si="0"/>
        <v>0</v>
      </c>
      <c r="D71" s="143"/>
      <c r="E71" s="143"/>
      <c r="F71" s="143"/>
      <c r="G71" s="143"/>
      <c r="H71" s="147"/>
      <c r="I71" s="143"/>
      <c r="J71" s="143"/>
      <c r="K71" s="143"/>
      <c r="L71" s="143"/>
      <c r="M71" s="143"/>
      <c r="N71" s="147">
        <f t="shared" si="2"/>
        <v>0</v>
      </c>
      <c r="O71" s="30"/>
    </row>
    <row r="72" spans="1:15" ht="25.5" hidden="1">
      <c r="A72" s="45"/>
      <c r="B72" s="53" t="s">
        <v>205</v>
      </c>
      <c r="C72" s="147">
        <f t="shared" si="0"/>
        <v>0</v>
      </c>
      <c r="D72" s="143"/>
      <c r="E72" s="143"/>
      <c r="F72" s="143"/>
      <c r="G72" s="143"/>
      <c r="H72" s="147"/>
      <c r="I72" s="143"/>
      <c r="J72" s="143"/>
      <c r="K72" s="143"/>
      <c r="L72" s="143"/>
      <c r="M72" s="143"/>
      <c r="N72" s="147">
        <f t="shared" si="2"/>
        <v>0</v>
      </c>
      <c r="O72" s="30"/>
    </row>
    <row r="73" spans="1:15" ht="25.5">
      <c r="A73" s="45" t="s">
        <v>167</v>
      </c>
      <c r="B73" s="186" t="s">
        <v>438</v>
      </c>
      <c r="C73" s="147">
        <f t="shared" si="0"/>
        <v>25350</v>
      </c>
      <c r="D73" s="143">
        <v>25350</v>
      </c>
      <c r="E73" s="143"/>
      <c r="F73" s="143"/>
      <c r="G73" s="143"/>
      <c r="H73" s="147">
        <f t="shared" si="1"/>
        <v>0</v>
      </c>
      <c r="I73" s="143"/>
      <c r="J73" s="143"/>
      <c r="K73" s="143"/>
      <c r="L73" s="143"/>
      <c r="M73" s="143"/>
      <c r="N73" s="147">
        <f t="shared" si="2"/>
        <v>25350</v>
      </c>
      <c r="O73" s="30"/>
    </row>
    <row r="74" spans="1:15" ht="25.5">
      <c r="A74" s="45" t="s">
        <v>123</v>
      </c>
      <c r="B74" s="53" t="s">
        <v>207</v>
      </c>
      <c r="C74" s="147">
        <f t="shared" si="0"/>
        <v>793000</v>
      </c>
      <c r="D74" s="143">
        <v>793000</v>
      </c>
      <c r="E74" s="143"/>
      <c r="F74" s="143"/>
      <c r="G74" s="143"/>
      <c r="H74" s="147">
        <f t="shared" si="1"/>
        <v>0</v>
      </c>
      <c r="I74" s="143"/>
      <c r="J74" s="143"/>
      <c r="K74" s="143"/>
      <c r="L74" s="143"/>
      <c r="M74" s="143"/>
      <c r="N74" s="147">
        <f t="shared" si="2"/>
        <v>793000</v>
      </c>
      <c r="O74" s="30"/>
    </row>
    <row r="75" spans="1:14" s="125" customFormat="1" ht="38.25">
      <c r="A75" s="124" t="s">
        <v>394</v>
      </c>
      <c r="B75" s="137" t="s">
        <v>359</v>
      </c>
      <c r="C75" s="159">
        <f t="shared" si="0"/>
        <v>380599</v>
      </c>
      <c r="D75" s="159">
        <f>D76+D77+D78</f>
        <v>380599</v>
      </c>
      <c r="E75" s="159">
        <f aca="true" t="shared" si="3" ref="E75:M75">E76+E77+E78</f>
        <v>70007</v>
      </c>
      <c r="F75" s="159">
        <f t="shared" si="3"/>
        <v>98226</v>
      </c>
      <c r="G75" s="159">
        <f t="shared" si="3"/>
        <v>0</v>
      </c>
      <c r="H75" s="159">
        <f t="shared" si="3"/>
        <v>0</v>
      </c>
      <c r="I75" s="159">
        <f t="shared" si="3"/>
        <v>0</v>
      </c>
      <c r="J75" s="159">
        <f t="shared" si="3"/>
        <v>0</v>
      </c>
      <c r="K75" s="159">
        <f t="shared" si="3"/>
        <v>0</v>
      </c>
      <c r="L75" s="159">
        <f t="shared" si="3"/>
        <v>0</v>
      </c>
      <c r="M75" s="159">
        <f t="shared" si="3"/>
        <v>0</v>
      </c>
      <c r="N75" s="159">
        <f t="shared" si="2"/>
        <v>380599</v>
      </c>
    </row>
    <row r="76" spans="1:14" ht="12.75">
      <c r="A76" s="45" t="s">
        <v>24</v>
      </c>
      <c r="B76" s="53" t="s">
        <v>25</v>
      </c>
      <c r="C76" s="147">
        <f t="shared" si="0"/>
        <v>105599</v>
      </c>
      <c r="D76" s="143">
        <v>105599</v>
      </c>
      <c r="E76" s="143">
        <v>70007</v>
      </c>
      <c r="F76" s="143">
        <v>3226</v>
      </c>
      <c r="G76" s="143"/>
      <c r="H76" s="147">
        <f t="shared" si="1"/>
        <v>0</v>
      </c>
      <c r="I76" s="143"/>
      <c r="J76" s="143"/>
      <c r="K76" s="143"/>
      <c r="L76" s="143"/>
      <c r="M76" s="143"/>
      <c r="N76" s="147">
        <f t="shared" si="2"/>
        <v>105599</v>
      </c>
    </row>
    <row r="77" spans="1:14" ht="12.75">
      <c r="A77" s="45">
        <v>100203</v>
      </c>
      <c r="B77" s="53" t="s">
        <v>55</v>
      </c>
      <c r="C77" s="147">
        <f t="shared" si="0"/>
        <v>275000</v>
      </c>
      <c r="D77" s="143">
        <v>275000</v>
      </c>
      <c r="E77" s="143"/>
      <c r="F77" s="143">
        <v>95000</v>
      </c>
      <c r="G77" s="143"/>
      <c r="H77" s="147">
        <f t="shared" si="1"/>
        <v>0</v>
      </c>
      <c r="I77" s="143"/>
      <c r="J77" s="143"/>
      <c r="K77" s="143"/>
      <c r="L77" s="143"/>
      <c r="M77" s="143"/>
      <c r="N77" s="147">
        <f t="shared" si="2"/>
        <v>275000</v>
      </c>
    </row>
    <row r="78" spans="1:14" ht="38.25" hidden="1">
      <c r="A78" s="45" t="s">
        <v>73</v>
      </c>
      <c r="B78" s="109" t="s">
        <v>248</v>
      </c>
      <c r="C78" s="147">
        <f t="shared" si="0"/>
        <v>0</v>
      </c>
      <c r="D78" s="143"/>
      <c r="E78" s="143"/>
      <c r="F78" s="143"/>
      <c r="G78" s="143"/>
      <c r="H78" s="147">
        <f t="shared" si="1"/>
        <v>0</v>
      </c>
      <c r="I78" s="143"/>
      <c r="J78" s="143"/>
      <c r="K78" s="143"/>
      <c r="L78" s="143"/>
      <c r="M78" s="143"/>
      <c r="N78" s="147">
        <f t="shared" si="2"/>
        <v>0</v>
      </c>
    </row>
    <row r="79" spans="1:14" s="125" customFormat="1" ht="25.5">
      <c r="A79" s="124" t="s">
        <v>288</v>
      </c>
      <c r="B79" s="140" t="s">
        <v>360</v>
      </c>
      <c r="C79" s="159">
        <f t="shared" si="0"/>
        <v>211644</v>
      </c>
      <c r="D79" s="159">
        <f>D80+D82</f>
        <v>211644</v>
      </c>
      <c r="E79" s="159">
        <f>E80+E82</f>
        <v>126280</v>
      </c>
      <c r="F79" s="159">
        <f>F80+F82</f>
        <v>5784</v>
      </c>
      <c r="G79" s="159">
        <f>G80+G82</f>
        <v>0</v>
      </c>
      <c r="H79" s="182">
        <f t="shared" si="1"/>
        <v>0</v>
      </c>
      <c r="I79" s="182">
        <f>I80+I82+I81</f>
        <v>0</v>
      </c>
      <c r="J79" s="159">
        <f>J80+J82+J81</f>
        <v>0</v>
      </c>
      <c r="K79" s="159">
        <f>K80+K82+K81</f>
        <v>0</v>
      </c>
      <c r="L79" s="159">
        <f>L80+L82+L81</f>
        <v>0</v>
      </c>
      <c r="M79" s="159">
        <f>M80+M82+M81</f>
        <v>0</v>
      </c>
      <c r="N79" s="159">
        <f t="shared" si="2"/>
        <v>211644</v>
      </c>
    </row>
    <row r="80" spans="1:14" ht="12.75">
      <c r="A80" s="45" t="s">
        <v>24</v>
      </c>
      <c r="B80" s="53" t="s">
        <v>25</v>
      </c>
      <c r="C80" s="147">
        <f t="shared" si="0"/>
        <v>211644</v>
      </c>
      <c r="D80" s="143">
        <v>211644</v>
      </c>
      <c r="E80" s="143">
        <v>126280</v>
      </c>
      <c r="F80" s="143">
        <v>5784</v>
      </c>
      <c r="G80" s="143"/>
      <c r="H80" s="147">
        <f t="shared" si="1"/>
        <v>0</v>
      </c>
      <c r="I80" s="143"/>
      <c r="J80" s="143"/>
      <c r="K80" s="143"/>
      <c r="L80" s="143"/>
      <c r="M80" s="143"/>
      <c r="N80" s="147">
        <f t="shared" si="2"/>
        <v>211644</v>
      </c>
    </row>
    <row r="81" spans="1:14" s="17" customFormat="1" ht="76.5" hidden="1">
      <c r="A81" s="119" t="s">
        <v>419</v>
      </c>
      <c r="B81" s="80" t="s">
        <v>420</v>
      </c>
      <c r="C81" s="148">
        <f t="shared" si="0"/>
        <v>0</v>
      </c>
      <c r="D81" s="148"/>
      <c r="E81" s="148"/>
      <c r="F81" s="148"/>
      <c r="G81" s="148"/>
      <c r="H81" s="179">
        <f t="shared" si="1"/>
        <v>0</v>
      </c>
      <c r="I81" s="179"/>
      <c r="J81" s="148"/>
      <c r="K81" s="148"/>
      <c r="L81" s="148"/>
      <c r="M81" s="148"/>
      <c r="N81" s="147">
        <f t="shared" si="2"/>
        <v>0</v>
      </c>
    </row>
    <row r="82" spans="1:14" ht="38.25" hidden="1">
      <c r="A82" s="45">
        <v>250306</v>
      </c>
      <c r="B82" s="53" t="s">
        <v>168</v>
      </c>
      <c r="C82" s="147">
        <f t="shared" si="0"/>
        <v>0</v>
      </c>
      <c r="D82" s="143"/>
      <c r="E82" s="143"/>
      <c r="F82" s="143"/>
      <c r="G82" s="143"/>
      <c r="H82" s="147">
        <f t="shared" si="1"/>
        <v>0</v>
      </c>
      <c r="I82" s="143"/>
      <c r="J82" s="143"/>
      <c r="K82" s="143"/>
      <c r="L82" s="143"/>
      <c r="M82" s="143"/>
      <c r="N82" s="147">
        <f t="shared" si="2"/>
        <v>0</v>
      </c>
    </row>
    <row r="83" spans="1:14" ht="12.75">
      <c r="A83" s="45"/>
      <c r="B83" s="53" t="s">
        <v>80</v>
      </c>
      <c r="C83" s="147">
        <f t="shared" si="0"/>
        <v>74636549</v>
      </c>
      <c r="D83" s="143">
        <f>D11+D27+D42+D75+D79</f>
        <v>74528549</v>
      </c>
      <c r="E83" s="143">
        <f>E11+E27+E42+E75+E79</f>
        <v>33582175</v>
      </c>
      <c r="F83" s="143">
        <f>F11+F27+F42+F75+F79</f>
        <v>4467368</v>
      </c>
      <c r="G83" s="143">
        <f>G11+G27+G42+G75+G79</f>
        <v>108000</v>
      </c>
      <c r="H83" s="147">
        <f t="shared" si="1"/>
        <v>2588931</v>
      </c>
      <c r="I83" s="143">
        <f>I11+I27+I42+I75+I79</f>
        <v>2473431</v>
      </c>
      <c r="J83" s="143">
        <f>J11+J27+J42+J75+J79</f>
        <v>499796</v>
      </c>
      <c r="K83" s="143">
        <f>K11+K27+K42+K75+K79</f>
        <v>228866</v>
      </c>
      <c r="L83" s="143">
        <f>L11+L27+L42+L75+L79</f>
        <v>115500</v>
      </c>
      <c r="M83" s="143">
        <f>M11+M27+M42+M75+M79</f>
        <v>0</v>
      </c>
      <c r="N83" s="147">
        <f t="shared" si="2"/>
        <v>77225480</v>
      </c>
    </row>
    <row r="85" spans="2:16" s="50" customFormat="1" ht="18">
      <c r="B85" s="195" t="s">
        <v>155</v>
      </c>
      <c r="C85" s="195"/>
      <c r="D85" s="195"/>
      <c r="E85" s="195"/>
      <c r="F85" s="195"/>
      <c r="G85" s="195"/>
      <c r="H85" s="195"/>
      <c r="I85" s="195"/>
      <c r="J85" s="195"/>
      <c r="K85" s="195"/>
      <c r="L85" s="195"/>
      <c r="M85" s="195"/>
      <c r="N85" s="195"/>
      <c r="O85" s="195"/>
      <c r="P85" s="195"/>
    </row>
    <row r="87" ht="12.75">
      <c r="H87" s="54"/>
    </row>
  </sheetData>
  <mergeCells count="10">
    <mergeCell ref="B85:P85"/>
    <mergeCell ref="N8:N9"/>
    <mergeCell ref="A8:A9"/>
    <mergeCell ref="B8:B9"/>
    <mergeCell ref="C8:G8"/>
    <mergeCell ref="H8:M8"/>
    <mergeCell ref="L1:N1"/>
    <mergeCell ref="L2:N2"/>
    <mergeCell ref="L3:N3"/>
    <mergeCell ref="A5:N5"/>
  </mergeCells>
  <printOptions/>
  <pageMargins left="0.91" right="0.35433070866141736" top="0.6299212598425197" bottom="0.3937007874015748" header="0.5118110236220472" footer="0.5118110236220472"/>
  <pageSetup fitToHeight="0"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P83"/>
  <sheetViews>
    <sheetView showZeros="0" view="pageBreakPreview" zoomScale="75" zoomScaleNormal="75" zoomScaleSheetLayoutView="75" workbookViewId="0" topLeftCell="A1">
      <pane xSplit="2" ySplit="10" topLeftCell="H63" activePane="bottomRight" state="frozen"/>
      <selection pane="topLeft" activeCell="A1" sqref="A1"/>
      <selection pane="topRight" activeCell="E1" sqref="E1"/>
      <selection pane="bottomLeft" activeCell="A11" sqref="A11"/>
      <selection pane="bottomRight" activeCell="O73" sqref="O73"/>
    </sheetView>
  </sheetViews>
  <sheetFormatPr defaultColWidth="9.00390625" defaultRowHeight="12.75"/>
  <cols>
    <col min="1" max="1" width="7.875" style="68" customWidth="1"/>
    <col min="2" max="2" width="38.625" style="70" customWidth="1"/>
    <col min="3" max="3" width="12.125" style="69" customWidth="1"/>
    <col min="4" max="4" width="11.75390625" style="69" customWidth="1"/>
    <col min="5" max="5" width="11.875" style="69" customWidth="1"/>
    <col min="6" max="6" width="9.875" style="69" customWidth="1"/>
    <col min="7" max="7" width="11.375" style="69" customWidth="1"/>
    <col min="8" max="9" width="13.25390625" style="69" bestFit="1" customWidth="1"/>
    <col min="10" max="10" width="11.75390625" style="69" customWidth="1"/>
    <col min="11" max="11" width="9.875" style="69" customWidth="1"/>
    <col min="12" max="12" width="11.375" style="69" customWidth="1"/>
    <col min="13" max="13" width="9.625" style="69" customWidth="1"/>
    <col min="14" max="14" width="12.875" style="69" customWidth="1"/>
    <col min="15" max="15" width="9.125" style="69" customWidth="1"/>
    <col min="16" max="16384" width="9.125" style="22" customWidth="1"/>
  </cols>
  <sheetData>
    <row r="1" spans="1:15" ht="18">
      <c r="A1" s="86"/>
      <c r="B1" s="22"/>
      <c r="C1" s="3"/>
      <c r="D1" s="22"/>
      <c r="E1" s="22"/>
      <c r="F1" s="22"/>
      <c r="G1" s="22"/>
      <c r="H1" s="22"/>
      <c r="I1" s="22"/>
      <c r="J1" s="22"/>
      <c r="K1" s="22"/>
      <c r="L1" s="192" t="s">
        <v>383</v>
      </c>
      <c r="M1" s="192"/>
      <c r="N1" s="192"/>
      <c r="O1" s="22"/>
    </row>
    <row r="2" spans="1:15" ht="18">
      <c r="A2" s="86"/>
      <c r="B2" s="22"/>
      <c r="C2" s="3"/>
      <c r="D2" s="22"/>
      <c r="E2" s="22"/>
      <c r="F2" s="22"/>
      <c r="G2" s="22"/>
      <c r="H2" s="22"/>
      <c r="I2" s="22"/>
      <c r="J2" s="22"/>
      <c r="K2" s="22"/>
      <c r="L2" s="192" t="s">
        <v>115</v>
      </c>
      <c r="M2" s="192"/>
      <c r="N2" s="192"/>
      <c r="O2" s="22"/>
    </row>
    <row r="3" spans="1:15" ht="18">
      <c r="A3" s="86"/>
      <c r="B3" s="22"/>
      <c r="C3" s="3"/>
      <c r="D3" s="22"/>
      <c r="E3" s="22"/>
      <c r="F3" s="22"/>
      <c r="G3" s="22"/>
      <c r="H3" s="22"/>
      <c r="I3" s="22"/>
      <c r="J3" s="22"/>
      <c r="K3" s="22"/>
      <c r="L3" s="192" t="s">
        <v>114</v>
      </c>
      <c r="M3" s="192"/>
      <c r="N3" s="192"/>
      <c r="O3" s="22"/>
    </row>
    <row r="4" spans="1:15" ht="15.75">
      <c r="A4" s="86"/>
      <c r="B4" s="22"/>
      <c r="C4" s="3"/>
      <c r="D4" s="22"/>
      <c r="E4" s="22"/>
      <c r="F4" s="22"/>
      <c r="G4" s="22"/>
      <c r="H4" s="22"/>
      <c r="I4" s="22"/>
      <c r="J4" s="22"/>
      <c r="K4" s="22"/>
      <c r="L4" s="22"/>
      <c r="M4" s="22"/>
      <c r="N4" s="22"/>
      <c r="O4" s="22"/>
    </row>
    <row r="5" spans="1:15" ht="18">
      <c r="A5" s="193" t="s">
        <v>6</v>
      </c>
      <c r="B5" s="193"/>
      <c r="C5" s="193"/>
      <c r="D5" s="193"/>
      <c r="E5" s="193"/>
      <c r="F5" s="193"/>
      <c r="G5" s="193"/>
      <c r="H5" s="193"/>
      <c r="I5" s="193"/>
      <c r="J5" s="193"/>
      <c r="K5" s="193"/>
      <c r="L5" s="193"/>
      <c r="M5" s="193"/>
      <c r="N5" s="193"/>
      <c r="O5" s="22"/>
    </row>
    <row r="6" spans="1:15" ht="15.75">
      <c r="A6" s="86"/>
      <c r="B6" s="22"/>
      <c r="C6" s="3" t="s">
        <v>219</v>
      </c>
      <c r="D6" s="22"/>
      <c r="E6" s="22"/>
      <c r="F6" s="22"/>
      <c r="G6" s="22"/>
      <c r="H6" s="22"/>
      <c r="I6" s="22"/>
      <c r="J6" s="22"/>
      <c r="K6" s="22"/>
      <c r="L6" s="22"/>
      <c r="M6" s="22"/>
      <c r="N6" s="22"/>
      <c r="O6" s="22"/>
    </row>
    <row r="7" spans="1:15" ht="15.75">
      <c r="A7" s="86"/>
      <c r="B7" s="22"/>
      <c r="C7" s="3"/>
      <c r="D7" s="2"/>
      <c r="E7" s="22"/>
      <c r="F7" s="22"/>
      <c r="G7" s="22"/>
      <c r="H7" s="22"/>
      <c r="I7" s="22"/>
      <c r="J7" s="22"/>
      <c r="K7" s="22"/>
      <c r="L7" s="22"/>
      <c r="M7" s="22" t="s">
        <v>379</v>
      </c>
      <c r="N7" s="22"/>
      <c r="O7" s="22"/>
    </row>
    <row r="8" spans="1:14" ht="12.75">
      <c r="A8" s="188" t="s">
        <v>339</v>
      </c>
      <c r="B8" s="188" t="s">
        <v>340</v>
      </c>
      <c r="C8" s="206" t="s">
        <v>16</v>
      </c>
      <c r="D8" s="206"/>
      <c r="E8" s="206"/>
      <c r="F8" s="206"/>
      <c r="G8" s="206"/>
      <c r="H8" s="206" t="s">
        <v>17</v>
      </c>
      <c r="I8" s="206"/>
      <c r="J8" s="206"/>
      <c r="K8" s="206"/>
      <c r="L8" s="206"/>
      <c r="M8" s="206"/>
      <c r="N8" s="205" t="s">
        <v>97</v>
      </c>
    </row>
    <row r="9" spans="1:14" ht="51">
      <c r="A9" s="188"/>
      <c r="B9" s="188"/>
      <c r="C9" s="71" t="s">
        <v>18</v>
      </c>
      <c r="D9" s="72" t="s">
        <v>19</v>
      </c>
      <c r="E9" s="72" t="s">
        <v>20</v>
      </c>
      <c r="F9" s="72" t="s">
        <v>21</v>
      </c>
      <c r="G9" s="72" t="s">
        <v>22</v>
      </c>
      <c r="H9" s="71" t="s">
        <v>18</v>
      </c>
      <c r="I9" s="72" t="s">
        <v>19</v>
      </c>
      <c r="J9" s="72" t="s">
        <v>20</v>
      </c>
      <c r="K9" s="72" t="s">
        <v>21</v>
      </c>
      <c r="L9" s="72" t="s">
        <v>22</v>
      </c>
      <c r="M9" s="72" t="s">
        <v>23</v>
      </c>
      <c r="N9" s="205"/>
    </row>
    <row r="10" spans="1:14" ht="12.75">
      <c r="A10" s="73">
        <v>1</v>
      </c>
      <c r="B10" s="107">
        <v>2</v>
      </c>
      <c r="C10" s="74">
        <v>3</v>
      </c>
      <c r="D10" s="74">
        <v>4</v>
      </c>
      <c r="E10" s="74">
        <v>5</v>
      </c>
      <c r="F10" s="74">
        <v>6</v>
      </c>
      <c r="G10" s="74">
        <v>7</v>
      </c>
      <c r="H10" s="74">
        <v>8</v>
      </c>
      <c r="I10" s="74">
        <v>9</v>
      </c>
      <c r="J10" s="74">
        <v>10</v>
      </c>
      <c r="K10" s="74">
        <v>11</v>
      </c>
      <c r="L10" s="74">
        <v>12</v>
      </c>
      <c r="M10" s="74">
        <v>13</v>
      </c>
      <c r="N10" s="74">
        <v>14</v>
      </c>
    </row>
    <row r="11" spans="1:15" s="125" customFormat="1" ht="12.75">
      <c r="A11" s="134" t="s">
        <v>276</v>
      </c>
      <c r="B11" s="136" t="s">
        <v>351</v>
      </c>
      <c r="C11" s="173">
        <f>D11+G11</f>
        <v>10981652</v>
      </c>
      <c r="D11" s="173">
        <f>D12+D13+D17+D18+D19+D20</f>
        <v>10941652</v>
      </c>
      <c r="E11" s="173">
        <f>E12+E13+E17+E18+E19+E20</f>
        <v>6726713</v>
      </c>
      <c r="F11" s="173">
        <f>F12+F13+F17+F18+F19+F20</f>
        <v>760868</v>
      </c>
      <c r="G11" s="173">
        <f>G12+G13+G17+G18+G19+G20</f>
        <v>40000</v>
      </c>
      <c r="H11" s="173">
        <f>I11+L11</f>
        <v>11089530</v>
      </c>
      <c r="I11" s="173">
        <f>I12+I13+I17+I18+I19+I20</f>
        <v>10509592</v>
      </c>
      <c r="J11" s="173">
        <f>J12+J13+J17+J18+J19+J20</f>
        <v>6091534</v>
      </c>
      <c r="K11" s="173">
        <f>K12+K13+K17+K18+K19+K20</f>
        <v>264355</v>
      </c>
      <c r="L11" s="173">
        <f>L12+L13+L17+L18+L19+L20</f>
        <v>579938</v>
      </c>
      <c r="M11" s="173">
        <f>M12+M13+M17+M18+M19+M20</f>
        <v>0</v>
      </c>
      <c r="N11" s="173">
        <f>C11+H11</f>
        <v>22071182</v>
      </c>
      <c r="O11" s="135"/>
    </row>
    <row r="12" spans="1:15" s="65" customFormat="1" ht="12.75">
      <c r="A12" s="75" t="s">
        <v>24</v>
      </c>
      <c r="B12" s="102" t="s">
        <v>25</v>
      </c>
      <c r="C12" s="156">
        <f aca="true" t="shared" si="0" ref="C12:C79">D12+G12</f>
        <v>1284202</v>
      </c>
      <c r="D12" s="156">
        <f>1296651-40000-12449</f>
        <v>1244202</v>
      </c>
      <c r="E12" s="156">
        <f>747286-9140</f>
        <v>738146</v>
      </c>
      <c r="F12" s="156">
        <v>59168</v>
      </c>
      <c r="G12" s="156">
        <v>40000</v>
      </c>
      <c r="H12" s="156">
        <f aca="true" t="shared" si="1" ref="H12:H79">I12+L12</f>
        <v>22463</v>
      </c>
      <c r="I12" s="156">
        <v>22463</v>
      </c>
      <c r="J12" s="156"/>
      <c r="K12" s="156">
        <v>12097</v>
      </c>
      <c r="L12" s="156"/>
      <c r="M12" s="156"/>
      <c r="N12" s="156">
        <f aca="true" t="shared" si="2" ref="N12:N79">C12+H12</f>
        <v>1306665</v>
      </c>
      <c r="O12" s="69"/>
    </row>
    <row r="13" spans="1:15" s="65" customFormat="1" ht="12.75">
      <c r="A13" s="75" t="s">
        <v>35</v>
      </c>
      <c r="B13" s="108" t="s">
        <v>36</v>
      </c>
      <c r="C13" s="156">
        <f t="shared" si="0"/>
        <v>9659300</v>
      </c>
      <c r="D13" s="156">
        <f>SUM(D14:D16)</f>
        <v>9659300</v>
      </c>
      <c r="E13" s="156">
        <f>SUM(E14:E16)</f>
        <v>5988567</v>
      </c>
      <c r="F13" s="156">
        <f>SUM(F14:F16)</f>
        <v>701700</v>
      </c>
      <c r="G13" s="156">
        <f>SUM(G14:G16)</f>
        <v>0</v>
      </c>
      <c r="H13" s="156">
        <f t="shared" si="1"/>
        <v>10867067</v>
      </c>
      <c r="I13" s="156">
        <f>SUM(I14:I16)</f>
        <v>10402129</v>
      </c>
      <c r="J13" s="156">
        <f>SUM(J14:J16)</f>
        <v>6091534</v>
      </c>
      <c r="K13" s="156">
        <f>SUM(K14:K16)</f>
        <v>252258</v>
      </c>
      <c r="L13" s="156">
        <f>SUM(L14:L16)</f>
        <v>464938</v>
      </c>
      <c r="M13" s="156">
        <f>SUM(M14:M16)</f>
        <v>0</v>
      </c>
      <c r="N13" s="156">
        <f t="shared" si="2"/>
        <v>20526367</v>
      </c>
      <c r="O13" s="69"/>
    </row>
    <row r="14" spans="1:14" ht="12.75">
      <c r="A14" s="75" t="s">
        <v>37</v>
      </c>
      <c r="B14" s="102" t="s">
        <v>312</v>
      </c>
      <c r="C14" s="156">
        <f t="shared" si="0"/>
        <v>9026117</v>
      </c>
      <c r="D14" s="156">
        <f>9015117+11000</f>
        <v>9026117</v>
      </c>
      <c r="E14" s="156">
        <v>5586292</v>
      </c>
      <c r="F14" s="156">
        <v>689600</v>
      </c>
      <c r="G14" s="156"/>
      <c r="H14" s="156">
        <f t="shared" si="1"/>
        <v>10078555</v>
      </c>
      <c r="I14" s="156">
        <v>9769785</v>
      </c>
      <c r="J14" s="156">
        <v>5839893</v>
      </c>
      <c r="K14" s="156">
        <v>232831</v>
      </c>
      <c r="L14" s="156">
        <v>308770</v>
      </c>
      <c r="M14" s="156"/>
      <c r="N14" s="156">
        <f t="shared" si="2"/>
        <v>19104672</v>
      </c>
    </row>
    <row r="15" spans="1:14" ht="25.5">
      <c r="A15" s="75" t="s">
        <v>41</v>
      </c>
      <c r="B15" s="102" t="s">
        <v>42</v>
      </c>
      <c r="C15" s="156">
        <f t="shared" si="0"/>
        <v>633183</v>
      </c>
      <c r="D15" s="156">
        <v>633183</v>
      </c>
      <c r="E15" s="156">
        <v>402275</v>
      </c>
      <c r="F15" s="156">
        <v>12100</v>
      </c>
      <c r="G15" s="156"/>
      <c r="H15" s="156">
        <f t="shared" si="1"/>
        <v>788512</v>
      </c>
      <c r="I15" s="156">
        <v>632344</v>
      </c>
      <c r="J15" s="156">
        <v>251641</v>
      </c>
      <c r="K15" s="156">
        <v>19427</v>
      </c>
      <c r="L15" s="156">
        <v>156168</v>
      </c>
      <c r="M15" s="156"/>
      <c r="N15" s="156">
        <f t="shared" si="2"/>
        <v>1421695</v>
      </c>
    </row>
    <row r="16" spans="1:14" ht="12.75" hidden="1">
      <c r="A16" s="75" t="s">
        <v>44</v>
      </c>
      <c r="B16" s="108" t="s">
        <v>45</v>
      </c>
      <c r="C16" s="156">
        <f t="shared" si="0"/>
        <v>0</v>
      </c>
      <c r="D16" s="156"/>
      <c r="E16" s="156"/>
      <c r="F16" s="156"/>
      <c r="G16" s="156"/>
      <c r="H16" s="156">
        <f t="shared" si="1"/>
        <v>0</v>
      </c>
      <c r="I16" s="156"/>
      <c r="J16" s="156"/>
      <c r="K16" s="156"/>
      <c r="L16" s="156"/>
      <c r="M16" s="156"/>
      <c r="N16" s="156">
        <f t="shared" si="2"/>
        <v>0</v>
      </c>
    </row>
    <row r="17" spans="1:15" s="65" customFormat="1" ht="25.5" hidden="1">
      <c r="A17" s="75" t="s">
        <v>50</v>
      </c>
      <c r="B17" s="93" t="s">
        <v>206</v>
      </c>
      <c r="C17" s="156">
        <f t="shared" si="0"/>
        <v>0</v>
      </c>
      <c r="D17" s="156"/>
      <c r="E17" s="156"/>
      <c r="F17" s="156"/>
      <c r="G17" s="156"/>
      <c r="H17" s="156">
        <f t="shared" si="1"/>
        <v>0</v>
      </c>
      <c r="I17" s="156"/>
      <c r="J17" s="156"/>
      <c r="K17" s="156"/>
      <c r="L17" s="156"/>
      <c r="M17" s="156"/>
      <c r="N17" s="156">
        <f t="shared" si="2"/>
        <v>0</v>
      </c>
      <c r="O17" s="69"/>
    </row>
    <row r="18" spans="1:14" ht="38.25" hidden="1">
      <c r="A18" s="75" t="s">
        <v>167</v>
      </c>
      <c r="B18" s="93" t="s">
        <v>239</v>
      </c>
      <c r="C18" s="156">
        <f t="shared" si="0"/>
        <v>0</v>
      </c>
      <c r="D18" s="156"/>
      <c r="E18" s="156"/>
      <c r="F18" s="156"/>
      <c r="G18" s="156"/>
      <c r="H18" s="156">
        <f t="shared" si="1"/>
        <v>0</v>
      </c>
      <c r="I18" s="156"/>
      <c r="J18" s="156"/>
      <c r="K18" s="156"/>
      <c r="L18" s="156"/>
      <c r="M18" s="156"/>
      <c r="N18" s="156">
        <f t="shared" si="2"/>
        <v>0</v>
      </c>
    </row>
    <row r="19" spans="1:14" ht="25.5">
      <c r="A19" s="77" t="s">
        <v>71</v>
      </c>
      <c r="B19" s="93" t="s">
        <v>229</v>
      </c>
      <c r="C19" s="156">
        <f t="shared" si="0"/>
        <v>0</v>
      </c>
      <c r="D19" s="156"/>
      <c r="E19" s="156"/>
      <c r="F19" s="156"/>
      <c r="G19" s="156"/>
      <c r="H19" s="156">
        <f t="shared" si="1"/>
        <v>200000</v>
      </c>
      <c r="I19" s="156">
        <v>85000</v>
      </c>
      <c r="J19" s="156"/>
      <c r="K19" s="156"/>
      <c r="L19" s="156">
        <v>115000</v>
      </c>
      <c r="M19" s="156"/>
      <c r="N19" s="156">
        <f t="shared" si="2"/>
        <v>200000</v>
      </c>
    </row>
    <row r="20" spans="1:14" ht="12.75">
      <c r="A20" s="77" t="s">
        <v>73</v>
      </c>
      <c r="B20" s="109" t="s">
        <v>230</v>
      </c>
      <c r="C20" s="156">
        <f t="shared" si="0"/>
        <v>38150</v>
      </c>
      <c r="D20" s="156">
        <f>SUM(D21:D23)</f>
        <v>38150</v>
      </c>
      <c r="E20" s="156">
        <f>SUM(E21:E23)</f>
        <v>0</v>
      </c>
      <c r="F20" s="156">
        <f>SUM(F21:F23)</f>
        <v>0</v>
      </c>
      <c r="G20" s="156">
        <f>SUM(G21:G23)</f>
        <v>0</v>
      </c>
      <c r="H20" s="156">
        <f t="shared" si="1"/>
        <v>0</v>
      </c>
      <c r="I20" s="156">
        <f>SUM(I21:I23)</f>
        <v>0</v>
      </c>
      <c r="J20" s="156">
        <f>SUM(J21:J23)</f>
        <v>0</v>
      </c>
      <c r="K20" s="156">
        <f>SUM(K21:K23)</f>
        <v>0</v>
      </c>
      <c r="L20" s="156">
        <f>SUM(L21:L23)</f>
        <v>0</v>
      </c>
      <c r="M20" s="156">
        <f>SUM(M21:M23)</f>
        <v>0</v>
      </c>
      <c r="N20" s="156">
        <f t="shared" si="2"/>
        <v>38150</v>
      </c>
    </row>
    <row r="21" spans="1:14" ht="25.5">
      <c r="A21" s="77"/>
      <c r="B21" s="80" t="s">
        <v>255</v>
      </c>
      <c r="C21" s="156">
        <f t="shared" si="0"/>
        <v>23400</v>
      </c>
      <c r="D21" s="156">
        <v>23400</v>
      </c>
      <c r="E21" s="156"/>
      <c r="F21" s="156"/>
      <c r="G21" s="156"/>
      <c r="H21" s="156">
        <f t="shared" si="1"/>
        <v>0</v>
      </c>
      <c r="I21" s="156"/>
      <c r="J21" s="156"/>
      <c r="K21" s="156"/>
      <c r="L21" s="156"/>
      <c r="M21" s="156"/>
      <c r="N21" s="156">
        <f t="shared" si="2"/>
        <v>23400</v>
      </c>
    </row>
    <row r="22" spans="1:14" ht="25.5">
      <c r="A22" s="77"/>
      <c r="B22" s="80" t="s">
        <v>254</v>
      </c>
      <c r="C22" s="156">
        <f t="shared" si="0"/>
        <v>14750</v>
      </c>
      <c r="D22" s="156">
        <f>12750+2000</f>
        <v>14750</v>
      </c>
      <c r="E22" s="156"/>
      <c r="F22" s="156"/>
      <c r="G22" s="156"/>
      <c r="H22" s="156">
        <f t="shared" si="1"/>
        <v>0</v>
      </c>
      <c r="I22" s="156"/>
      <c r="J22" s="156"/>
      <c r="K22" s="156"/>
      <c r="L22" s="156"/>
      <c r="M22" s="156"/>
      <c r="N22" s="156">
        <f t="shared" si="2"/>
        <v>14750</v>
      </c>
    </row>
    <row r="23" spans="1:14" ht="25.5" hidden="1">
      <c r="A23" s="77"/>
      <c r="B23" s="80" t="s">
        <v>244</v>
      </c>
      <c r="C23" s="156">
        <f t="shared" si="0"/>
        <v>0</v>
      </c>
      <c r="D23" s="148"/>
      <c r="E23" s="157"/>
      <c r="F23" s="157"/>
      <c r="G23" s="148"/>
      <c r="H23" s="156">
        <f t="shared" si="1"/>
        <v>0</v>
      </c>
      <c r="I23" s="156"/>
      <c r="J23" s="156"/>
      <c r="K23" s="156"/>
      <c r="L23" s="156"/>
      <c r="M23" s="156"/>
      <c r="N23" s="156">
        <f t="shared" si="2"/>
        <v>0</v>
      </c>
    </row>
    <row r="24" spans="1:15" s="125" customFormat="1" ht="25.5">
      <c r="A24" s="134" t="s">
        <v>280</v>
      </c>
      <c r="B24" s="136" t="s">
        <v>352</v>
      </c>
      <c r="C24" s="173">
        <f t="shared" si="0"/>
        <v>13781304</v>
      </c>
      <c r="D24" s="173">
        <f>D25+D26+D37</f>
        <v>13746304</v>
      </c>
      <c r="E24" s="173">
        <f>E25+E26+E37</f>
        <v>8198023</v>
      </c>
      <c r="F24" s="173">
        <f>F25+F26+F37</f>
        <v>1150164</v>
      </c>
      <c r="G24" s="173">
        <f>G25+G26+G37</f>
        <v>35000</v>
      </c>
      <c r="H24" s="173">
        <f t="shared" si="1"/>
        <v>1217346</v>
      </c>
      <c r="I24" s="173">
        <f>I25+I26+I37</f>
        <v>1073846</v>
      </c>
      <c r="J24" s="173">
        <f>J25+J26+J37</f>
        <v>45721</v>
      </c>
      <c r="K24" s="173">
        <f>K25+K26+K37</f>
        <v>18691</v>
      </c>
      <c r="L24" s="173">
        <f>L25+L26+L37</f>
        <v>143500</v>
      </c>
      <c r="M24" s="173">
        <f>M25+M26</f>
        <v>0</v>
      </c>
      <c r="N24" s="173">
        <f t="shared" si="2"/>
        <v>14998650</v>
      </c>
      <c r="O24" s="135"/>
    </row>
    <row r="25" spans="1:15" s="65" customFormat="1" ht="12.75">
      <c r="A25" s="75" t="s">
        <v>24</v>
      </c>
      <c r="B25" s="102" t="s">
        <v>25</v>
      </c>
      <c r="C25" s="156">
        <f t="shared" si="0"/>
        <v>97675</v>
      </c>
      <c r="D25" s="156">
        <v>97675</v>
      </c>
      <c r="E25" s="156">
        <v>64834</v>
      </c>
      <c r="F25" s="156">
        <v>7376</v>
      </c>
      <c r="G25" s="156"/>
      <c r="H25" s="156">
        <f t="shared" si="1"/>
        <v>0</v>
      </c>
      <c r="I25" s="156"/>
      <c r="J25" s="156"/>
      <c r="K25" s="156"/>
      <c r="L25" s="156"/>
      <c r="M25" s="156"/>
      <c r="N25" s="156">
        <f t="shared" si="2"/>
        <v>97675</v>
      </c>
      <c r="O25" s="69"/>
    </row>
    <row r="26" spans="1:15" s="65" customFormat="1" ht="12.75">
      <c r="A26" s="75" t="s">
        <v>26</v>
      </c>
      <c r="B26" s="102" t="s">
        <v>154</v>
      </c>
      <c r="C26" s="156">
        <f t="shared" si="0"/>
        <v>13680000</v>
      </c>
      <c r="D26" s="156">
        <f>SUM(D27:D36)</f>
        <v>13645000</v>
      </c>
      <c r="E26" s="156">
        <f>SUM(E27:E36)</f>
        <v>8133189</v>
      </c>
      <c r="F26" s="156">
        <f>SUM(F27:F36)</f>
        <v>1142788</v>
      </c>
      <c r="G26" s="156">
        <f>SUM(G27:G36)</f>
        <v>35000</v>
      </c>
      <c r="H26" s="156">
        <f t="shared" si="1"/>
        <v>1214489</v>
      </c>
      <c r="I26" s="156">
        <f>SUM(I27:I34)</f>
        <v>1070989</v>
      </c>
      <c r="J26" s="156">
        <f>SUM(J27:J34)</f>
        <v>45721</v>
      </c>
      <c r="K26" s="156">
        <f>SUM(K27:K34)</f>
        <v>18691</v>
      </c>
      <c r="L26" s="156">
        <f>SUM(L27:L34)</f>
        <v>143500</v>
      </c>
      <c r="M26" s="156">
        <f>SUM(M27:M34)</f>
        <v>0</v>
      </c>
      <c r="N26" s="156">
        <f t="shared" si="2"/>
        <v>14894489</v>
      </c>
      <c r="O26" s="69"/>
    </row>
    <row r="27" spans="1:14" ht="12.75">
      <c r="A27" s="75" t="s">
        <v>82</v>
      </c>
      <c r="B27" s="102" t="s">
        <v>78</v>
      </c>
      <c r="C27" s="156">
        <f t="shared" si="0"/>
        <v>3844190</v>
      </c>
      <c r="D27" s="156">
        <v>3844190</v>
      </c>
      <c r="E27" s="156">
        <v>1952954</v>
      </c>
      <c r="F27" s="156">
        <v>445247</v>
      </c>
      <c r="G27" s="156">
        <f>20000-20000</f>
        <v>0</v>
      </c>
      <c r="H27" s="156">
        <f t="shared" si="1"/>
        <v>526088</v>
      </c>
      <c r="I27" s="156">
        <v>521088</v>
      </c>
      <c r="J27" s="156"/>
      <c r="K27" s="156"/>
      <c r="L27" s="156">
        <v>5000</v>
      </c>
      <c r="M27" s="156"/>
      <c r="N27" s="156">
        <f t="shared" si="2"/>
        <v>4370278</v>
      </c>
    </row>
    <row r="28" spans="1:14" ht="51">
      <c r="A28" s="75" t="s">
        <v>28</v>
      </c>
      <c r="B28" s="102" t="s">
        <v>294</v>
      </c>
      <c r="C28" s="156">
        <f t="shared" si="0"/>
        <v>8918458</v>
      </c>
      <c r="D28" s="156">
        <v>8918458</v>
      </c>
      <c r="E28" s="156">
        <v>5614351</v>
      </c>
      <c r="F28" s="156">
        <v>648554</v>
      </c>
      <c r="G28" s="156"/>
      <c r="H28" s="156">
        <f t="shared" si="1"/>
        <v>626490</v>
      </c>
      <c r="I28" s="156">
        <v>501490</v>
      </c>
      <c r="J28" s="156">
        <v>45168</v>
      </c>
      <c r="K28" s="156">
        <v>18599</v>
      </c>
      <c r="L28" s="156">
        <v>125000</v>
      </c>
      <c r="M28" s="156"/>
      <c r="N28" s="156">
        <f t="shared" si="2"/>
        <v>9544948</v>
      </c>
    </row>
    <row r="29" spans="1:14" ht="12.75">
      <c r="A29" s="75" t="s">
        <v>83</v>
      </c>
      <c r="B29" s="102" t="s">
        <v>98</v>
      </c>
      <c r="C29" s="156">
        <f t="shared" si="0"/>
        <v>217209</v>
      </c>
      <c r="D29" s="156">
        <v>217209</v>
      </c>
      <c r="E29" s="156">
        <v>159122</v>
      </c>
      <c r="F29" s="156"/>
      <c r="G29" s="156"/>
      <c r="H29" s="156">
        <f t="shared" si="1"/>
        <v>0</v>
      </c>
      <c r="I29" s="156"/>
      <c r="J29" s="156"/>
      <c r="K29" s="156"/>
      <c r="L29" s="156"/>
      <c r="M29" s="156"/>
      <c r="N29" s="156">
        <f t="shared" si="2"/>
        <v>217209</v>
      </c>
    </row>
    <row r="30" spans="1:14" ht="51" hidden="1">
      <c r="A30" s="45" t="s">
        <v>389</v>
      </c>
      <c r="B30" s="52" t="s">
        <v>390</v>
      </c>
      <c r="C30" s="156">
        <f t="shared" si="0"/>
        <v>0</v>
      </c>
      <c r="D30" s="156"/>
      <c r="E30" s="156"/>
      <c r="F30" s="156"/>
      <c r="G30" s="156"/>
      <c r="H30" s="156">
        <f t="shared" si="1"/>
        <v>0</v>
      </c>
      <c r="I30" s="156"/>
      <c r="J30" s="156"/>
      <c r="K30" s="156"/>
      <c r="L30" s="156"/>
      <c r="M30" s="156"/>
      <c r="N30" s="156">
        <f t="shared" si="2"/>
        <v>0</v>
      </c>
    </row>
    <row r="31" spans="1:14" ht="25.5">
      <c r="A31" s="75" t="s">
        <v>31</v>
      </c>
      <c r="B31" s="102" t="s">
        <v>295</v>
      </c>
      <c r="C31" s="156">
        <f t="shared" si="0"/>
        <v>126655</v>
      </c>
      <c r="D31" s="156">
        <v>126655</v>
      </c>
      <c r="E31" s="156">
        <v>78885</v>
      </c>
      <c r="F31" s="156">
        <v>7578</v>
      </c>
      <c r="G31" s="156"/>
      <c r="H31" s="156">
        <f t="shared" si="1"/>
        <v>0</v>
      </c>
      <c r="I31" s="156"/>
      <c r="J31" s="156"/>
      <c r="K31" s="156"/>
      <c r="L31" s="156"/>
      <c r="M31" s="156"/>
      <c r="N31" s="156">
        <f t="shared" si="2"/>
        <v>126655</v>
      </c>
    </row>
    <row r="32" spans="1:14" ht="25.5">
      <c r="A32" s="75" t="s">
        <v>32</v>
      </c>
      <c r="B32" s="102" t="s">
        <v>296</v>
      </c>
      <c r="C32" s="156">
        <f t="shared" si="0"/>
        <v>247694</v>
      </c>
      <c r="D32" s="156">
        <v>247694</v>
      </c>
      <c r="E32" s="156">
        <v>162642</v>
      </c>
      <c r="F32" s="156">
        <v>7578</v>
      </c>
      <c r="G32" s="156"/>
      <c r="H32" s="156">
        <f t="shared" si="1"/>
        <v>0</v>
      </c>
      <c r="I32" s="156"/>
      <c r="J32" s="156"/>
      <c r="K32" s="156"/>
      <c r="L32" s="156"/>
      <c r="M32" s="156"/>
      <c r="N32" s="156">
        <f t="shared" si="2"/>
        <v>247694</v>
      </c>
    </row>
    <row r="33" spans="1:14" ht="25.5">
      <c r="A33" s="75" t="s">
        <v>33</v>
      </c>
      <c r="B33" s="102" t="s">
        <v>34</v>
      </c>
      <c r="C33" s="156">
        <f t="shared" si="0"/>
        <v>202632</v>
      </c>
      <c r="D33" s="156">
        <v>167632</v>
      </c>
      <c r="E33" s="156">
        <v>99154</v>
      </c>
      <c r="F33" s="156">
        <v>8357</v>
      </c>
      <c r="G33" s="156">
        <v>35000</v>
      </c>
      <c r="H33" s="156">
        <f t="shared" si="1"/>
        <v>39060</v>
      </c>
      <c r="I33" s="156">
        <v>31560</v>
      </c>
      <c r="J33" s="156"/>
      <c r="K33" s="156"/>
      <c r="L33" s="156">
        <v>7500</v>
      </c>
      <c r="M33" s="156"/>
      <c r="N33" s="156">
        <f t="shared" si="2"/>
        <v>241692</v>
      </c>
    </row>
    <row r="34" spans="1:14" ht="12.75">
      <c r="A34" s="75" t="s">
        <v>106</v>
      </c>
      <c r="B34" s="102" t="s">
        <v>99</v>
      </c>
      <c r="C34" s="156">
        <f t="shared" si="0"/>
        <v>119187</v>
      </c>
      <c r="D34" s="156">
        <v>119187</v>
      </c>
      <c r="E34" s="156">
        <v>66081</v>
      </c>
      <c r="F34" s="156">
        <v>25474</v>
      </c>
      <c r="G34" s="156"/>
      <c r="H34" s="156">
        <f t="shared" si="1"/>
        <v>22851</v>
      </c>
      <c r="I34" s="156">
        <v>16851</v>
      </c>
      <c r="J34" s="156">
        <v>553</v>
      </c>
      <c r="K34" s="156">
        <v>92</v>
      </c>
      <c r="L34" s="156">
        <v>6000</v>
      </c>
      <c r="M34" s="156"/>
      <c r="N34" s="156">
        <f t="shared" si="2"/>
        <v>142038</v>
      </c>
    </row>
    <row r="35" spans="1:14" s="17" customFormat="1" ht="38.25">
      <c r="A35" s="45" t="s">
        <v>387</v>
      </c>
      <c r="B35" s="27" t="s">
        <v>388</v>
      </c>
      <c r="C35" s="148">
        <f t="shared" si="0"/>
        <v>3975</v>
      </c>
      <c r="D35" s="148">
        <v>3975</v>
      </c>
      <c r="E35" s="148"/>
      <c r="F35" s="148"/>
      <c r="G35" s="148"/>
      <c r="H35" s="148">
        <f t="shared" si="1"/>
        <v>0</v>
      </c>
      <c r="I35" s="148"/>
      <c r="J35" s="148"/>
      <c r="K35" s="148"/>
      <c r="L35" s="148"/>
      <c r="M35" s="148"/>
      <c r="N35" s="147">
        <f t="shared" si="2"/>
        <v>3975</v>
      </c>
    </row>
    <row r="36" spans="1:16" ht="89.25" hidden="1">
      <c r="A36" s="45" t="s">
        <v>416</v>
      </c>
      <c r="B36" s="27" t="s">
        <v>417</v>
      </c>
      <c r="C36" s="144">
        <f t="shared" si="0"/>
        <v>0</v>
      </c>
      <c r="D36" s="144"/>
      <c r="E36" s="144"/>
      <c r="F36" s="144"/>
      <c r="G36" s="144"/>
      <c r="H36" s="144">
        <f t="shared" si="1"/>
        <v>0</v>
      </c>
      <c r="I36" s="144"/>
      <c r="J36" s="144"/>
      <c r="K36" s="144"/>
      <c r="L36" s="144"/>
      <c r="M36" s="144"/>
      <c r="N36" s="143">
        <f t="shared" si="2"/>
        <v>0</v>
      </c>
      <c r="O36" s="145"/>
      <c r="P36" s="145"/>
    </row>
    <row r="37" spans="1:16" ht="63.75">
      <c r="A37" s="45" t="s">
        <v>323</v>
      </c>
      <c r="B37" s="27" t="s">
        <v>436</v>
      </c>
      <c r="C37" s="144">
        <f t="shared" si="0"/>
        <v>3629</v>
      </c>
      <c r="D37" s="156">
        <v>3629</v>
      </c>
      <c r="E37" s="144"/>
      <c r="F37" s="144"/>
      <c r="G37" s="144"/>
      <c r="H37" s="144">
        <f t="shared" si="1"/>
        <v>2857</v>
      </c>
      <c r="I37" s="156">
        <v>2857</v>
      </c>
      <c r="J37" s="144"/>
      <c r="K37" s="144"/>
      <c r="L37" s="144"/>
      <c r="M37" s="144"/>
      <c r="N37" s="143">
        <f t="shared" si="2"/>
        <v>6486</v>
      </c>
      <c r="O37" s="145"/>
      <c r="P37" s="145"/>
    </row>
    <row r="38" spans="1:15" s="125" customFormat="1" ht="38.25">
      <c r="A38" s="134" t="s">
        <v>281</v>
      </c>
      <c r="B38" s="137" t="s">
        <v>353</v>
      </c>
      <c r="C38" s="173">
        <f t="shared" si="0"/>
        <v>8545734</v>
      </c>
      <c r="D38" s="173">
        <f>D39+D40</f>
        <v>8517734</v>
      </c>
      <c r="E38" s="173">
        <f>E39+E40</f>
        <v>337978</v>
      </c>
      <c r="F38" s="173">
        <f>F39+F40</f>
        <v>28922</v>
      </c>
      <c r="G38" s="173">
        <f>G39+G40</f>
        <v>28000</v>
      </c>
      <c r="H38" s="173">
        <f t="shared" si="1"/>
        <v>0</v>
      </c>
      <c r="I38" s="173">
        <f>I39+I40</f>
        <v>0</v>
      </c>
      <c r="J38" s="173">
        <f>J39+J40</f>
        <v>0</v>
      </c>
      <c r="K38" s="173">
        <f>K39+K40</f>
        <v>0</v>
      </c>
      <c r="L38" s="173">
        <f>L39+L40</f>
        <v>0</v>
      </c>
      <c r="M38" s="173">
        <f>M39+M40</f>
        <v>0</v>
      </c>
      <c r="N38" s="173">
        <f t="shared" si="2"/>
        <v>8545734</v>
      </c>
      <c r="O38" s="135"/>
    </row>
    <row r="39" spans="1:15" s="65" customFormat="1" ht="12.75">
      <c r="A39" s="75" t="s">
        <v>24</v>
      </c>
      <c r="B39" s="102" t="s">
        <v>25</v>
      </c>
      <c r="C39" s="156">
        <f t="shared" si="0"/>
        <v>559129</v>
      </c>
      <c r="D39" s="156">
        <v>531129</v>
      </c>
      <c r="E39" s="156">
        <v>337978</v>
      </c>
      <c r="F39" s="156">
        <v>28922</v>
      </c>
      <c r="G39" s="156">
        <v>28000</v>
      </c>
      <c r="H39" s="156">
        <f t="shared" si="1"/>
        <v>0</v>
      </c>
      <c r="I39" s="156"/>
      <c r="J39" s="156"/>
      <c r="K39" s="156"/>
      <c r="L39" s="156"/>
      <c r="M39" s="156"/>
      <c r="N39" s="156">
        <f t="shared" si="2"/>
        <v>559129</v>
      </c>
      <c r="O39" s="69"/>
    </row>
    <row r="40" spans="1:15" s="65" customFormat="1" ht="25.5">
      <c r="A40" s="75" t="s">
        <v>49</v>
      </c>
      <c r="B40" s="93" t="s">
        <v>150</v>
      </c>
      <c r="C40" s="156">
        <f t="shared" si="0"/>
        <v>7986605</v>
      </c>
      <c r="D40" s="156">
        <f>D41+D42+D43+D44+D45+D47+D48+D49+D51+D52+D53+D54+D55+D57+D58+D62+D65+D70+D46+D63+D64+D56</f>
        <v>7986605</v>
      </c>
      <c r="E40" s="156"/>
      <c r="F40" s="156"/>
      <c r="G40" s="156"/>
      <c r="H40" s="156">
        <f t="shared" si="1"/>
        <v>0</v>
      </c>
      <c r="I40" s="156"/>
      <c r="J40" s="156"/>
      <c r="K40" s="156"/>
      <c r="L40" s="156"/>
      <c r="M40" s="156"/>
      <c r="N40" s="156">
        <f t="shared" si="2"/>
        <v>7986605</v>
      </c>
      <c r="O40" s="69"/>
    </row>
    <row r="41" spans="1:14" ht="102">
      <c r="A41" s="75" t="s">
        <v>165</v>
      </c>
      <c r="B41" s="89" t="s">
        <v>443</v>
      </c>
      <c r="C41" s="156">
        <f t="shared" si="0"/>
        <v>3084165</v>
      </c>
      <c r="D41" s="156">
        <v>3084165</v>
      </c>
      <c r="E41" s="156"/>
      <c r="F41" s="156"/>
      <c r="G41" s="156"/>
      <c r="H41" s="156">
        <f t="shared" si="1"/>
        <v>0</v>
      </c>
      <c r="I41" s="156"/>
      <c r="J41" s="156"/>
      <c r="K41" s="156"/>
      <c r="L41" s="156"/>
      <c r="M41" s="156"/>
      <c r="N41" s="156">
        <f t="shared" si="2"/>
        <v>3084165</v>
      </c>
    </row>
    <row r="42" spans="1:14" ht="63.75">
      <c r="A42" s="75" t="s">
        <v>171</v>
      </c>
      <c r="B42" s="89" t="s">
        <v>444</v>
      </c>
      <c r="C42" s="156">
        <f t="shared" si="0"/>
        <v>62754</v>
      </c>
      <c r="D42" s="156">
        <v>62754</v>
      </c>
      <c r="E42" s="156"/>
      <c r="F42" s="156"/>
      <c r="G42" s="156"/>
      <c r="H42" s="156">
        <f t="shared" si="1"/>
        <v>0</v>
      </c>
      <c r="I42" s="156"/>
      <c r="J42" s="156"/>
      <c r="K42" s="156"/>
      <c r="L42" s="156"/>
      <c r="M42" s="156"/>
      <c r="N42" s="156">
        <f t="shared" si="2"/>
        <v>62754</v>
      </c>
    </row>
    <row r="43" spans="1:14" ht="89.25">
      <c r="A43" s="75" t="s">
        <v>172</v>
      </c>
      <c r="B43" s="20" t="s">
        <v>445</v>
      </c>
      <c r="C43" s="156">
        <f t="shared" si="0"/>
        <v>554031</v>
      </c>
      <c r="D43" s="156">
        <v>554031</v>
      </c>
      <c r="E43" s="156"/>
      <c r="F43" s="156"/>
      <c r="G43" s="156"/>
      <c r="H43" s="156">
        <f t="shared" si="1"/>
        <v>0</v>
      </c>
      <c r="I43" s="156"/>
      <c r="J43" s="156"/>
      <c r="K43" s="156"/>
      <c r="L43" s="156"/>
      <c r="M43" s="156"/>
      <c r="N43" s="156">
        <f t="shared" si="2"/>
        <v>554031</v>
      </c>
    </row>
    <row r="44" spans="1:14" ht="357">
      <c r="A44" s="75" t="s">
        <v>173</v>
      </c>
      <c r="B44" s="20" t="s">
        <v>1</v>
      </c>
      <c r="C44" s="156">
        <f t="shared" si="0"/>
        <v>72000</v>
      </c>
      <c r="D44" s="156">
        <v>72000</v>
      </c>
      <c r="E44" s="156"/>
      <c r="F44" s="156"/>
      <c r="G44" s="156"/>
      <c r="H44" s="156">
        <f t="shared" si="1"/>
        <v>0</v>
      </c>
      <c r="I44" s="156"/>
      <c r="J44" s="156"/>
      <c r="K44" s="156"/>
      <c r="L44" s="156"/>
      <c r="M44" s="156"/>
      <c r="N44" s="156">
        <f t="shared" si="2"/>
        <v>72000</v>
      </c>
    </row>
    <row r="45" spans="1:14" ht="280.5">
      <c r="A45" s="75" t="s">
        <v>174</v>
      </c>
      <c r="B45" s="20" t="s">
        <v>2</v>
      </c>
      <c r="C45" s="156">
        <f t="shared" si="0"/>
        <v>1200</v>
      </c>
      <c r="D45" s="156">
        <v>1200</v>
      </c>
      <c r="E45" s="156"/>
      <c r="F45" s="156"/>
      <c r="G45" s="156"/>
      <c r="H45" s="156">
        <f t="shared" si="1"/>
        <v>0</v>
      </c>
      <c r="I45" s="156"/>
      <c r="J45" s="156"/>
      <c r="K45" s="156"/>
      <c r="L45" s="156"/>
      <c r="M45" s="156"/>
      <c r="N45" s="156">
        <f t="shared" si="2"/>
        <v>1200</v>
      </c>
    </row>
    <row r="46" spans="1:14" ht="127.5">
      <c r="A46" s="13" t="s">
        <v>166</v>
      </c>
      <c r="B46" s="20" t="s">
        <v>13</v>
      </c>
      <c r="C46" s="156">
        <f t="shared" si="0"/>
        <v>15492</v>
      </c>
      <c r="D46" s="156">
        <v>15492</v>
      </c>
      <c r="E46" s="156"/>
      <c r="F46" s="156"/>
      <c r="G46" s="156"/>
      <c r="H46" s="156">
        <f t="shared" si="1"/>
        <v>0</v>
      </c>
      <c r="I46" s="156"/>
      <c r="J46" s="156"/>
      <c r="K46" s="156"/>
      <c r="L46" s="156"/>
      <c r="M46" s="156"/>
      <c r="N46" s="156">
        <f t="shared" si="2"/>
        <v>15492</v>
      </c>
    </row>
    <row r="47" spans="1:14" ht="38.25">
      <c r="A47" s="75" t="s">
        <v>175</v>
      </c>
      <c r="B47" s="20" t="s">
        <v>176</v>
      </c>
      <c r="C47" s="156">
        <f t="shared" si="0"/>
        <v>85500</v>
      </c>
      <c r="D47" s="156">
        <v>85500</v>
      </c>
      <c r="E47" s="156"/>
      <c r="F47" s="156"/>
      <c r="G47" s="156"/>
      <c r="H47" s="156">
        <f t="shared" si="1"/>
        <v>0</v>
      </c>
      <c r="I47" s="156"/>
      <c r="J47" s="156"/>
      <c r="K47" s="156"/>
      <c r="L47" s="156"/>
      <c r="M47" s="156"/>
      <c r="N47" s="156">
        <f t="shared" si="2"/>
        <v>85500</v>
      </c>
    </row>
    <row r="48" spans="1:14" ht="38.25">
      <c r="A48" s="75" t="s">
        <v>177</v>
      </c>
      <c r="B48" s="20" t="s">
        <v>3</v>
      </c>
      <c r="C48" s="156">
        <f t="shared" si="0"/>
        <v>2000</v>
      </c>
      <c r="D48" s="156">
        <v>2000</v>
      </c>
      <c r="E48" s="156"/>
      <c r="F48" s="156"/>
      <c r="G48" s="156"/>
      <c r="H48" s="156">
        <f t="shared" si="1"/>
        <v>0</v>
      </c>
      <c r="I48" s="156"/>
      <c r="J48" s="156"/>
      <c r="K48" s="156"/>
      <c r="L48" s="156"/>
      <c r="M48" s="156"/>
      <c r="N48" s="156">
        <f t="shared" si="2"/>
        <v>2000</v>
      </c>
    </row>
    <row r="49" spans="1:14" ht="25.5">
      <c r="A49" s="75" t="s">
        <v>178</v>
      </c>
      <c r="B49" s="109" t="s">
        <v>213</v>
      </c>
      <c r="C49" s="156">
        <f t="shared" si="0"/>
        <v>26785</v>
      </c>
      <c r="D49" s="156">
        <v>26785</v>
      </c>
      <c r="E49" s="156"/>
      <c r="F49" s="156"/>
      <c r="G49" s="156"/>
      <c r="H49" s="156">
        <f t="shared" si="1"/>
        <v>0</v>
      </c>
      <c r="I49" s="156"/>
      <c r="J49" s="156"/>
      <c r="K49" s="156"/>
      <c r="L49" s="156"/>
      <c r="M49" s="156"/>
      <c r="N49" s="156">
        <f t="shared" si="2"/>
        <v>26785</v>
      </c>
    </row>
    <row r="50" spans="1:14" ht="25.5" hidden="1">
      <c r="A50" s="75" t="s">
        <v>129</v>
      </c>
      <c r="B50" s="93" t="s">
        <v>256</v>
      </c>
      <c r="C50" s="156">
        <f t="shared" si="0"/>
        <v>0</v>
      </c>
      <c r="D50" s="156"/>
      <c r="E50" s="156"/>
      <c r="F50" s="156"/>
      <c r="G50" s="156"/>
      <c r="H50" s="156">
        <f t="shared" si="1"/>
        <v>0</v>
      </c>
      <c r="I50" s="156"/>
      <c r="J50" s="156"/>
      <c r="K50" s="156"/>
      <c r="L50" s="156"/>
      <c r="M50" s="156"/>
      <c r="N50" s="156">
        <f t="shared" si="2"/>
        <v>0</v>
      </c>
    </row>
    <row r="51" spans="1:14" ht="12.75">
      <c r="A51" s="75" t="s">
        <v>130</v>
      </c>
      <c r="B51" s="93" t="s">
        <v>214</v>
      </c>
      <c r="C51" s="156">
        <f t="shared" si="0"/>
        <v>124740</v>
      </c>
      <c r="D51" s="156">
        <v>124740</v>
      </c>
      <c r="E51" s="156"/>
      <c r="F51" s="156"/>
      <c r="G51" s="156"/>
      <c r="H51" s="156">
        <f t="shared" si="1"/>
        <v>0</v>
      </c>
      <c r="I51" s="156"/>
      <c r="J51" s="156"/>
      <c r="K51" s="156"/>
      <c r="L51" s="156"/>
      <c r="M51" s="156"/>
      <c r="N51" s="156">
        <f t="shared" si="2"/>
        <v>124740</v>
      </c>
    </row>
    <row r="52" spans="1:14" ht="25.5">
      <c r="A52" s="75" t="s">
        <v>131</v>
      </c>
      <c r="B52" s="93" t="s">
        <v>226</v>
      </c>
      <c r="C52" s="156">
        <f t="shared" si="0"/>
        <v>844560</v>
      </c>
      <c r="D52" s="156">
        <v>844560</v>
      </c>
      <c r="E52" s="156"/>
      <c r="F52" s="156"/>
      <c r="G52" s="156"/>
      <c r="H52" s="156">
        <f t="shared" si="1"/>
        <v>0</v>
      </c>
      <c r="I52" s="156"/>
      <c r="J52" s="156"/>
      <c r="K52" s="156"/>
      <c r="L52" s="156"/>
      <c r="M52" s="156"/>
      <c r="N52" s="156">
        <f t="shared" si="2"/>
        <v>844560</v>
      </c>
    </row>
    <row r="53" spans="1:14" ht="25.5">
      <c r="A53" s="75" t="s">
        <v>132</v>
      </c>
      <c r="B53" s="93" t="s">
        <v>105</v>
      </c>
      <c r="C53" s="156">
        <f t="shared" si="0"/>
        <v>1340912</v>
      </c>
      <c r="D53" s="156">
        <v>1340912</v>
      </c>
      <c r="E53" s="156"/>
      <c r="F53" s="156"/>
      <c r="G53" s="156"/>
      <c r="H53" s="156">
        <f t="shared" si="1"/>
        <v>0</v>
      </c>
      <c r="I53" s="156"/>
      <c r="J53" s="156"/>
      <c r="K53" s="156"/>
      <c r="L53" s="156"/>
      <c r="M53" s="156"/>
      <c r="N53" s="156">
        <f t="shared" si="2"/>
        <v>1340912</v>
      </c>
    </row>
    <row r="54" spans="1:14" ht="25.5">
      <c r="A54" s="75" t="s">
        <v>91</v>
      </c>
      <c r="B54" s="109" t="s">
        <v>201</v>
      </c>
      <c r="C54" s="156">
        <f t="shared" si="0"/>
        <v>117852</v>
      </c>
      <c r="D54" s="156">
        <v>117852</v>
      </c>
      <c r="E54" s="156"/>
      <c r="F54" s="156"/>
      <c r="G54" s="156"/>
      <c r="H54" s="156">
        <f t="shared" si="1"/>
        <v>0</v>
      </c>
      <c r="I54" s="156"/>
      <c r="J54" s="156"/>
      <c r="K54" s="156"/>
      <c r="L54" s="156"/>
      <c r="M54" s="156"/>
      <c r="N54" s="156">
        <f t="shared" si="2"/>
        <v>117852</v>
      </c>
    </row>
    <row r="55" spans="1:14" ht="12.75">
      <c r="A55" s="75" t="s">
        <v>245</v>
      </c>
      <c r="B55" s="109" t="s">
        <v>247</v>
      </c>
      <c r="C55" s="156">
        <f t="shared" si="0"/>
        <v>677758</v>
      </c>
      <c r="D55" s="156">
        <v>677758</v>
      </c>
      <c r="E55" s="156"/>
      <c r="F55" s="156"/>
      <c r="G55" s="156"/>
      <c r="H55" s="156">
        <f t="shared" si="1"/>
        <v>0</v>
      </c>
      <c r="I55" s="156"/>
      <c r="J55" s="156"/>
      <c r="K55" s="156"/>
      <c r="L55" s="156"/>
      <c r="M55" s="156"/>
      <c r="N55" s="156">
        <f t="shared" si="2"/>
        <v>677758</v>
      </c>
    </row>
    <row r="56" spans="1:14" ht="12.75">
      <c r="A56" s="75" t="s">
        <v>440</v>
      </c>
      <c r="B56" s="103" t="s">
        <v>441</v>
      </c>
      <c r="C56" s="156">
        <f t="shared" si="0"/>
        <v>68850</v>
      </c>
      <c r="D56" s="156">
        <v>68850</v>
      </c>
      <c r="E56" s="156"/>
      <c r="F56" s="156"/>
      <c r="G56" s="156"/>
      <c r="H56" s="156"/>
      <c r="I56" s="156"/>
      <c r="J56" s="156"/>
      <c r="K56" s="156"/>
      <c r="L56" s="156"/>
      <c r="M56" s="156"/>
      <c r="N56" s="156">
        <f t="shared" si="2"/>
        <v>68850</v>
      </c>
    </row>
    <row r="57" spans="1:14" ht="25.5">
      <c r="A57" s="75" t="s">
        <v>182</v>
      </c>
      <c r="B57" s="110" t="s">
        <v>224</v>
      </c>
      <c r="C57" s="156">
        <f t="shared" si="0"/>
        <v>352800</v>
      </c>
      <c r="D57" s="156">
        <v>352800</v>
      </c>
      <c r="E57" s="156"/>
      <c r="F57" s="156"/>
      <c r="G57" s="156"/>
      <c r="H57" s="156">
        <f t="shared" si="1"/>
        <v>0</v>
      </c>
      <c r="I57" s="156"/>
      <c r="J57" s="156"/>
      <c r="K57" s="156"/>
      <c r="L57" s="156"/>
      <c r="M57" s="156"/>
      <c r="N57" s="156">
        <f t="shared" si="2"/>
        <v>352800</v>
      </c>
    </row>
    <row r="58" spans="1:15" s="65" customFormat="1" ht="38.25">
      <c r="A58" s="76" t="s">
        <v>92</v>
      </c>
      <c r="B58" s="111" t="s">
        <v>151</v>
      </c>
      <c r="C58" s="156">
        <f t="shared" si="0"/>
        <v>327728</v>
      </c>
      <c r="D58" s="156">
        <v>327728</v>
      </c>
      <c r="E58" s="156"/>
      <c r="F58" s="156"/>
      <c r="G58" s="156"/>
      <c r="H58" s="156">
        <f t="shared" si="1"/>
        <v>0</v>
      </c>
      <c r="I58" s="156"/>
      <c r="J58" s="156"/>
      <c r="K58" s="156"/>
      <c r="L58" s="156"/>
      <c r="M58" s="156"/>
      <c r="N58" s="156">
        <f t="shared" si="2"/>
        <v>327728</v>
      </c>
      <c r="O58" s="69"/>
    </row>
    <row r="59" spans="1:14" ht="12.75">
      <c r="A59" s="76"/>
      <c r="B59" s="109" t="s">
        <v>148</v>
      </c>
      <c r="C59" s="156"/>
      <c r="D59" s="156"/>
      <c r="E59" s="156"/>
      <c r="F59" s="156"/>
      <c r="G59" s="156"/>
      <c r="H59" s="156"/>
      <c r="I59" s="156"/>
      <c r="J59" s="156"/>
      <c r="K59" s="156"/>
      <c r="L59" s="156"/>
      <c r="M59" s="156"/>
      <c r="N59" s="156"/>
    </row>
    <row r="60" spans="1:14" ht="63.75">
      <c r="A60" s="76"/>
      <c r="B60" s="109" t="s">
        <v>227</v>
      </c>
      <c r="C60" s="156">
        <f t="shared" si="0"/>
        <v>317560</v>
      </c>
      <c r="D60" s="156">
        <v>317560</v>
      </c>
      <c r="E60" s="156"/>
      <c r="F60" s="156"/>
      <c r="G60" s="156"/>
      <c r="H60" s="156">
        <f t="shared" si="1"/>
        <v>0</v>
      </c>
      <c r="I60" s="156"/>
      <c r="J60" s="156"/>
      <c r="K60" s="156"/>
      <c r="L60" s="156"/>
      <c r="M60" s="156"/>
      <c r="N60" s="156">
        <f t="shared" si="2"/>
        <v>317560</v>
      </c>
    </row>
    <row r="61" spans="1:14" ht="38.25">
      <c r="A61" s="76"/>
      <c r="B61" s="109" t="s">
        <v>228</v>
      </c>
      <c r="C61" s="156">
        <f t="shared" si="0"/>
        <v>10168</v>
      </c>
      <c r="D61" s="156">
        <v>10168</v>
      </c>
      <c r="E61" s="156"/>
      <c r="F61" s="156"/>
      <c r="G61" s="156"/>
      <c r="H61" s="156">
        <f t="shared" si="1"/>
        <v>0</v>
      </c>
      <c r="I61" s="156"/>
      <c r="J61" s="156"/>
      <c r="K61" s="156"/>
      <c r="L61" s="156"/>
      <c r="M61" s="156"/>
      <c r="N61" s="156">
        <f t="shared" si="2"/>
        <v>10168</v>
      </c>
    </row>
    <row r="62" spans="1:15" s="65" customFormat="1" ht="25.5">
      <c r="A62" s="75" t="s">
        <v>50</v>
      </c>
      <c r="B62" s="93" t="s">
        <v>206</v>
      </c>
      <c r="C62" s="156">
        <f t="shared" si="0"/>
        <v>41600</v>
      </c>
      <c r="D62" s="156">
        <v>41600</v>
      </c>
      <c r="E62" s="156"/>
      <c r="F62" s="156"/>
      <c r="G62" s="156"/>
      <c r="H62" s="156">
        <f t="shared" si="1"/>
        <v>0</v>
      </c>
      <c r="I62" s="156"/>
      <c r="J62" s="156"/>
      <c r="K62" s="156"/>
      <c r="L62" s="156"/>
      <c r="M62" s="156"/>
      <c r="N62" s="156">
        <f t="shared" si="2"/>
        <v>41600</v>
      </c>
      <c r="O62" s="69"/>
    </row>
    <row r="63" spans="1:14" ht="25.5">
      <c r="A63" s="75" t="s">
        <v>167</v>
      </c>
      <c r="B63" s="186" t="s">
        <v>438</v>
      </c>
      <c r="C63" s="156">
        <f t="shared" si="0"/>
        <v>25350</v>
      </c>
      <c r="D63" s="156">
        <v>25350</v>
      </c>
      <c r="E63" s="156"/>
      <c r="F63" s="156"/>
      <c r="G63" s="156"/>
      <c r="H63" s="156">
        <f t="shared" si="1"/>
        <v>0</v>
      </c>
      <c r="I63" s="156"/>
      <c r="J63" s="156"/>
      <c r="K63" s="156"/>
      <c r="L63" s="156"/>
      <c r="M63" s="156"/>
      <c r="N63" s="156">
        <f t="shared" si="2"/>
        <v>25350</v>
      </c>
    </row>
    <row r="64" spans="1:15" s="65" customFormat="1" ht="25.5" hidden="1">
      <c r="A64" s="90" t="s">
        <v>335</v>
      </c>
      <c r="B64" s="80" t="s">
        <v>410</v>
      </c>
      <c r="C64" s="156">
        <f t="shared" si="0"/>
        <v>0</v>
      </c>
      <c r="D64" s="156"/>
      <c r="E64" s="156"/>
      <c r="F64" s="156"/>
      <c r="G64" s="156"/>
      <c r="H64" s="156"/>
      <c r="I64" s="156"/>
      <c r="J64" s="156"/>
      <c r="K64" s="156"/>
      <c r="L64" s="156"/>
      <c r="M64" s="156"/>
      <c r="N64" s="156">
        <f t="shared" si="2"/>
        <v>0</v>
      </c>
      <c r="O64" s="69"/>
    </row>
    <row r="65" spans="1:14" ht="38.25" hidden="1">
      <c r="A65" s="75" t="s">
        <v>332</v>
      </c>
      <c r="B65" s="93" t="s">
        <v>333</v>
      </c>
      <c r="C65" s="156">
        <f t="shared" si="0"/>
        <v>0</v>
      </c>
      <c r="D65" s="156">
        <f>D67+D68</f>
        <v>0</v>
      </c>
      <c r="E65" s="156"/>
      <c r="F65" s="156"/>
      <c r="G65" s="156"/>
      <c r="H65" s="156">
        <f t="shared" si="1"/>
        <v>0</v>
      </c>
      <c r="I65" s="156"/>
      <c r="J65" s="156"/>
      <c r="K65" s="156"/>
      <c r="L65" s="156"/>
      <c r="M65" s="156"/>
      <c r="N65" s="156">
        <f t="shared" si="2"/>
        <v>0</v>
      </c>
    </row>
    <row r="66" spans="1:14" ht="12.75" hidden="1">
      <c r="A66" s="75"/>
      <c r="B66" s="109" t="s">
        <v>148</v>
      </c>
      <c r="C66" s="156"/>
      <c r="D66" s="156"/>
      <c r="E66" s="156"/>
      <c r="F66" s="156"/>
      <c r="G66" s="156"/>
      <c r="H66" s="156"/>
      <c r="I66" s="156"/>
      <c r="J66" s="156"/>
      <c r="K66" s="156"/>
      <c r="L66" s="156"/>
      <c r="M66" s="156"/>
      <c r="N66" s="156"/>
    </row>
    <row r="67" spans="1:14" ht="63.75" hidden="1">
      <c r="A67" s="75"/>
      <c r="B67" s="109" t="s">
        <v>227</v>
      </c>
      <c r="C67" s="156">
        <f t="shared" si="0"/>
        <v>0</v>
      </c>
      <c r="D67" s="156"/>
      <c r="E67" s="156"/>
      <c r="F67" s="156"/>
      <c r="G67" s="156"/>
      <c r="H67" s="156">
        <f>I67+L67</f>
        <v>0</v>
      </c>
      <c r="I67" s="156"/>
      <c r="J67" s="156"/>
      <c r="K67" s="156"/>
      <c r="L67" s="156"/>
      <c r="M67" s="156"/>
      <c r="N67" s="156">
        <f>C67+H67</f>
        <v>0</v>
      </c>
    </row>
    <row r="68" spans="1:14" ht="38.25" hidden="1">
      <c r="A68" s="75"/>
      <c r="B68" s="109" t="s">
        <v>228</v>
      </c>
      <c r="C68" s="156">
        <f t="shared" si="0"/>
        <v>0</v>
      </c>
      <c r="D68" s="156"/>
      <c r="E68" s="156"/>
      <c r="F68" s="156"/>
      <c r="G68" s="156"/>
      <c r="H68" s="156">
        <f>I68+L68</f>
        <v>0</v>
      </c>
      <c r="I68" s="156"/>
      <c r="J68" s="156"/>
      <c r="K68" s="156"/>
      <c r="L68" s="156"/>
      <c r="M68" s="156"/>
      <c r="N68" s="156">
        <f>C68+H68</f>
        <v>0</v>
      </c>
    </row>
    <row r="69" spans="1:14" ht="38.25" hidden="1">
      <c r="A69" s="75" t="s">
        <v>167</v>
      </c>
      <c r="B69" s="93" t="s">
        <v>239</v>
      </c>
      <c r="C69" s="156">
        <f>D69+G69</f>
        <v>0</v>
      </c>
      <c r="D69" s="156"/>
      <c r="E69" s="156"/>
      <c r="F69" s="156"/>
      <c r="G69" s="156"/>
      <c r="H69" s="156">
        <f>I69+L69</f>
        <v>0</v>
      </c>
      <c r="I69" s="156"/>
      <c r="J69" s="156"/>
      <c r="K69" s="156"/>
      <c r="L69" s="156"/>
      <c r="M69" s="156"/>
      <c r="N69" s="156">
        <f>C69+H69</f>
        <v>0</v>
      </c>
    </row>
    <row r="70" spans="1:14" ht="25.5">
      <c r="A70" s="75" t="s">
        <v>123</v>
      </c>
      <c r="B70" s="109" t="s">
        <v>152</v>
      </c>
      <c r="C70" s="156">
        <f t="shared" si="0"/>
        <v>160528</v>
      </c>
      <c r="D70" s="156">
        <v>160528</v>
      </c>
      <c r="E70" s="156"/>
      <c r="F70" s="156"/>
      <c r="G70" s="156"/>
      <c r="H70" s="156">
        <f t="shared" si="1"/>
        <v>0</v>
      </c>
      <c r="I70" s="156"/>
      <c r="J70" s="156"/>
      <c r="K70" s="156"/>
      <c r="L70" s="156"/>
      <c r="M70" s="156"/>
      <c r="N70" s="156">
        <f t="shared" si="2"/>
        <v>160528</v>
      </c>
    </row>
    <row r="71" spans="1:15" s="125" customFormat="1" ht="25.5">
      <c r="A71" s="134" t="s">
        <v>394</v>
      </c>
      <c r="B71" s="136" t="s">
        <v>354</v>
      </c>
      <c r="C71" s="173">
        <f t="shared" si="0"/>
        <v>392778</v>
      </c>
      <c r="D71" s="173">
        <f>D72+D73+D74</f>
        <v>384778</v>
      </c>
      <c r="E71" s="173">
        <f>E72+E73+E74</f>
        <v>74297</v>
      </c>
      <c r="F71" s="173">
        <f>F72+F73+F74</f>
        <v>128497</v>
      </c>
      <c r="G71" s="173">
        <f>G72+G73+G74</f>
        <v>8000</v>
      </c>
      <c r="H71" s="173">
        <f t="shared" si="1"/>
        <v>0</v>
      </c>
      <c r="I71" s="173">
        <f>I72+I73+I74</f>
        <v>0</v>
      </c>
      <c r="J71" s="173">
        <f>J72+J73+J74</f>
        <v>0</v>
      </c>
      <c r="K71" s="173">
        <f>K72+K73+K74</f>
        <v>0</v>
      </c>
      <c r="L71" s="173">
        <f>L72+L73+L74</f>
        <v>0</v>
      </c>
      <c r="M71" s="173">
        <f>M72+M73+M74</f>
        <v>0</v>
      </c>
      <c r="N71" s="173">
        <f t="shared" si="2"/>
        <v>392778</v>
      </c>
      <c r="O71" s="135"/>
    </row>
    <row r="72" spans="1:15" s="65" customFormat="1" ht="12.75">
      <c r="A72" s="75" t="s">
        <v>24</v>
      </c>
      <c r="B72" s="102" t="s">
        <v>25</v>
      </c>
      <c r="C72" s="156">
        <f t="shared" si="0"/>
        <v>117778</v>
      </c>
      <c r="D72" s="156">
        <v>117778</v>
      </c>
      <c r="E72" s="156">
        <v>74297</v>
      </c>
      <c r="F72" s="156"/>
      <c r="G72" s="156"/>
      <c r="H72" s="156">
        <f t="shared" si="1"/>
        <v>0</v>
      </c>
      <c r="I72" s="156"/>
      <c r="J72" s="156"/>
      <c r="K72" s="156"/>
      <c r="L72" s="156"/>
      <c r="M72" s="156"/>
      <c r="N72" s="156">
        <f t="shared" si="2"/>
        <v>117778</v>
      </c>
      <c r="O72" s="69"/>
    </row>
    <row r="73" spans="1:14" ht="12.75">
      <c r="A73" s="75">
        <v>100203</v>
      </c>
      <c r="B73" s="93" t="s">
        <v>55</v>
      </c>
      <c r="C73" s="156">
        <f t="shared" si="0"/>
        <v>275000</v>
      </c>
      <c r="D73" s="156">
        <v>267000</v>
      </c>
      <c r="E73" s="156"/>
      <c r="F73" s="156">
        <v>128497</v>
      </c>
      <c r="G73" s="156">
        <v>8000</v>
      </c>
      <c r="H73" s="156">
        <f t="shared" si="1"/>
        <v>0</v>
      </c>
      <c r="I73" s="156"/>
      <c r="J73" s="156"/>
      <c r="K73" s="156"/>
      <c r="L73" s="156"/>
      <c r="M73" s="156"/>
      <c r="N73" s="156">
        <f t="shared" si="2"/>
        <v>275000</v>
      </c>
    </row>
    <row r="74" spans="1:14" ht="12.75" hidden="1">
      <c r="A74" s="77" t="s">
        <v>73</v>
      </c>
      <c r="B74" s="109" t="s">
        <v>230</v>
      </c>
      <c r="C74" s="156">
        <f t="shared" si="0"/>
        <v>0</v>
      </c>
      <c r="D74" s="156">
        <f>D75</f>
        <v>0</v>
      </c>
      <c r="E74" s="156">
        <f>E75</f>
        <v>0</v>
      </c>
      <c r="F74" s="156">
        <f>F75</f>
        <v>0</v>
      </c>
      <c r="G74" s="156">
        <f>G75</f>
        <v>0</v>
      </c>
      <c r="H74" s="156">
        <f t="shared" si="1"/>
        <v>0</v>
      </c>
      <c r="I74" s="156">
        <f>I75</f>
        <v>0</v>
      </c>
      <c r="J74" s="156">
        <f>J75</f>
        <v>0</v>
      </c>
      <c r="K74" s="156">
        <f>K75</f>
        <v>0</v>
      </c>
      <c r="L74" s="156">
        <f>L75</f>
        <v>0</v>
      </c>
      <c r="M74" s="156">
        <f>M75</f>
        <v>0</v>
      </c>
      <c r="N74" s="156">
        <f t="shared" si="2"/>
        <v>0</v>
      </c>
    </row>
    <row r="75" spans="1:14" ht="38.25" hidden="1">
      <c r="A75" s="77"/>
      <c r="B75" s="109" t="s">
        <v>248</v>
      </c>
      <c r="C75" s="156">
        <f t="shared" si="0"/>
        <v>0</v>
      </c>
      <c r="D75" s="156"/>
      <c r="E75" s="156"/>
      <c r="F75" s="156"/>
      <c r="G75" s="156"/>
      <c r="H75" s="156">
        <f t="shared" si="1"/>
        <v>0</v>
      </c>
      <c r="I75" s="156"/>
      <c r="J75" s="156"/>
      <c r="K75" s="156"/>
      <c r="L75" s="156"/>
      <c r="M75" s="156"/>
      <c r="N75" s="156">
        <f t="shared" si="2"/>
        <v>0</v>
      </c>
    </row>
    <row r="76" spans="1:15" s="125" customFormat="1" ht="25.5">
      <c r="A76" s="134" t="s">
        <v>288</v>
      </c>
      <c r="B76" s="136" t="s">
        <v>355</v>
      </c>
      <c r="C76" s="173">
        <f t="shared" si="0"/>
        <v>203499</v>
      </c>
      <c r="D76" s="173">
        <f>D77</f>
        <v>203499</v>
      </c>
      <c r="E76" s="173">
        <f>E77</f>
        <v>131927</v>
      </c>
      <c r="F76" s="173">
        <f>F77</f>
        <v>3763</v>
      </c>
      <c r="G76" s="173">
        <f>G77</f>
        <v>0</v>
      </c>
      <c r="H76" s="184">
        <f t="shared" si="1"/>
        <v>0</v>
      </c>
      <c r="I76" s="184">
        <f>I77+I78</f>
        <v>0</v>
      </c>
      <c r="J76" s="173">
        <f>J77</f>
        <v>0</v>
      </c>
      <c r="K76" s="173">
        <f>K77</f>
        <v>0</v>
      </c>
      <c r="L76" s="173">
        <f>L77</f>
        <v>0</v>
      </c>
      <c r="M76" s="173">
        <f>M77</f>
        <v>0</v>
      </c>
      <c r="N76" s="173">
        <f t="shared" si="2"/>
        <v>203499</v>
      </c>
      <c r="O76" s="135"/>
    </row>
    <row r="77" spans="1:15" s="65" customFormat="1" ht="12.75">
      <c r="A77" s="75" t="s">
        <v>24</v>
      </c>
      <c r="B77" s="102" t="s">
        <v>25</v>
      </c>
      <c r="C77" s="156">
        <f t="shared" si="0"/>
        <v>203499</v>
      </c>
      <c r="D77" s="156">
        <v>203499</v>
      </c>
      <c r="E77" s="156">
        <v>131927</v>
      </c>
      <c r="F77" s="156">
        <v>3763</v>
      </c>
      <c r="G77" s="156"/>
      <c r="H77" s="156">
        <f t="shared" si="1"/>
        <v>0</v>
      </c>
      <c r="I77" s="156"/>
      <c r="J77" s="156"/>
      <c r="K77" s="156"/>
      <c r="L77" s="156"/>
      <c r="M77" s="156"/>
      <c r="N77" s="156">
        <f t="shared" si="2"/>
        <v>203499</v>
      </c>
      <c r="O77" s="69"/>
    </row>
    <row r="78" spans="1:14" s="17" customFormat="1" ht="76.5" hidden="1">
      <c r="A78" s="119" t="s">
        <v>419</v>
      </c>
      <c r="B78" s="80" t="s">
        <v>420</v>
      </c>
      <c r="C78" s="148">
        <f t="shared" si="0"/>
        <v>0</v>
      </c>
      <c r="D78" s="148"/>
      <c r="E78" s="148"/>
      <c r="F78" s="148"/>
      <c r="G78" s="148"/>
      <c r="H78" s="179">
        <f t="shared" si="1"/>
        <v>0</v>
      </c>
      <c r="I78" s="179"/>
      <c r="J78" s="148"/>
      <c r="K78" s="148"/>
      <c r="L78" s="148"/>
      <c r="M78" s="148"/>
      <c r="N78" s="180">
        <f t="shared" si="2"/>
        <v>0</v>
      </c>
    </row>
    <row r="79" spans="1:15" s="65" customFormat="1" ht="12.75">
      <c r="A79" s="75"/>
      <c r="B79" s="93" t="s">
        <v>75</v>
      </c>
      <c r="C79" s="156">
        <f t="shared" si="0"/>
        <v>33904967</v>
      </c>
      <c r="D79" s="156">
        <f>D11+D24+D38+D71+D76</f>
        <v>33793967</v>
      </c>
      <c r="E79" s="156">
        <f>E11+E24+E38+E71+E76</f>
        <v>15468938</v>
      </c>
      <c r="F79" s="156">
        <f>F11+F24+F38+F71+F76</f>
        <v>2072214</v>
      </c>
      <c r="G79" s="156">
        <f>G11+G24+G38+G71+G76</f>
        <v>111000</v>
      </c>
      <c r="H79" s="156">
        <f t="shared" si="1"/>
        <v>12306876</v>
      </c>
      <c r="I79" s="156">
        <f>I11+I24+I38+I71+I76</f>
        <v>11583438</v>
      </c>
      <c r="J79" s="156">
        <f>J11+J24+J38+J71+J76</f>
        <v>6137255</v>
      </c>
      <c r="K79" s="156">
        <f>K11+K24+K38+K71+K76</f>
        <v>283046</v>
      </c>
      <c r="L79" s="156">
        <f>L11+L24+L38+L71+L76</f>
        <v>723438</v>
      </c>
      <c r="M79" s="156">
        <f>M11+M24+M38+M71+M76</f>
        <v>0</v>
      </c>
      <c r="N79" s="156">
        <f t="shared" si="2"/>
        <v>46211843</v>
      </c>
      <c r="O79" s="69"/>
    </row>
    <row r="81" spans="1:15" ht="18">
      <c r="A81" s="32" t="s">
        <v>251</v>
      </c>
      <c r="B81" s="56"/>
      <c r="C81" s="56"/>
      <c r="D81" s="56"/>
      <c r="E81" s="56"/>
      <c r="F81" s="56"/>
      <c r="G81" s="22"/>
      <c r="H81" s="22"/>
      <c r="I81" s="22"/>
      <c r="J81" s="22"/>
      <c r="K81" s="22"/>
      <c r="L81" s="32" t="s">
        <v>252</v>
      </c>
      <c r="M81" s="32"/>
      <c r="N81" s="22"/>
      <c r="O81" s="22"/>
    </row>
    <row r="83" ht="12.75">
      <c r="H83" s="101"/>
    </row>
  </sheetData>
  <mergeCells count="9">
    <mergeCell ref="L1:N1"/>
    <mergeCell ref="L2:N2"/>
    <mergeCell ref="L3:N3"/>
    <mergeCell ref="N8:N9"/>
    <mergeCell ref="A5:N5"/>
    <mergeCell ref="C8:G8"/>
    <mergeCell ref="H8:M8"/>
    <mergeCell ref="B8:B9"/>
    <mergeCell ref="A8:A9"/>
  </mergeCells>
  <printOptions/>
  <pageMargins left="0.9055118110236221" right="0.35433070866141736" top="0.6299212598425197" bottom="0.3937007874015748" header="0.5118110236220472" footer="0.5118110236220472"/>
  <pageSetup fitToHeight="4" fitToWidth="1" horizontalDpi="120" verticalDpi="12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P402"/>
  <sheetViews>
    <sheetView showZeros="0" view="pageBreakPreview" zoomScale="75" zoomScaleNormal="75" zoomScaleSheetLayoutView="75" workbookViewId="0" topLeftCell="A58">
      <selection activeCell="D42" sqref="D42"/>
    </sheetView>
  </sheetViews>
  <sheetFormatPr defaultColWidth="9.00390625" defaultRowHeight="12.75"/>
  <cols>
    <col min="1" max="1" width="7.875" style="33" customWidth="1"/>
    <col min="2" max="2" width="38.625" style="34" customWidth="1"/>
    <col min="3" max="3" width="12.125" style="22" customWidth="1"/>
    <col min="4" max="4" width="11.75390625" style="22" customWidth="1"/>
    <col min="5" max="5" width="11.875" style="22" customWidth="1"/>
    <col min="6" max="6" width="12.875" style="22" customWidth="1"/>
    <col min="7" max="7" width="11.375" style="22" customWidth="1"/>
    <col min="8" max="8" width="12.125" style="22" customWidth="1"/>
    <col min="9" max="9" width="11.875" style="22" customWidth="1"/>
    <col min="10" max="10" width="11.75390625" style="22" customWidth="1"/>
    <col min="11" max="11" width="10.00390625" style="22" customWidth="1"/>
    <col min="12" max="12" width="11.375" style="22" customWidth="1"/>
    <col min="13" max="13" width="9.25390625" style="22" customWidth="1"/>
    <col min="14" max="14" width="12.875" style="22" customWidth="1"/>
    <col min="15" max="15" width="13.25390625" style="22" customWidth="1"/>
    <col min="16" max="16" width="12.25390625" style="22" customWidth="1"/>
    <col min="17" max="16384" width="9.125" style="22" customWidth="1"/>
  </cols>
  <sheetData>
    <row r="1" spans="11:15" ht="18">
      <c r="K1" s="47"/>
      <c r="L1" s="32" t="s">
        <v>329</v>
      </c>
      <c r="M1" s="32"/>
      <c r="O1" s="82"/>
    </row>
    <row r="2" spans="11:15" ht="18">
      <c r="K2" s="51"/>
      <c r="L2" s="32" t="s">
        <v>160</v>
      </c>
      <c r="M2" s="32"/>
      <c r="O2" s="82"/>
    </row>
    <row r="3" spans="12:13" ht="18">
      <c r="L3" s="32" t="s">
        <v>161</v>
      </c>
      <c r="M3" s="32"/>
    </row>
    <row r="4" spans="12:13" ht="9" customHeight="1">
      <c r="L4" s="32"/>
      <c r="M4" s="32"/>
    </row>
    <row r="5" spans="1:13" ht="18">
      <c r="A5" s="193" t="s">
        <v>5</v>
      </c>
      <c r="B5" s="193"/>
      <c r="C5" s="193"/>
      <c r="D5" s="193"/>
      <c r="E5" s="193"/>
      <c r="F5" s="193"/>
      <c r="G5" s="193"/>
      <c r="H5" s="193"/>
      <c r="I5" s="193"/>
      <c r="J5" s="193"/>
      <c r="K5" s="193"/>
      <c r="L5" s="193"/>
      <c r="M5" s="193"/>
    </row>
    <row r="6" spans="2:16" ht="15">
      <c r="B6" s="35"/>
      <c r="C6" s="29"/>
      <c r="D6" s="29"/>
      <c r="E6" s="29"/>
      <c r="F6" s="29"/>
      <c r="G6" s="29"/>
      <c r="H6" s="29"/>
      <c r="I6" s="29"/>
      <c r="J6" s="29"/>
      <c r="K6" s="29"/>
      <c r="L6" s="207" t="s">
        <v>379</v>
      </c>
      <c r="M6" s="207"/>
      <c r="N6" s="207"/>
      <c r="O6" s="36"/>
      <c r="P6" s="36"/>
    </row>
    <row r="7" spans="1:16" ht="12.75">
      <c r="A7" s="188" t="s">
        <v>339</v>
      </c>
      <c r="B7" s="188" t="s">
        <v>340</v>
      </c>
      <c r="C7" s="188" t="s">
        <v>16</v>
      </c>
      <c r="D7" s="188"/>
      <c r="E7" s="188"/>
      <c r="F7" s="188"/>
      <c r="G7" s="188"/>
      <c r="H7" s="191" t="s">
        <v>17</v>
      </c>
      <c r="I7" s="191"/>
      <c r="J7" s="191"/>
      <c r="K7" s="191"/>
      <c r="L7" s="191"/>
      <c r="M7" s="191"/>
      <c r="N7" s="208" t="s">
        <v>97</v>
      </c>
      <c r="O7" s="37"/>
      <c r="P7" s="38"/>
    </row>
    <row r="8" spans="1:14" ht="89.25">
      <c r="A8" s="188"/>
      <c r="B8" s="188"/>
      <c r="C8" s="6" t="s">
        <v>18</v>
      </c>
      <c r="D8" s="6" t="s">
        <v>81</v>
      </c>
      <c r="E8" s="6" t="s">
        <v>108</v>
      </c>
      <c r="F8" s="6" t="s">
        <v>109</v>
      </c>
      <c r="G8" s="6" t="s">
        <v>110</v>
      </c>
      <c r="H8" s="6" t="s">
        <v>18</v>
      </c>
      <c r="I8" s="6" t="s">
        <v>81</v>
      </c>
      <c r="J8" s="6" t="s">
        <v>108</v>
      </c>
      <c r="K8" s="6" t="s">
        <v>109</v>
      </c>
      <c r="L8" s="6" t="s">
        <v>110</v>
      </c>
      <c r="M8" s="6" t="s">
        <v>111</v>
      </c>
      <c r="N8" s="209"/>
    </row>
    <row r="9" spans="1:14" ht="15">
      <c r="A9" s="39">
        <v>1</v>
      </c>
      <c r="B9" s="123">
        <v>2</v>
      </c>
      <c r="C9" s="40">
        <v>3</v>
      </c>
      <c r="D9" s="41">
        <v>4</v>
      </c>
      <c r="E9" s="40">
        <v>5</v>
      </c>
      <c r="F9" s="41">
        <v>6</v>
      </c>
      <c r="G9" s="40">
        <v>7</v>
      </c>
      <c r="H9" s="41">
        <v>8</v>
      </c>
      <c r="I9" s="40">
        <v>9</v>
      </c>
      <c r="J9" s="41">
        <v>10</v>
      </c>
      <c r="K9" s="40">
        <v>11</v>
      </c>
      <c r="L9" s="41">
        <v>12</v>
      </c>
      <c r="M9" s="42">
        <v>13</v>
      </c>
      <c r="N9" s="40">
        <v>14</v>
      </c>
    </row>
    <row r="10" spans="1:14" s="125" customFormat="1" ht="18.75" customHeight="1">
      <c r="A10" s="141" t="s">
        <v>276</v>
      </c>
      <c r="B10" s="142" t="s">
        <v>361</v>
      </c>
      <c r="C10" s="160">
        <f>D10+G10</f>
        <v>16530554</v>
      </c>
      <c r="D10" s="160">
        <f>D11+D12+D18+D19+D20+D17</f>
        <v>16523004</v>
      </c>
      <c r="E10" s="160">
        <f>E11+E12+E18+E19+E20+E17</f>
        <v>10136871</v>
      </c>
      <c r="F10" s="160">
        <f>F11+F12+F18+F19+F20+F17</f>
        <v>1183972</v>
      </c>
      <c r="G10" s="160">
        <f>G11+G12+G18+G19+G20+G17</f>
        <v>7550</v>
      </c>
      <c r="H10" s="160">
        <f>I10+L10</f>
        <v>882472</v>
      </c>
      <c r="I10" s="160">
        <f>I11+I12+I18+I19+I20+I17</f>
        <v>842472</v>
      </c>
      <c r="J10" s="160">
        <f>J11+J12+J18+J19+J20+J17</f>
        <v>404805</v>
      </c>
      <c r="K10" s="160">
        <f>K11+K12+K18+K19+K20+K17</f>
        <v>51080</v>
      </c>
      <c r="L10" s="160">
        <f>L11+L12+L18+L19+L20+L17</f>
        <v>40000</v>
      </c>
      <c r="M10" s="160">
        <f>M11+M12+M18+M19+M20+M17</f>
        <v>0</v>
      </c>
      <c r="N10" s="160">
        <f>C10+H10</f>
        <v>17413026</v>
      </c>
    </row>
    <row r="11" spans="1:14" ht="12.75">
      <c r="A11" s="61" t="s">
        <v>24</v>
      </c>
      <c r="B11" s="81" t="s">
        <v>25</v>
      </c>
      <c r="C11" s="148">
        <f aca="true" t="shared" si="0" ref="C11:C76">D11+G11</f>
        <v>1137724</v>
      </c>
      <c r="D11" s="144">
        <f>1171122-12448-28500</f>
        <v>1130174</v>
      </c>
      <c r="E11" s="144">
        <f>716011-9140</f>
        <v>706871</v>
      </c>
      <c r="F11" s="144">
        <v>64572</v>
      </c>
      <c r="G11" s="144">
        <v>7550</v>
      </c>
      <c r="H11" s="148">
        <f aca="true" t="shared" si="1" ref="H11:H76">I11+L11</f>
        <v>15320</v>
      </c>
      <c r="I11" s="144">
        <v>15320</v>
      </c>
      <c r="J11" s="144"/>
      <c r="K11" s="144">
        <v>13880</v>
      </c>
      <c r="L11" s="144"/>
      <c r="M11" s="144"/>
      <c r="N11" s="160">
        <f aca="true" t="shared" si="2" ref="N11:N76">C11+H11</f>
        <v>1153044</v>
      </c>
    </row>
    <row r="12" spans="1:14" ht="12.75">
      <c r="A12" s="43" t="s">
        <v>35</v>
      </c>
      <c r="B12" s="81" t="s">
        <v>117</v>
      </c>
      <c r="C12" s="148">
        <f t="shared" si="0"/>
        <v>15259800</v>
      </c>
      <c r="D12" s="144">
        <f>D13+D14+D15+D16</f>
        <v>15259800</v>
      </c>
      <c r="E12" s="144">
        <f>E13+E14+E15+E16</f>
        <v>9430000</v>
      </c>
      <c r="F12" s="144">
        <f>F13+F14+F15+F16</f>
        <v>1119400</v>
      </c>
      <c r="G12" s="144">
        <f>G13+G14+G15+G16</f>
        <v>0</v>
      </c>
      <c r="H12" s="148">
        <f t="shared" si="1"/>
        <v>827152</v>
      </c>
      <c r="I12" s="144">
        <f>I13+I14+I15+I16</f>
        <v>797152</v>
      </c>
      <c r="J12" s="144">
        <f>J13+J14+J15+J16</f>
        <v>404805</v>
      </c>
      <c r="K12" s="144">
        <f>K13+K14+K15+K16</f>
        <v>37200</v>
      </c>
      <c r="L12" s="144">
        <f>L13+L14+L15+L16</f>
        <v>30000</v>
      </c>
      <c r="M12" s="144">
        <f>M13+M14+M15+M16</f>
        <v>0</v>
      </c>
      <c r="N12" s="160">
        <f t="shared" si="2"/>
        <v>16086952</v>
      </c>
    </row>
    <row r="13" spans="1:14" ht="12.75">
      <c r="A13" s="43" t="s">
        <v>37</v>
      </c>
      <c r="B13" s="81" t="s">
        <v>312</v>
      </c>
      <c r="C13" s="148">
        <f t="shared" si="0"/>
        <v>10657059</v>
      </c>
      <c r="D13" s="144">
        <f>10631059+26000</f>
        <v>10657059</v>
      </c>
      <c r="E13" s="144">
        <v>6436134</v>
      </c>
      <c r="F13" s="144">
        <v>957800</v>
      </c>
      <c r="G13" s="144"/>
      <c r="H13" s="148">
        <f t="shared" si="1"/>
        <v>230860</v>
      </c>
      <c r="I13" s="144">
        <v>230860</v>
      </c>
      <c r="J13" s="144">
        <v>114140</v>
      </c>
      <c r="K13" s="144">
        <v>15000</v>
      </c>
      <c r="L13" s="144"/>
      <c r="M13" s="144"/>
      <c r="N13" s="160">
        <f t="shared" si="2"/>
        <v>10887919</v>
      </c>
    </row>
    <row r="14" spans="1:14" ht="12.75">
      <c r="A14" s="43" t="s">
        <v>39</v>
      </c>
      <c r="B14" s="81" t="s">
        <v>40</v>
      </c>
      <c r="C14" s="148">
        <f t="shared" si="0"/>
        <v>3665790</v>
      </c>
      <c r="D14" s="144">
        <v>3665790</v>
      </c>
      <c r="E14" s="144">
        <v>2467804</v>
      </c>
      <c r="F14" s="144">
        <v>132200</v>
      </c>
      <c r="G14" s="144"/>
      <c r="H14" s="148">
        <f t="shared" si="1"/>
        <v>16000</v>
      </c>
      <c r="I14" s="144">
        <v>16000</v>
      </c>
      <c r="J14" s="144"/>
      <c r="K14" s="144">
        <v>1400</v>
      </c>
      <c r="L14" s="144"/>
      <c r="M14" s="144"/>
      <c r="N14" s="160">
        <f t="shared" si="2"/>
        <v>3681790</v>
      </c>
    </row>
    <row r="15" spans="1:14" ht="12.75">
      <c r="A15" s="43" t="s">
        <v>41</v>
      </c>
      <c r="B15" s="81" t="s">
        <v>121</v>
      </c>
      <c r="C15" s="148">
        <f t="shared" si="0"/>
        <v>936951</v>
      </c>
      <c r="D15" s="144">
        <v>936951</v>
      </c>
      <c r="E15" s="144">
        <v>526062</v>
      </c>
      <c r="F15" s="144">
        <v>29400</v>
      </c>
      <c r="G15" s="144"/>
      <c r="H15" s="148">
        <f t="shared" si="1"/>
        <v>580292</v>
      </c>
      <c r="I15" s="144">
        <v>550292</v>
      </c>
      <c r="J15" s="144">
        <v>290665</v>
      </c>
      <c r="K15" s="144">
        <v>20800</v>
      </c>
      <c r="L15" s="144">
        <v>30000</v>
      </c>
      <c r="M15" s="144"/>
      <c r="N15" s="160">
        <f t="shared" si="2"/>
        <v>1517243</v>
      </c>
    </row>
    <row r="16" spans="1:14" ht="12.75" hidden="1">
      <c r="A16" s="43" t="s">
        <v>44</v>
      </c>
      <c r="B16" s="81" t="s">
        <v>113</v>
      </c>
      <c r="C16" s="148">
        <f t="shared" si="0"/>
        <v>0</v>
      </c>
      <c r="D16" s="144"/>
      <c r="E16" s="144"/>
      <c r="F16" s="144"/>
      <c r="G16" s="144"/>
      <c r="H16" s="148">
        <f t="shared" si="1"/>
        <v>0</v>
      </c>
      <c r="I16" s="144"/>
      <c r="J16" s="144"/>
      <c r="K16" s="144"/>
      <c r="L16" s="144"/>
      <c r="M16" s="144"/>
      <c r="N16" s="160">
        <f t="shared" si="2"/>
        <v>0</v>
      </c>
    </row>
    <row r="17" spans="1:14" ht="25.5">
      <c r="A17" s="25" t="s">
        <v>50</v>
      </c>
      <c r="B17" s="16" t="s">
        <v>206</v>
      </c>
      <c r="C17" s="148">
        <f t="shared" si="0"/>
        <v>70870</v>
      </c>
      <c r="D17" s="144">
        <v>70870</v>
      </c>
      <c r="E17" s="144"/>
      <c r="F17" s="144"/>
      <c r="G17" s="144"/>
      <c r="H17" s="148">
        <f t="shared" si="1"/>
        <v>0</v>
      </c>
      <c r="I17" s="144"/>
      <c r="J17" s="144"/>
      <c r="K17" s="144"/>
      <c r="L17" s="144"/>
      <c r="M17" s="144"/>
      <c r="N17" s="160">
        <f t="shared" si="2"/>
        <v>70870</v>
      </c>
    </row>
    <row r="18" spans="1:14" ht="38.25" hidden="1">
      <c r="A18" s="25" t="s">
        <v>167</v>
      </c>
      <c r="B18" s="80" t="s">
        <v>259</v>
      </c>
      <c r="C18" s="148">
        <f t="shared" si="0"/>
        <v>0</v>
      </c>
      <c r="D18" s="144"/>
      <c r="E18" s="144"/>
      <c r="F18" s="144"/>
      <c r="G18" s="144"/>
      <c r="H18" s="148">
        <f t="shared" si="1"/>
        <v>0</v>
      </c>
      <c r="I18" s="144"/>
      <c r="J18" s="144"/>
      <c r="K18" s="144"/>
      <c r="L18" s="144"/>
      <c r="M18" s="144"/>
      <c r="N18" s="160">
        <f t="shared" si="2"/>
        <v>0</v>
      </c>
    </row>
    <row r="19" spans="1:14" ht="12.75">
      <c r="A19" s="28" t="s">
        <v>71</v>
      </c>
      <c r="B19" s="16" t="s">
        <v>93</v>
      </c>
      <c r="C19" s="148">
        <f t="shared" si="0"/>
        <v>0</v>
      </c>
      <c r="D19" s="144"/>
      <c r="E19" s="144"/>
      <c r="F19" s="144"/>
      <c r="G19" s="144"/>
      <c r="H19" s="148">
        <f t="shared" si="1"/>
        <v>40000</v>
      </c>
      <c r="I19" s="144">
        <v>30000</v>
      </c>
      <c r="J19" s="144"/>
      <c r="K19" s="144"/>
      <c r="L19" s="144">
        <v>10000</v>
      </c>
      <c r="M19" s="144"/>
      <c r="N19" s="160">
        <f t="shared" si="2"/>
        <v>40000</v>
      </c>
    </row>
    <row r="20" spans="1:14" ht="12.75">
      <c r="A20" s="28" t="s">
        <v>124</v>
      </c>
      <c r="B20" s="80" t="s">
        <v>74</v>
      </c>
      <c r="C20" s="148">
        <f t="shared" si="0"/>
        <v>62160</v>
      </c>
      <c r="D20" s="144">
        <f>D21+D22+D23+D24</f>
        <v>62160</v>
      </c>
      <c r="E20" s="144">
        <f>E21+E22+E23+E24</f>
        <v>0</v>
      </c>
      <c r="F20" s="144">
        <f>F21+F22+F23+F24</f>
        <v>0</v>
      </c>
      <c r="G20" s="144">
        <f>G21+G22+G23+G24</f>
        <v>0</v>
      </c>
      <c r="H20" s="148">
        <f t="shared" si="1"/>
        <v>0</v>
      </c>
      <c r="I20" s="144">
        <f>I21+I22+I23+I24</f>
        <v>0</v>
      </c>
      <c r="J20" s="144">
        <f>J21+J22+J23+J24</f>
        <v>0</v>
      </c>
      <c r="K20" s="144">
        <f>K21+K22+K23+K24</f>
        <v>0</v>
      </c>
      <c r="L20" s="144">
        <f>L21+L22+L23+L24</f>
        <v>0</v>
      </c>
      <c r="M20" s="144">
        <f>M21+M22+M23+M24</f>
        <v>0</v>
      </c>
      <c r="N20" s="160">
        <f t="shared" si="2"/>
        <v>62160</v>
      </c>
    </row>
    <row r="21" spans="1:14" ht="25.5">
      <c r="A21" s="28"/>
      <c r="B21" s="80" t="s">
        <v>254</v>
      </c>
      <c r="C21" s="148">
        <f t="shared" si="0"/>
        <v>21600</v>
      </c>
      <c r="D21" s="144">
        <v>21600</v>
      </c>
      <c r="E21" s="144"/>
      <c r="F21" s="144"/>
      <c r="G21" s="144"/>
      <c r="H21" s="148">
        <f t="shared" si="1"/>
        <v>0</v>
      </c>
      <c r="I21" s="144"/>
      <c r="J21" s="144"/>
      <c r="K21" s="144"/>
      <c r="L21" s="144"/>
      <c r="M21" s="144"/>
      <c r="N21" s="160">
        <f t="shared" si="2"/>
        <v>21600</v>
      </c>
    </row>
    <row r="22" spans="1:14" ht="25.5" hidden="1">
      <c r="A22" s="28"/>
      <c r="B22" s="80" t="s">
        <v>244</v>
      </c>
      <c r="C22" s="148">
        <f t="shared" si="0"/>
        <v>0</v>
      </c>
      <c r="D22" s="144"/>
      <c r="E22" s="144"/>
      <c r="F22" s="144"/>
      <c r="G22" s="144"/>
      <c r="H22" s="148">
        <f t="shared" si="1"/>
        <v>0</v>
      </c>
      <c r="I22" s="144"/>
      <c r="J22" s="144"/>
      <c r="K22" s="144"/>
      <c r="L22" s="144"/>
      <c r="M22" s="144"/>
      <c r="N22" s="160">
        <f t="shared" si="2"/>
        <v>0</v>
      </c>
    </row>
    <row r="23" spans="1:14" ht="25.5">
      <c r="A23" s="28"/>
      <c r="B23" s="80" t="s">
        <v>255</v>
      </c>
      <c r="C23" s="148">
        <f t="shared" si="0"/>
        <v>40560</v>
      </c>
      <c r="D23" s="144">
        <v>40560</v>
      </c>
      <c r="E23" s="144"/>
      <c r="F23" s="144"/>
      <c r="G23" s="144"/>
      <c r="H23" s="148">
        <f t="shared" si="1"/>
        <v>0</v>
      </c>
      <c r="I23" s="144"/>
      <c r="J23" s="144"/>
      <c r="K23" s="144"/>
      <c r="L23" s="144"/>
      <c r="M23" s="144"/>
      <c r="N23" s="160">
        <f t="shared" si="2"/>
        <v>40560</v>
      </c>
    </row>
    <row r="24" spans="1:14" ht="38.25" hidden="1">
      <c r="A24" s="28"/>
      <c r="B24" s="80" t="s">
        <v>248</v>
      </c>
      <c r="C24" s="148">
        <f t="shared" si="0"/>
        <v>0</v>
      </c>
      <c r="D24" s="144"/>
      <c r="E24" s="144"/>
      <c r="F24" s="144"/>
      <c r="G24" s="144"/>
      <c r="H24" s="148">
        <f t="shared" si="1"/>
        <v>0</v>
      </c>
      <c r="I24" s="144"/>
      <c r="J24" s="144"/>
      <c r="K24" s="144"/>
      <c r="L24" s="144"/>
      <c r="M24" s="144"/>
      <c r="N24" s="160">
        <f t="shared" si="2"/>
        <v>0</v>
      </c>
    </row>
    <row r="25" spans="1:14" s="125" customFormat="1" ht="25.5">
      <c r="A25" s="141" t="s">
        <v>280</v>
      </c>
      <c r="B25" s="142" t="s">
        <v>362</v>
      </c>
      <c r="C25" s="160">
        <f t="shared" si="0"/>
        <v>36427667</v>
      </c>
      <c r="D25" s="160">
        <f>D26+D27+D37</f>
        <v>36317667</v>
      </c>
      <c r="E25" s="160">
        <f>E26+E27+E37</f>
        <v>22009147</v>
      </c>
      <c r="F25" s="160">
        <f>F26+F27+F37</f>
        <v>2856090</v>
      </c>
      <c r="G25" s="160">
        <f>G26+G27+G37</f>
        <v>110000</v>
      </c>
      <c r="H25" s="160">
        <f t="shared" si="1"/>
        <v>1587207</v>
      </c>
      <c r="I25" s="160">
        <f>I26+I27+I36</f>
        <v>1587207</v>
      </c>
      <c r="J25" s="160">
        <f>J26+J27+J36</f>
        <v>52817</v>
      </c>
      <c r="K25" s="160">
        <f>K26+K27+K36</f>
        <v>41142</v>
      </c>
      <c r="L25" s="160">
        <f>L26+L27+L36</f>
        <v>0</v>
      </c>
      <c r="M25" s="160">
        <f>M26+M27+M36</f>
        <v>0</v>
      </c>
      <c r="N25" s="160">
        <f t="shared" si="2"/>
        <v>38014874</v>
      </c>
    </row>
    <row r="26" spans="1:14" ht="12.75">
      <c r="A26" s="61" t="s">
        <v>24</v>
      </c>
      <c r="B26" s="81" t="s">
        <v>25</v>
      </c>
      <c r="C26" s="148">
        <f t="shared" si="0"/>
        <v>118897</v>
      </c>
      <c r="D26" s="144">
        <v>118897</v>
      </c>
      <c r="E26" s="144">
        <v>86929</v>
      </c>
      <c r="F26" s="144"/>
      <c r="G26" s="144"/>
      <c r="H26" s="148">
        <f t="shared" si="1"/>
        <v>0</v>
      </c>
      <c r="I26" s="144"/>
      <c r="J26" s="144"/>
      <c r="K26" s="144"/>
      <c r="L26" s="144"/>
      <c r="M26" s="144"/>
      <c r="N26" s="160">
        <f t="shared" si="2"/>
        <v>118897</v>
      </c>
    </row>
    <row r="27" spans="1:14" ht="12.75">
      <c r="A27" s="43" t="s">
        <v>26</v>
      </c>
      <c r="B27" s="81" t="s">
        <v>27</v>
      </c>
      <c r="C27" s="148">
        <f t="shared" si="0"/>
        <v>36300000</v>
      </c>
      <c r="D27" s="144">
        <f>D28+D29+D30+D32+D33+D34+D31+D35+D36</f>
        <v>36190000</v>
      </c>
      <c r="E27" s="144">
        <f>E28+E29+E30+E32+E33+E34+E31+E35+E36</f>
        <v>21922218</v>
      </c>
      <c r="F27" s="144">
        <f>F28+F29+F30+F32+F33+F34+F31+F35+F36</f>
        <v>2856090</v>
      </c>
      <c r="G27" s="144">
        <f>G28+G29+G30+G32+G33+G34+G31+G35+G36</f>
        <v>110000</v>
      </c>
      <c r="H27" s="148">
        <f t="shared" si="1"/>
        <v>1587207</v>
      </c>
      <c r="I27" s="144">
        <f>I28+I29+I30+I32+I33+I34+I31+I35+I36</f>
        <v>1587207</v>
      </c>
      <c r="J27" s="144">
        <f>J28+J29+J30+J32+J33+J34+J31+J35+J36</f>
        <v>52817</v>
      </c>
      <c r="K27" s="144">
        <f>K28+K29+K30+K32+K33+K34+K31+K35+K36</f>
        <v>41142</v>
      </c>
      <c r="L27" s="144">
        <f>L28+L29+L30+L32+L33+L34+L31+L35+L36</f>
        <v>0</v>
      </c>
      <c r="M27" s="144">
        <f>M28+M29+M30+M32+M33+M34</f>
        <v>0</v>
      </c>
      <c r="N27" s="160">
        <f t="shared" si="2"/>
        <v>37887207</v>
      </c>
    </row>
    <row r="28" spans="1:14" ht="12.75">
      <c r="A28" s="43" t="s">
        <v>82</v>
      </c>
      <c r="B28" s="81" t="s">
        <v>78</v>
      </c>
      <c r="C28" s="148">
        <f t="shared" si="0"/>
        <v>8874561</v>
      </c>
      <c r="D28" s="144">
        <v>8874561</v>
      </c>
      <c r="E28" s="144">
        <v>4554414</v>
      </c>
      <c r="F28" s="144">
        <v>954920</v>
      </c>
      <c r="G28" s="144"/>
      <c r="H28" s="148">
        <f t="shared" si="1"/>
        <v>1131458</v>
      </c>
      <c r="I28" s="144">
        <v>1131458</v>
      </c>
      <c r="J28" s="144">
        <v>11007</v>
      </c>
      <c r="K28" s="144">
        <v>3620</v>
      </c>
      <c r="L28" s="144"/>
      <c r="M28" s="144"/>
      <c r="N28" s="160">
        <f t="shared" si="2"/>
        <v>10006019</v>
      </c>
    </row>
    <row r="29" spans="1:14" ht="51">
      <c r="A29" s="43" t="s">
        <v>28</v>
      </c>
      <c r="B29" s="81" t="s">
        <v>294</v>
      </c>
      <c r="C29" s="148">
        <f t="shared" si="0"/>
        <v>26064186</v>
      </c>
      <c r="D29" s="144">
        <v>25984186</v>
      </c>
      <c r="E29" s="144">
        <v>16534445</v>
      </c>
      <c r="F29" s="144">
        <v>1866431</v>
      </c>
      <c r="G29" s="144">
        <v>80000</v>
      </c>
      <c r="H29" s="148">
        <f t="shared" si="1"/>
        <v>455749</v>
      </c>
      <c r="I29" s="144">
        <v>455749</v>
      </c>
      <c r="J29" s="144">
        <v>41810</v>
      </c>
      <c r="K29" s="144">
        <v>37522</v>
      </c>
      <c r="L29" s="144"/>
      <c r="M29" s="144"/>
      <c r="N29" s="160">
        <f t="shared" si="2"/>
        <v>26519935</v>
      </c>
    </row>
    <row r="30" spans="1:14" ht="51">
      <c r="A30" s="43" t="s">
        <v>84</v>
      </c>
      <c r="B30" s="81" t="s">
        <v>112</v>
      </c>
      <c r="C30" s="148">
        <f t="shared" si="0"/>
        <v>236030</v>
      </c>
      <c r="D30" s="144">
        <v>236030</v>
      </c>
      <c r="E30" s="144">
        <v>172726</v>
      </c>
      <c r="F30" s="144"/>
      <c r="G30" s="144"/>
      <c r="H30" s="148">
        <f t="shared" si="1"/>
        <v>0</v>
      </c>
      <c r="I30" s="144"/>
      <c r="J30" s="144"/>
      <c r="K30" s="144"/>
      <c r="L30" s="144"/>
      <c r="M30" s="144"/>
      <c r="N30" s="160">
        <f t="shared" si="2"/>
        <v>236030</v>
      </c>
    </row>
    <row r="31" spans="1:14" ht="51" hidden="1">
      <c r="A31" s="45" t="s">
        <v>389</v>
      </c>
      <c r="B31" s="52" t="s">
        <v>390</v>
      </c>
      <c r="C31" s="148">
        <f t="shared" si="0"/>
        <v>0</v>
      </c>
      <c r="D31" s="144"/>
      <c r="E31" s="144"/>
      <c r="F31" s="144"/>
      <c r="G31" s="144"/>
      <c r="H31" s="148">
        <f t="shared" si="1"/>
        <v>0</v>
      </c>
      <c r="I31" s="144"/>
      <c r="J31" s="144"/>
      <c r="K31" s="144"/>
      <c r="L31" s="144"/>
      <c r="M31" s="144"/>
      <c r="N31" s="160">
        <f t="shared" si="2"/>
        <v>0</v>
      </c>
    </row>
    <row r="32" spans="1:14" ht="25.5">
      <c r="A32" s="43" t="s">
        <v>31</v>
      </c>
      <c r="B32" s="81" t="s">
        <v>295</v>
      </c>
      <c r="C32" s="148">
        <f t="shared" si="0"/>
        <v>340511</v>
      </c>
      <c r="D32" s="144">
        <v>340511</v>
      </c>
      <c r="E32" s="144">
        <v>234545</v>
      </c>
      <c r="F32" s="144"/>
      <c r="G32" s="144"/>
      <c r="H32" s="148">
        <f t="shared" si="1"/>
        <v>0</v>
      </c>
      <c r="I32" s="144"/>
      <c r="J32" s="144"/>
      <c r="K32" s="144"/>
      <c r="L32" s="144"/>
      <c r="M32" s="144"/>
      <c r="N32" s="160">
        <f t="shared" si="2"/>
        <v>340511</v>
      </c>
    </row>
    <row r="33" spans="1:14" ht="25.5">
      <c r="A33" s="43" t="s">
        <v>32</v>
      </c>
      <c r="B33" s="81" t="s">
        <v>296</v>
      </c>
      <c r="C33" s="148">
        <f t="shared" si="0"/>
        <v>482402</v>
      </c>
      <c r="D33" s="144">
        <v>452402</v>
      </c>
      <c r="E33" s="144">
        <v>298125</v>
      </c>
      <c r="F33" s="144"/>
      <c r="G33" s="144">
        <v>30000</v>
      </c>
      <c r="H33" s="148">
        <f t="shared" si="1"/>
        <v>0</v>
      </c>
      <c r="I33" s="144"/>
      <c r="J33" s="144"/>
      <c r="K33" s="144"/>
      <c r="L33" s="144"/>
      <c r="M33" s="144"/>
      <c r="N33" s="160">
        <f t="shared" si="2"/>
        <v>482402</v>
      </c>
    </row>
    <row r="34" spans="1:14" ht="25.5">
      <c r="A34" s="43" t="s">
        <v>33</v>
      </c>
      <c r="B34" s="81" t="s">
        <v>34</v>
      </c>
      <c r="C34" s="148">
        <f t="shared" si="0"/>
        <v>286410</v>
      </c>
      <c r="D34" s="144">
        <v>286410</v>
      </c>
      <c r="E34" s="144">
        <v>127963</v>
      </c>
      <c r="F34" s="144">
        <v>34739</v>
      </c>
      <c r="G34" s="144"/>
      <c r="H34" s="148">
        <f t="shared" si="1"/>
        <v>0</v>
      </c>
      <c r="I34" s="144"/>
      <c r="J34" s="144"/>
      <c r="K34" s="144"/>
      <c r="L34" s="144"/>
      <c r="M34" s="144"/>
      <c r="N34" s="160">
        <f t="shared" si="2"/>
        <v>286410</v>
      </c>
    </row>
    <row r="35" spans="1:14" s="17" customFormat="1" ht="38.25">
      <c r="A35" s="45" t="s">
        <v>387</v>
      </c>
      <c r="B35" s="27" t="s">
        <v>388</v>
      </c>
      <c r="C35" s="148">
        <f t="shared" si="0"/>
        <v>15900</v>
      </c>
      <c r="D35" s="148">
        <v>15900</v>
      </c>
      <c r="E35" s="148"/>
      <c r="F35" s="148"/>
      <c r="G35" s="148"/>
      <c r="H35" s="148">
        <f t="shared" si="1"/>
        <v>0</v>
      </c>
      <c r="I35" s="148"/>
      <c r="J35" s="148"/>
      <c r="K35" s="148"/>
      <c r="L35" s="148"/>
      <c r="M35" s="148"/>
      <c r="N35" s="147">
        <f t="shared" si="2"/>
        <v>15900</v>
      </c>
    </row>
    <row r="36" spans="1:16" ht="89.25" hidden="1">
      <c r="A36" s="45" t="s">
        <v>416</v>
      </c>
      <c r="B36" s="27" t="s">
        <v>417</v>
      </c>
      <c r="C36" s="144">
        <f t="shared" si="0"/>
        <v>0</v>
      </c>
      <c r="D36" s="144"/>
      <c r="E36" s="144"/>
      <c r="F36" s="144"/>
      <c r="G36" s="144"/>
      <c r="H36" s="144">
        <f t="shared" si="1"/>
        <v>0</v>
      </c>
      <c r="I36" s="144"/>
      <c r="J36" s="144"/>
      <c r="K36" s="144"/>
      <c r="L36" s="144"/>
      <c r="M36" s="144"/>
      <c r="N36" s="143">
        <f t="shared" si="2"/>
        <v>0</v>
      </c>
      <c r="O36" s="145"/>
      <c r="P36" s="145"/>
    </row>
    <row r="37" spans="1:16" ht="63.75">
      <c r="A37" s="45" t="s">
        <v>323</v>
      </c>
      <c r="B37" s="27" t="s">
        <v>436</v>
      </c>
      <c r="C37" s="144">
        <f t="shared" si="0"/>
        <v>8770</v>
      </c>
      <c r="D37" s="144">
        <v>8770</v>
      </c>
      <c r="E37" s="144"/>
      <c r="F37" s="144"/>
      <c r="G37" s="144"/>
      <c r="H37" s="144">
        <f t="shared" si="1"/>
        <v>0</v>
      </c>
      <c r="I37" s="156"/>
      <c r="J37" s="144"/>
      <c r="K37" s="144"/>
      <c r="L37" s="144"/>
      <c r="M37" s="144"/>
      <c r="N37" s="143">
        <f t="shared" si="2"/>
        <v>8770</v>
      </c>
      <c r="O37" s="145"/>
      <c r="P37" s="145"/>
    </row>
    <row r="38" spans="1:14" s="125" customFormat="1" ht="38.25">
      <c r="A38" s="141" t="s">
        <v>281</v>
      </c>
      <c r="B38" s="142" t="s">
        <v>363</v>
      </c>
      <c r="C38" s="160">
        <f t="shared" si="0"/>
        <v>17654564</v>
      </c>
      <c r="D38" s="160">
        <f>D39+D40</f>
        <v>17626564</v>
      </c>
      <c r="E38" s="160">
        <f>E39+E40</f>
        <v>629042</v>
      </c>
      <c r="F38" s="160">
        <f>F39+F40</f>
        <v>0</v>
      </c>
      <c r="G38" s="160">
        <f>G39+G40</f>
        <v>28000</v>
      </c>
      <c r="H38" s="160">
        <f t="shared" si="1"/>
        <v>0</v>
      </c>
      <c r="I38" s="160">
        <f>I39+I40</f>
        <v>0</v>
      </c>
      <c r="J38" s="160">
        <f>J39+J40</f>
        <v>0</v>
      </c>
      <c r="K38" s="160">
        <f>K39+K40</f>
        <v>0</v>
      </c>
      <c r="L38" s="160">
        <f>L39+L40</f>
        <v>0</v>
      </c>
      <c r="M38" s="160">
        <f>M39+M40</f>
        <v>0</v>
      </c>
      <c r="N38" s="160">
        <f t="shared" si="2"/>
        <v>17654564</v>
      </c>
    </row>
    <row r="39" spans="1:14" ht="12.75">
      <c r="A39" s="61" t="s">
        <v>24</v>
      </c>
      <c r="B39" s="81" t="s">
        <v>25</v>
      </c>
      <c r="C39" s="148">
        <f t="shared" si="0"/>
        <v>919454</v>
      </c>
      <c r="D39" s="144">
        <f>899454-8000</f>
        <v>891454</v>
      </c>
      <c r="E39" s="144">
        <v>629042</v>
      </c>
      <c r="F39" s="144"/>
      <c r="G39" s="144">
        <v>28000</v>
      </c>
      <c r="H39" s="148">
        <f t="shared" si="1"/>
        <v>0</v>
      </c>
      <c r="I39" s="144"/>
      <c r="J39" s="144"/>
      <c r="K39" s="144"/>
      <c r="L39" s="144"/>
      <c r="M39" s="144"/>
      <c r="N39" s="160">
        <f t="shared" si="2"/>
        <v>919454</v>
      </c>
    </row>
    <row r="40" spans="1:14" ht="25.5">
      <c r="A40" s="25" t="s">
        <v>49</v>
      </c>
      <c r="B40" s="26" t="s">
        <v>150</v>
      </c>
      <c r="C40" s="148">
        <f t="shared" si="0"/>
        <v>16735110</v>
      </c>
      <c r="D40" s="144">
        <f>D41+D42+D43+D44+D45+D46+D47+D48+D49+D51+D52+D53+D54+D55+D57+D58+D62+D65+D69+D63+D64+D56</f>
        <v>16735110</v>
      </c>
      <c r="E40" s="144"/>
      <c r="F40" s="144"/>
      <c r="G40" s="144"/>
      <c r="H40" s="148">
        <f t="shared" si="1"/>
        <v>0</v>
      </c>
      <c r="I40" s="144"/>
      <c r="J40" s="144"/>
      <c r="K40" s="144"/>
      <c r="L40" s="144"/>
      <c r="M40" s="144"/>
      <c r="N40" s="160">
        <f t="shared" si="2"/>
        <v>16735110</v>
      </c>
    </row>
    <row r="41" spans="1:14" ht="102">
      <c r="A41" s="25" t="s">
        <v>165</v>
      </c>
      <c r="B41" s="89" t="s">
        <v>443</v>
      </c>
      <c r="C41" s="148">
        <f t="shared" si="0"/>
        <v>7210643</v>
      </c>
      <c r="D41" s="144">
        <v>7210643</v>
      </c>
      <c r="E41" s="144"/>
      <c r="F41" s="144"/>
      <c r="G41" s="144"/>
      <c r="H41" s="148">
        <f t="shared" si="1"/>
        <v>0</v>
      </c>
      <c r="I41" s="144"/>
      <c r="J41" s="144"/>
      <c r="K41" s="144"/>
      <c r="L41" s="144"/>
      <c r="M41" s="144"/>
      <c r="N41" s="160">
        <f t="shared" si="2"/>
        <v>7210643</v>
      </c>
    </row>
    <row r="42" spans="1:14" ht="63.75">
      <c r="A42" s="25" t="s">
        <v>171</v>
      </c>
      <c r="B42" s="89" t="s">
        <v>444</v>
      </c>
      <c r="C42" s="148">
        <f t="shared" si="0"/>
        <v>57915</v>
      </c>
      <c r="D42" s="144">
        <v>57915</v>
      </c>
      <c r="E42" s="144"/>
      <c r="F42" s="144"/>
      <c r="G42" s="144"/>
      <c r="H42" s="148">
        <f t="shared" si="1"/>
        <v>0</v>
      </c>
      <c r="I42" s="144"/>
      <c r="J42" s="144"/>
      <c r="K42" s="144"/>
      <c r="L42" s="144"/>
      <c r="M42" s="144"/>
      <c r="N42" s="160">
        <f t="shared" si="2"/>
        <v>57915</v>
      </c>
    </row>
    <row r="43" spans="1:14" ht="89.25">
      <c r="A43" s="25" t="s">
        <v>172</v>
      </c>
      <c r="B43" s="20" t="s">
        <v>445</v>
      </c>
      <c r="C43" s="148">
        <f t="shared" si="0"/>
        <v>985062</v>
      </c>
      <c r="D43" s="144">
        <v>985062</v>
      </c>
      <c r="E43" s="144"/>
      <c r="F43" s="144"/>
      <c r="G43" s="144"/>
      <c r="H43" s="148">
        <f t="shared" si="1"/>
        <v>0</v>
      </c>
      <c r="I43" s="144"/>
      <c r="J43" s="144"/>
      <c r="K43" s="144"/>
      <c r="L43" s="144"/>
      <c r="M43" s="144"/>
      <c r="N43" s="160">
        <f t="shared" si="2"/>
        <v>985062</v>
      </c>
    </row>
    <row r="44" spans="1:14" ht="357">
      <c r="A44" s="25" t="s">
        <v>173</v>
      </c>
      <c r="B44" s="20" t="s">
        <v>1</v>
      </c>
      <c r="C44" s="148">
        <f t="shared" si="0"/>
        <v>618363</v>
      </c>
      <c r="D44" s="144">
        <v>618363</v>
      </c>
      <c r="E44" s="144"/>
      <c r="F44" s="144"/>
      <c r="G44" s="144"/>
      <c r="H44" s="148">
        <f t="shared" si="1"/>
        <v>0</v>
      </c>
      <c r="I44" s="144"/>
      <c r="J44" s="144"/>
      <c r="K44" s="144"/>
      <c r="L44" s="144"/>
      <c r="M44" s="144"/>
      <c r="N44" s="160">
        <f t="shared" si="2"/>
        <v>618363</v>
      </c>
    </row>
    <row r="45" spans="1:14" ht="280.5">
      <c r="A45" s="25" t="s">
        <v>174</v>
      </c>
      <c r="B45" s="20" t="s">
        <v>2</v>
      </c>
      <c r="C45" s="148">
        <f t="shared" si="0"/>
        <v>590</v>
      </c>
      <c r="D45" s="144">
        <v>590</v>
      </c>
      <c r="E45" s="144"/>
      <c r="F45" s="144"/>
      <c r="G45" s="144"/>
      <c r="H45" s="148">
        <f t="shared" si="1"/>
        <v>0</v>
      </c>
      <c r="I45" s="144"/>
      <c r="J45" s="144"/>
      <c r="K45" s="144"/>
      <c r="L45" s="144"/>
      <c r="M45" s="144"/>
      <c r="N45" s="160">
        <f t="shared" si="2"/>
        <v>590</v>
      </c>
    </row>
    <row r="46" spans="1:14" ht="127.5">
      <c r="A46" s="25" t="s">
        <v>166</v>
      </c>
      <c r="B46" s="20" t="s">
        <v>13</v>
      </c>
      <c r="C46" s="148">
        <f t="shared" si="0"/>
        <v>70406</v>
      </c>
      <c r="D46" s="144">
        <v>70406</v>
      </c>
      <c r="E46" s="144"/>
      <c r="F46" s="144"/>
      <c r="G46" s="144"/>
      <c r="H46" s="148">
        <f t="shared" si="1"/>
        <v>0</v>
      </c>
      <c r="I46" s="144"/>
      <c r="J46" s="144"/>
      <c r="K46" s="144"/>
      <c r="L46" s="144"/>
      <c r="M46" s="144"/>
      <c r="N46" s="160">
        <f t="shared" si="2"/>
        <v>70406</v>
      </c>
    </row>
    <row r="47" spans="1:14" ht="38.25">
      <c r="A47" s="25" t="s">
        <v>175</v>
      </c>
      <c r="B47" s="20" t="s">
        <v>176</v>
      </c>
      <c r="C47" s="148">
        <f t="shared" si="0"/>
        <v>327066</v>
      </c>
      <c r="D47" s="144">
        <v>327066</v>
      </c>
      <c r="E47" s="144"/>
      <c r="F47" s="144"/>
      <c r="G47" s="144"/>
      <c r="H47" s="148">
        <f t="shared" si="1"/>
        <v>0</v>
      </c>
      <c r="I47" s="144"/>
      <c r="J47" s="144"/>
      <c r="K47" s="144"/>
      <c r="L47" s="144"/>
      <c r="M47" s="144"/>
      <c r="N47" s="160">
        <f t="shared" si="2"/>
        <v>327066</v>
      </c>
    </row>
    <row r="48" spans="1:14" ht="38.25">
      <c r="A48" s="25" t="s">
        <v>177</v>
      </c>
      <c r="B48" s="20" t="s">
        <v>3</v>
      </c>
      <c r="C48" s="148">
        <f t="shared" si="0"/>
        <v>884</v>
      </c>
      <c r="D48" s="144">
        <v>884</v>
      </c>
      <c r="E48" s="144"/>
      <c r="F48" s="144"/>
      <c r="G48" s="144"/>
      <c r="H48" s="148">
        <f t="shared" si="1"/>
        <v>0</v>
      </c>
      <c r="I48" s="144"/>
      <c r="J48" s="144"/>
      <c r="K48" s="144"/>
      <c r="L48" s="144"/>
      <c r="M48" s="144"/>
      <c r="N48" s="160">
        <f t="shared" si="2"/>
        <v>884</v>
      </c>
    </row>
    <row r="49" spans="1:14" ht="25.5">
      <c r="A49" s="25" t="s">
        <v>178</v>
      </c>
      <c r="B49" s="80" t="s">
        <v>213</v>
      </c>
      <c r="C49" s="148">
        <f t="shared" si="0"/>
        <v>63603</v>
      </c>
      <c r="D49" s="144">
        <v>63603</v>
      </c>
      <c r="E49" s="144"/>
      <c r="F49" s="144"/>
      <c r="G49" s="144"/>
      <c r="H49" s="148">
        <f t="shared" si="1"/>
        <v>0</v>
      </c>
      <c r="I49" s="144"/>
      <c r="J49" s="144"/>
      <c r="K49" s="144"/>
      <c r="L49" s="144"/>
      <c r="M49" s="144"/>
      <c r="N49" s="160">
        <f t="shared" si="2"/>
        <v>63603</v>
      </c>
    </row>
    <row r="50" spans="1:14" ht="25.5" hidden="1">
      <c r="A50" s="25" t="s">
        <v>129</v>
      </c>
      <c r="B50" s="16" t="s">
        <v>256</v>
      </c>
      <c r="C50" s="148">
        <f t="shared" si="0"/>
        <v>0</v>
      </c>
      <c r="D50" s="144"/>
      <c r="E50" s="144"/>
      <c r="F50" s="144"/>
      <c r="G50" s="144"/>
      <c r="H50" s="148">
        <f t="shared" si="1"/>
        <v>0</v>
      </c>
      <c r="I50" s="144"/>
      <c r="J50" s="144"/>
      <c r="K50" s="144"/>
      <c r="L50" s="144"/>
      <c r="M50" s="144"/>
      <c r="N50" s="160">
        <f t="shared" si="2"/>
        <v>0</v>
      </c>
    </row>
    <row r="51" spans="1:14" ht="12.75">
      <c r="A51" s="25" t="s">
        <v>130</v>
      </c>
      <c r="B51" s="16" t="s">
        <v>214</v>
      </c>
      <c r="C51" s="148">
        <f t="shared" si="0"/>
        <v>253537</v>
      </c>
      <c r="D51" s="144">
        <v>253537</v>
      </c>
      <c r="E51" s="144"/>
      <c r="F51" s="144"/>
      <c r="G51" s="144"/>
      <c r="H51" s="148">
        <f t="shared" si="1"/>
        <v>0</v>
      </c>
      <c r="I51" s="144"/>
      <c r="J51" s="144"/>
      <c r="K51" s="144"/>
      <c r="L51" s="144"/>
      <c r="M51" s="144"/>
      <c r="N51" s="160">
        <f t="shared" si="2"/>
        <v>253537</v>
      </c>
    </row>
    <row r="52" spans="1:14" ht="25.5">
      <c r="A52" s="25" t="s">
        <v>131</v>
      </c>
      <c r="B52" s="16" t="s">
        <v>200</v>
      </c>
      <c r="C52" s="148">
        <f t="shared" si="0"/>
        <v>1520653</v>
      </c>
      <c r="D52" s="144">
        <v>1520653</v>
      </c>
      <c r="E52" s="144"/>
      <c r="F52" s="144"/>
      <c r="G52" s="144"/>
      <c r="H52" s="148">
        <f t="shared" si="1"/>
        <v>0</v>
      </c>
      <c r="I52" s="144"/>
      <c r="J52" s="144"/>
      <c r="K52" s="144"/>
      <c r="L52" s="144"/>
      <c r="M52" s="144"/>
      <c r="N52" s="160">
        <f t="shared" si="2"/>
        <v>1520653</v>
      </c>
    </row>
    <row r="53" spans="1:14" ht="25.5">
      <c r="A53" s="25" t="s">
        <v>132</v>
      </c>
      <c r="B53" s="16" t="s">
        <v>105</v>
      </c>
      <c r="C53" s="148">
        <f t="shared" si="0"/>
        <v>1413216</v>
      </c>
      <c r="D53" s="144">
        <v>1413216</v>
      </c>
      <c r="E53" s="144"/>
      <c r="F53" s="144"/>
      <c r="G53" s="144"/>
      <c r="H53" s="148">
        <f t="shared" si="1"/>
        <v>0</v>
      </c>
      <c r="I53" s="144"/>
      <c r="J53" s="144"/>
      <c r="K53" s="144"/>
      <c r="L53" s="144"/>
      <c r="M53" s="144"/>
      <c r="N53" s="160">
        <f t="shared" si="2"/>
        <v>1413216</v>
      </c>
    </row>
    <row r="54" spans="1:14" ht="25.5">
      <c r="A54" s="25" t="s">
        <v>91</v>
      </c>
      <c r="B54" s="80" t="s">
        <v>181</v>
      </c>
      <c r="C54" s="148">
        <f t="shared" si="0"/>
        <v>343413</v>
      </c>
      <c r="D54" s="144">
        <v>343413</v>
      </c>
      <c r="E54" s="144"/>
      <c r="F54" s="144"/>
      <c r="G54" s="144"/>
      <c r="H54" s="148">
        <f t="shared" si="1"/>
        <v>0</v>
      </c>
      <c r="I54" s="144"/>
      <c r="J54" s="144"/>
      <c r="K54" s="144"/>
      <c r="L54" s="144"/>
      <c r="M54" s="144"/>
      <c r="N54" s="160">
        <f t="shared" si="2"/>
        <v>343413</v>
      </c>
    </row>
    <row r="55" spans="1:14" ht="12.75">
      <c r="A55" s="25" t="s">
        <v>245</v>
      </c>
      <c r="B55" s="80" t="s">
        <v>180</v>
      </c>
      <c r="C55" s="148">
        <f t="shared" si="0"/>
        <v>1118826</v>
      </c>
      <c r="D55" s="144">
        <v>1118826</v>
      </c>
      <c r="E55" s="144"/>
      <c r="F55" s="144"/>
      <c r="G55" s="144"/>
      <c r="H55" s="148">
        <f t="shared" si="1"/>
        <v>0</v>
      </c>
      <c r="I55" s="144"/>
      <c r="J55" s="144"/>
      <c r="K55" s="144"/>
      <c r="L55" s="144"/>
      <c r="M55" s="144"/>
      <c r="N55" s="160">
        <f t="shared" si="2"/>
        <v>1118826</v>
      </c>
    </row>
    <row r="56" spans="1:14" ht="12.75">
      <c r="A56" s="25" t="s">
        <v>440</v>
      </c>
      <c r="B56" s="103" t="s">
        <v>441</v>
      </c>
      <c r="C56" s="148">
        <f t="shared" si="0"/>
        <v>200000</v>
      </c>
      <c r="D56" s="144">
        <v>200000</v>
      </c>
      <c r="E56" s="144"/>
      <c r="F56" s="144"/>
      <c r="G56" s="144"/>
      <c r="H56" s="148"/>
      <c r="I56" s="144"/>
      <c r="J56" s="144"/>
      <c r="K56" s="144"/>
      <c r="L56" s="144"/>
      <c r="M56" s="144"/>
      <c r="N56" s="160">
        <f t="shared" si="2"/>
        <v>200000</v>
      </c>
    </row>
    <row r="57" spans="1:14" ht="25.5">
      <c r="A57" s="25" t="s">
        <v>182</v>
      </c>
      <c r="B57" s="80" t="s">
        <v>215</v>
      </c>
      <c r="C57" s="148">
        <f t="shared" si="0"/>
        <v>1124626</v>
      </c>
      <c r="D57" s="144">
        <v>1124626</v>
      </c>
      <c r="E57" s="144"/>
      <c r="F57" s="144"/>
      <c r="G57" s="144"/>
      <c r="H57" s="148">
        <f t="shared" si="1"/>
        <v>0</v>
      </c>
      <c r="I57" s="144"/>
      <c r="J57" s="144"/>
      <c r="K57" s="144"/>
      <c r="L57" s="144"/>
      <c r="M57" s="144"/>
      <c r="N57" s="160">
        <f t="shared" si="2"/>
        <v>1124626</v>
      </c>
    </row>
    <row r="58" spans="1:14" ht="38.25">
      <c r="A58" s="24" t="s">
        <v>92</v>
      </c>
      <c r="B58" s="80" t="s">
        <v>151</v>
      </c>
      <c r="C58" s="148">
        <f t="shared" si="0"/>
        <v>621148</v>
      </c>
      <c r="D58" s="144">
        <v>621148</v>
      </c>
      <c r="E58" s="144"/>
      <c r="F58" s="144"/>
      <c r="G58" s="144"/>
      <c r="H58" s="148">
        <f t="shared" si="1"/>
        <v>0</v>
      </c>
      <c r="I58" s="144"/>
      <c r="J58" s="144"/>
      <c r="K58" s="144"/>
      <c r="L58" s="144"/>
      <c r="M58" s="144"/>
      <c r="N58" s="160">
        <f t="shared" si="2"/>
        <v>621148</v>
      </c>
    </row>
    <row r="59" spans="1:14" ht="12.75">
      <c r="A59" s="24"/>
      <c r="B59" s="80" t="s">
        <v>148</v>
      </c>
      <c r="C59" s="148">
        <f t="shared" si="0"/>
        <v>0</v>
      </c>
      <c r="D59" s="144"/>
      <c r="E59" s="144"/>
      <c r="F59" s="144"/>
      <c r="G59" s="144"/>
      <c r="H59" s="148">
        <f t="shared" si="1"/>
        <v>0</v>
      </c>
      <c r="I59" s="144"/>
      <c r="J59" s="144"/>
      <c r="K59" s="144"/>
      <c r="L59" s="144"/>
      <c r="M59" s="144"/>
      <c r="N59" s="160">
        <f t="shared" si="2"/>
        <v>0</v>
      </c>
    </row>
    <row r="60" spans="1:14" ht="63.75">
      <c r="A60" s="24"/>
      <c r="B60" s="80" t="s">
        <v>216</v>
      </c>
      <c r="C60" s="148">
        <f t="shared" si="0"/>
        <v>611837</v>
      </c>
      <c r="D60" s="144">
        <v>611837</v>
      </c>
      <c r="E60" s="144"/>
      <c r="F60" s="144"/>
      <c r="G60" s="144"/>
      <c r="H60" s="148">
        <f t="shared" si="1"/>
        <v>0</v>
      </c>
      <c r="I60" s="144"/>
      <c r="J60" s="144"/>
      <c r="K60" s="144"/>
      <c r="L60" s="144"/>
      <c r="M60" s="144"/>
      <c r="N60" s="160">
        <f t="shared" si="2"/>
        <v>611837</v>
      </c>
    </row>
    <row r="61" spans="1:14" ht="25.5">
      <c r="A61" s="24"/>
      <c r="B61" s="80" t="s">
        <v>205</v>
      </c>
      <c r="C61" s="148">
        <f t="shared" si="0"/>
        <v>9311</v>
      </c>
      <c r="D61" s="144">
        <v>9311</v>
      </c>
      <c r="E61" s="144"/>
      <c r="F61" s="144"/>
      <c r="G61" s="144"/>
      <c r="H61" s="148">
        <f t="shared" si="1"/>
        <v>0</v>
      </c>
      <c r="I61" s="144"/>
      <c r="J61" s="144"/>
      <c r="K61" s="144"/>
      <c r="L61" s="144"/>
      <c r="M61" s="144"/>
      <c r="N61" s="160">
        <f t="shared" si="2"/>
        <v>9311</v>
      </c>
    </row>
    <row r="62" spans="1:14" ht="25.5">
      <c r="A62" s="25" t="s">
        <v>50</v>
      </c>
      <c r="B62" s="16" t="s">
        <v>206</v>
      </c>
      <c r="C62" s="148">
        <f t="shared" si="0"/>
        <v>15230</v>
      </c>
      <c r="D62" s="144">
        <v>15230</v>
      </c>
      <c r="E62" s="144"/>
      <c r="F62" s="144"/>
      <c r="G62" s="144"/>
      <c r="H62" s="148">
        <f t="shared" si="1"/>
        <v>0</v>
      </c>
      <c r="I62" s="144"/>
      <c r="J62" s="144"/>
      <c r="K62" s="144"/>
      <c r="L62" s="144"/>
      <c r="M62" s="144"/>
      <c r="N62" s="160">
        <f t="shared" si="2"/>
        <v>15230</v>
      </c>
    </row>
    <row r="63" spans="1:14" ht="25.5">
      <c r="A63" s="25" t="s">
        <v>167</v>
      </c>
      <c r="B63" s="186" t="s">
        <v>438</v>
      </c>
      <c r="C63" s="148">
        <f>D63+G63</f>
        <v>22200</v>
      </c>
      <c r="D63" s="144">
        <v>22200</v>
      </c>
      <c r="E63" s="144"/>
      <c r="F63" s="144"/>
      <c r="G63" s="144"/>
      <c r="H63" s="148">
        <f>I63+L63</f>
        <v>0</v>
      </c>
      <c r="I63" s="144"/>
      <c r="J63" s="144"/>
      <c r="K63" s="144"/>
      <c r="L63" s="144"/>
      <c r="M63" s="144"/>
      <c r="N63" s="160">
        <f>C63+H63</f>
        <v>22200</v>
      </c>
    </row>
    <row r="64" spans="1:14" ht="25.5" hidden="1">
      <c r="A64" s="90" t="s">
        <v>335</v>
      </c>
      <c r="B64" s="80" t="s">
        <v>410</v>
      </c>
      <c r="C64" s="156">
        <f t="shared" si="0"/>
        <v>0</v>
      </c>
      <c r="D64" s="144"/>
      <c r="E64" s="144"/>
      <c r="F64" s="144"/>
      <c r="G64" s="144"/>
      <c r="H64" s="148"/>
      <c r="I64" s="144"/>
      <c r="J64" s="144"/>
      <c r="K64" s="144"/>
      <c r="L64" s="144"/>
      <c r="M64" s="144"/>
      <c r="N64" s="160">
        <f t="shared" si="2"/>
        <v>0</v>
      </c>
    </row>
    <row r="65" spans="1:14" ht="76.5" hidden="1">
      <c r="A65" s="45" t="s">
        <v>332</v>
      </c>
      <c r="B65" s="53" t="s">
        <v>334</v>
      </c>
      <c r="C65" s="148">
        <f t="shared" si="0"/>
        <v>0</v>
      </c>
      <c r="D65" s="144">
        <f>D67+D68</f>
        <v>0</v>
      </c>
      <c r="E65" s="144"/>
      <c r="F65" s="144"/>
      <c r="G65" s="144"/>
      <c r="H65" s="148">
        <f t="shared" si="1"/>
        <v>0</v>
      </c>
      <c r="I65" s="144"/>
      <c r="J65" s="144"/>
      <c r="K65" s="144"/>
      <c r="L65" s="144"/>
      <c r="M65" s="144"/>
      <c r="N65" s="160">
        <f t="shared" si="2"/>
        <v>0</v>
      </c>
    </row>
    <row r="66" spans="1:14" ht="12.75" hidden="1">
      <c r="A66" s="24"/>
      <c r="B66" s="80" t="s">
        <v>148</v>
      </c>
      <c r="C66" s="148"/>
      <c r="D66" s="144"/>
      <c r="E66" s="144"/>
      <c r="F66" s="144"/>
      <c r="G66" s="144"/>
      <c r="H66" s="148"/>
      <c r="I66" s="144"/>
      <c r="J66" s="144"/>
      <c r="K66" s="144"/>
      <c r="L66" s="144"/>
      <c r="M66" s="144"/>
      <c r="N66" s="160"/>
    </row>
    <row r="67" spans="1:14" ht="63.75" hidden="1">
      <c r="A67" s="24"/>
      <c r="B67" s="80" t="s">
        <v>216</v>
      </c>
      <c r="C67" s="148">
        <f>D67+G67</f>
        <v>0</v>
      </c>
      <c r="D67" s="144"/>
      <c r="E67" s="144"/>
      <c r="F67" s="144"/>
      <c r="G67" s="144"/>
      <c r="H67" s="148">
        <f>I67+L67</f>
        <v>0</v>
      </c>
      <c r="I67" s="144"/>
      <c r="J67" s="144"/>
      <c r="K67" s="144"/>
      <c r="L67" s="144"/>
      <c r="M67" s="144"/>
      <c r="N67" s="160">
        <f>C67+H67</f>
        <v>0</v>
      </c>
    </row>
    <row r="68" spans="1:14" ht="25.5" hidden="1">
      <c r="A68" s="24"/>
      <c r="B68" s="80" t="s">
        <v>205</v>
      </c>
      <c r="C68" s="148">
        <f>D68+G68</f>
        <v>0</v>
      </c>
      <c r="D68" s="144"/>
      <c r="E68" s="144"/>
      <c r="F68" s="144"/>
      <c r="G68" s="144"/>
      <c r="H68" s="148">
        <f>I68+L68</f>
        <v>0</v>
      </c>
      <c r="I68" s="144"/>
      <c r="J68" s="144"/>
      <c r="K68" s="144"/>
      <c r="L68" s="144"/>
      <c r="M68" s="144"/>
      <c r="N68" s="160">
        <f>C68+H68</f>
        <v>0</v>
      </c>
    </row>
    <row r="69" spans="1:14" ht="25.5">
      <c r="A69" s="25" t="s">
        <v>123</v>
      </c>
      <c r="B69" s="80" t="s">
        <v>218</v>
      </c>
      <c r="C69" s="148">
        <f t="shared" si="0"/>
        <v>767729</v>
      </c>
      <c r="D69" s="144">
        <v>767729</v>
      </c>
      <c r="E69" s="144"/>
      <c r="F69" s="144"/>
      <c r="G69" s="144"/>
      <c r="H69" s="148">
        <f t="shared" si="1"/>
        <v>0</v>
      </c>
      <c r="I69" s="144"/>
      <c r="J69" s="144"/>
      <c r="K69" s="144"/>
      <c r="L69" s="144"/>
      <c r="M69" s="144"/>
      <c r="N69" s="160">
        <f t="shared" si="2"/>
        <v>767729</v>
      </c>
    </row>
    <row r="70" spans="1:14" s="125" customFormat="1" ht="38.25">
      <c r="A70" s="141" t="s">
        <v>394</v>
      </c>
      <c r="B70" s="142" t="s">
        <v>364</v>
      </c>
      <c r="C70" s="160">
        <f t="shared" si="0"/>
        <v>416143</v>
      </c>
      <c r="D70" s="160">
        <f>D71+D72</f>
        <v>378143</v>
      </c>
      <c r="E70" s="160">
        <f>E71+E72</f>
        <v>65637</v>
      </c>
      <c r="F70" s="160">
        <f>F71+F72</f>
        <v>174000</v>
      </c>
      <c r="G70" s="160">
        <f>G71+G72</f>
        <v>38000</v>
      </c>
      <c r="H70" s="160">
        <f t="shared" si="1"/>
        <v>0</v>
      </c>
      <c r="I70" s="160">
        <f>I71+I72</f>
        <v>0</v>
      </c>
      <c r="J70" s="160">
        <f>J71+J72</f>
        <v>0</v>
      </c>
      <c r="K70" s="160">
        <f>K71+K72</f>
        <v>0</v>
      </c>
      <c r="L70" s="160">
        <f>L71+L72</f>
        <v>0</v>
      </c>
      <c r="M70" s="160">
        <f>M71+M72</f>
        <v>0</v>
      </c>
      <c r="N70" s="160">
        <f t="shared" si="2"/>
        <v>416143</v>
      </c>
    </row>
    <row r="71" spans="1:14" ht="12.75">
      <c r="A71" s="61" t="s">
        <v>24</v>
      </c>
      <c r="B71" s="81" t="s">
        <v>25</v>
      </c>
      <c r="C71" s="148">
        <f t="shared" si="0"/>
        <v>141143</v>
      </c>
      <c r="D71" s="144">
        <v>103143</v>
      </c>
      <c r="E71" s="144">
        <v>65637</v>
      </c>
      <c r="F71" s="144"/>
      <c r="G71" s="144">
        <v>38000</v>
      </c>
      <c r="H71" s="148">
        <f t="shared" si="1"/>
        <v>0</v>
      </c>
      <c r="I71" s="144"/>
      <c r="J71" s="144"/>
      <c r="K71" s="144"/>
      <c r="L71" s="144"/>
      <c r="M71" s="144"/>
      <c r="N71" s="160">
        <f t="shared" si="2"/>
        <v>141143</v>
      </c>
    </row>
    <row r="72" spans="1:14" ht="12.75">
      <c r="A72" s="25">
        <v>100203</v>
      </c>
      <c r="B72" s="16" t="s">
        <v>55</v>
      </c>
      <c r="C72" s="148">
        <f t="shared" si="0"/>
        <v>275000</v>
      </c>
      <c r="D72" s="144">
        <v>275000</v>
      </c>
      <c r="E72" s="144"/>
      <c r="F72" s="144">
        <v>174000</v>
      </c>
      <c r="G72" s="144"/>
      <c r="H72" s="148">
        <f t="shared" si="1"/>
        <v>0</v>
      </c>
      <c r="I72" s="144"/>
      <c r="J72" s="144"/>
      <c r="K72" s="144"/>
      <c r="L72" s="144"/>
      <c r="M72" s="144"/>
      <c r="N72" s="160">
        <f t="shared" si="2"/>
        <v>275000</v>
      </c>
    </row>
    <row r="73" spans="1:14" s="125" customFormat="1" ht="25.5">
      <c r="A73" s="141" t="s">
        <v>288</v>
      </c>
      <c r="B73" s="142" t="s">
        <v>365</v>
      </c>
      <c r="C73" s="160">
        <f t="shared" si="0"/>
        <v>188060</v>
      </c>
      <c r="D73" s="160">
        <f>D74</f>
        <v>184460</v>
      </c>
      <c r="E73" s="160">
        <f>E74</f>
        <v>126707</v>
      </c>
      <c r="F73" s="160">
        <f>F74</f>
        <v>0</v>
      </c>
      <c r="G73" s="160">
        <f>G74</f>
        <v>3600</v>
      </c>
      <c r="H73" s="181">
        <f t="shared" si="1"/>
        <v>0</v>
      </c>
      <c r="I73" s="181">
        <f>I74+I75</f>
        <v>0</v>
      </c>
      <c r="J73" s="160">
        <f>J74</f>
        <v>0</v>
      </c>
      <c r="K73" s="160">
        <f>K74</f>
        <v>0</v>
      </c>
      <c r="L73" s="160">
        <f>L74</f>
        <v>0</v>
      </c>
      <c r="M73" s="160">
        <f>M74</f>
        <v>0</v>
      </c>
      <c r="N73" s="160">
        <f t="shared" si="2"/>
        <v>188060</v>
      </c>
    </row>
    <row r="74" spans="1:14" ht="12.75">
      <c r="A74" s="61" t="s">
        <v>24</v>
      </c>
      <c r="B74" s="81" t="s">
        <v>25</v>
      </c>
      <c r="C74" s="148">
        <f t="shared" si="0"/>
        <v>188060</v>
      </c>
      <c r="D74" s="144">
        <f>185960-1500</f>
        <v>184460</v>
      </c>
      <c r="E74" s="144">
        <v>126707</v>
      </c>
      <c r="F74" s="144"/>
      <c r="G74" s="144">
        <v>3600</v>
      </c>
      <c r="H74" s="148">
        <f t="shared" si="1"/>
        <v>0</v>
      </c>
      <c r="I74" s="144"/>
      <c r="J74" s="144"/>
      <c r="K74" s="144"/>
      <c r="L74" s="144"/>
      <c r="M74" s="144"/>
      <c r="N74" s="160">
        <f t="shared" si="2"/>
        <v>188060</v>
      </c>
    </row>
    <row r="75" spans="1:14" s="17" customFormat="1" ht="76.5" hidden="1">
      <c r="A75" s="119" t="s">
        <v>419</v>
      </c>
      <c r="B75" s="80" t="s">
        <v>420</v>
      </c>
      <c r="C75" s="148">
        <f t="shared" si="0"/>
        <v>0</v>
      </c>
      <c r="D75" s="148"/>
      <c r="E75" s="148"/>
      <c r="F75" s="148"/>
      <c r="G75" s="148"/>
      <c r="H75" s="179">
        <f t="shared" si="1"/>
        <v>0</v>
      </c>
      <c r="I75" s="179"/>
      <c r="J75" s="148"/>
      <c r="K75" s="148"/>
      <c r="L75" s="148"/>
      <c r="M75" s="148"/>
      <c r="N75" s="182">
        <f t="shared" si="2"/>
        <v>0</v>
      </c>
    </row>
    <row r="76" spans="1:14" ht="12.75">
      <c r="A76" s="25"/>
      <c r="B76" s="16" t="s">
        <v>75</v>
      </c>
      <c r="C76" s="148">
        <f t="shared" si="0"/>
        <v>71216988</v>
      </c>
      <c r="D76" s="144">
        <f>D10+D25+D38+D70+D73</f>
        <v>71029838</v>
      </c>
      <c r="E76" s="144">
        <f>E10+E25+E38+E70+E73</f>
        <v>32967404</v>
      </c>
      <c r="F76" s="144">
        <f>F10+F25+F38+F70+F73</f>
        <v>4214062</v>
      </c>
      <c r="G76" s="144">
        <f>G10+G25+G38+G70+G73</f>
        <v>187150</v>
      </c>
      <c r="H76" s="148">
        <f t="shared" si="1"/>
        <v>2469679</v>
      </c>
      <c r="I76" s="144">
        <f>I10+I25+I38+I70+I73</f>
        <v>2429679</v>
      </c>
      <c r="J76" s="144">
        <f>J10+J25+J38+J70+J73</f>
        <v>457622</v>
      </c>
      <c r="K76" s="144">
        <f>K10+K25+K38+K70+K73</f>
        <v>92222</v>
      </c>
      <c r="L76" s="144">
        <f>L10+L25+L38+L70+L73</f>
        <v>40000</v>
      </c>
      <c r="M76" s="144">
        <f>M10+M25+M38+M70+M73</f>
        <v>0</v>
      </c>
      <c r="N76" s="160">
        <f t="shared" si="2"/>
        <v>73686667</v>
      </c>
    </row>
    <row r="77" ht="14.25">
      <c r="A77" s="44"/>
    </row>
    <row r="78" spans="2:15" s="50" customFormat="1" ht="18">
      <c r="B78" s="195" t="s">
        <v>155</v>
      </c>
      <c r="C78" s="195"/>
      <c r="D78" s="195"/>
      <c r="E78" s="195"/>
      <c r="F78" s="195"/>
      <c r="G78" s="195"/>
      <c r="H78" s="195"/>
      <c r="I78" s="195"/>
      <c r="J78" s="195"/>
      <c r="K78" s="195"/>
      <c r="L78" s="195"/>
      <c r="M78" s="195"/>
      <c r="N78" s="195"/>
      <c r="O78" s="195"/>
    </row>
    <row r="79" ht="14.25">
      <c r="A79" s="44"/>
    </row>
    <row r="80" ht="14.25">
      <c r="A80" s="44"/>
    </row>
    <row r="81" spans="1:8" ht="14.25">
      <c r="A81" s="44"/>
      <c r="H81" s="54"/>
    </row>
    <row r="82" ht="14.25">
      <c r="A82" s="44"/>
    </row>
    <row r="83" ht="14.25">
      <c r="A83" s="44"/>
    </row>
    <row r="84" ht="14.25">
      <c r="A84" s="44"/>
    </row>
    <row r="85" ht="14.25">
      <c r="A85" s="44"/>
    </row>
    <row r="86" ht="14.25">
      <c r="A86" s="44"/>
    </row>
    <row r="87" ht="14.25">
      <c r="A87" s="44"/>
    </row>
    <row r="88" ht="14.25">
      <c r="A88" s="44"/>
    </row>
    <row r="89" ht="14.25">
      <c r="A89" s="44"/>
    </row>
    <row r="90" ht="14.25">
      <c r="A90" s="44"/>
    </row>
    <row r="91" ht="14.25">
      <c r="A91" s="44"/>
    </row>
    <row r="92" ht="14.25">
      <c r="A92" s="44"/>
    </row>
    <row r="93" ht="14.25">
      <c r="A93" s="44"/>
    </row>
    <row r="94" ht="14.25">
      <c r="A94" s="44"/>
    </row>
    <row r="95" ht="14.25">
      <c r="A95" s="44"/>
    </row>
    <row r="96" ht="14.25">
      <c r="A96" s="44"/>
    </row>
    <row r="97" ht="14.25">
      <c r="A97" s="44"/>
    </row>
    <row r="98" ht="14.25">
      <c r="A98" s="44"/>
    </row>
    <row r="99" ht="14.25">
      <c r="A99" s="44"/>
    </row>
    <row r="100" ht="14.25">
      <c r="A100" s="44"/>
    </row>
    <row r="101" ht="14.25">
      <c r="A101" s="44"/>
    </row>
    <row r="102" ht="14.25">
      <c r="A102" s="44"/>
    </row>
    <row r="103" ht="14.25">
      <c r="A103" s="44"/>
    </row>
    <row r="104" ht="14.25">
      <c r="A104" s="44"/>
    </row>
    <row r="105" ht="14.25">
      <c r="A105" s="44"/>
    </row>
    <row r="106" ht="14.25">
      <c r="A106" s="44"/>
    </row>
    <row r="107" ht="14.25">
      <c r="A107" s="44"/>
    </row>
    <row r="108" ht="14.25">
      <c r="A108" s="44"/>
    </row>
    <row r="109" ht="14.25">
      <c r="A109" s="44"/>
    </row>
    <row r="110" ht="14.25">
      <c r="A110" s="44"/>
    </row>
    <row r="111" ht="14.25">
      <c r="A111" s="44"/>
    </row>
    <row r="112" ht="14.25">
      <c r="A112" s="44"/>
    </row>
    <row r="113" ht="14.25">
      <c r="A113" s="44"/>
    </row>
    <row r="114" ht="14.25">
      <c r="A114" s="44"/>
    </row>
    <row r="115" ht="14.25">
      <c r="A115" s="44"/>
    </row>
    <row r="116" ht="14.25">
      <c r="A116" s="44"/>
    </row>
    <row r="117" ht="14.25">
      <c r="A117" s="44"/>
    </row>
    <row r="118" ht="14.25">
      <c r="A118" s="44"/>
    </row>
    <row r="119" ht="14.25">
      <c r="A119" s="44"/>
    </row>
    <row r="120" ht="14.25">
      <c r="A120" s="44"/>
    </row>
    <row r="121" ht="14.25">
      <c r="A121" s="44"/>
    </row>
    <row r="122" ht="14.25">
      <c r="A122" s="44"/>
    </row>
    <row r="123" ht="14.25">
      <c r="A123" s="44"/>
    </row>
    <row r="124" ht="14.25">
      <c r="A124" s="44"/>
    </row>
    <row r="125" ht="14.25">
      <c r="A125" s="44"/>
    </row>
    <row r="126" ht="14.25">
      <c r="A126" s="44"/>
    </row>
    <row r="127" ht="14.25">
      <c r="A127" s="44"/>
    </row>
    <row r="128" ht="14.25">
      <c r="A128" s="44"/>
    </row>
    <row r="129" ht="14.25">
      <c r="A129" s="44"/>
    </row>
    <row r="130" ht="14.25">
      <c r="A130" s="44"/>
    </row>
    <row r="131" ht="14.25">
      <c r="A131" s="44"/>
    </row>
    <row r="132" ht="14.25">
      <c r="A132" s="44"/>
    </row>
    <row r="133" ht="14.25">
      <c r="A133" s="44"/>
    </row>
    <row r="134" ht="14.25">
      <c r="A134" s="44"/>
    </row>
    <row r="135" ht="14.25">
      <c r="A135" s="44"/>
    </row>
    <row r="136" ht="14.25">
      <c r="A136" s="44"/>
    </row>
    <row r="137" ht="14.25">
      <c r="A137" s="44"/>
    </row>
    <row r="138" ht="14.25">
      <c r="A138" s="44"/>
    </row>
    <row r="139" ht="14.25">
      <c r="A139" s="44"/>
    </row>
    <row r="140" ht="14.25">
      <c r="A140" s="44"/>
    </row>
    <row r="141" ht="14.25">
      <c r="A141" s="44"/>
    </row>
    <row r="142" ht="14.25">
      <c r="A142" s="44"/>
    </row>
    <row r="143" ht="14.25">
      <c r="A143" s="44"/>
    </row>
    <row r="144" ht="14.25">
      <c r="A144" s="44"/>
    </row>
    <row r="145" ht="14.25">
      <c r="A145" s="44"/>
    </row>
    <row r="146" ht="14.25">
      <c r="A146" s="44"/>
    </row>
    <row r="147" ht="14.25">
      <c r="A147" s="44"/>
    </row>
    <row r="148" ht="14.25">
      <c r="A148" s="44"/>
    </row>
    <row r="149" ht="14.25">
      <c r="A149" s="44"/>
    </row>
    <row r="150" ht="14.25">
      <c r="A150" s="44"/>
    </row>
    <row r="151" ht="14.25">
      <c r="A151" s="44"/>
    </row>
    <row r="152" ht="14.25">
      <c r="A152" s="44"/>
    </row>
    <row r="153" ht="14.25">
      <c r="A153" s="44"/>
    </row>
    <row r="154" ht="14.25">
      <c r="A154" s="44"/>
    </row>
    <row r="155" ht="14.25">
      <c r="A155" s="44"/>
    </row>
    <row r="156" ht="14.25">
      <c r="A156" s="44"/>
    </row>
    <row r="157" ht="14.25">
      <c r="A157" s="44"/>
    </row>
    <row r="158" ht="14.25">
      <c r="A158" s="44"/>
    </row>
    <row r="159" ht="14.25">
      <c r="A159" s="44"/>
    </row>
    <row r="160" ht="14.25">
      <c r="A160" s="44"/>
    </row>
    <row r="161" ht="14.25">
      <c r="A161" s="44"/>
    </row>
    <row r="162" ht="14.25">
      <c r="A162" s="44"/>
    </row>
    <row r="163" ht="14.25">
      <c r="A163" s="44"/>
    </row>
    <row r="164" ht="14.25">
      <c r="A164" s="44"/>
    </row>
    <row r="165" ht="14.25">
      <c r="A165" s="44"/>
    </row>
    <row r="166" ht="14.25">
      <c r="A166" s="44"/>
    </row>
    <row r="167" ht="14.25">
      <c r="A167" s="44"/>
    </row>
    <row r="168" ht="14.25">
      <c r="A168" s="44"/>
    </row>
    <row r="169" ht="14.25">
      <c r="A169" s="44"/>
    </row>
    <row r="170" ht="14.25">
      <c r="A170" s="44"/>
    </row>
    <row r="171" ht="14.25">
      <c r="A171" s="44"/>
    </row>
    <row r="172" ht="14.25">
      <c r="A172" s="44"/>
    </row>
    <row r="173" ht="14.25">
      <c r="A173" s="44"/>
    </row>
    <row r="174" ht="14.25">
      <c r="A174" s="44"/>
    </row>
    <row r="175" ht="14.25">
      <c r="A175" s="44"/>
    </row>
    <row r="176" ht="14.25">
      <c r="A176" s="44"/>
    </row>
    <row r="177" ht="14.25">
      <c r="A177" s="44"/>
    </row>
    <row r="178" ht="14.25">
      <c r="A178" s="44"/>
    </row>
    <row r="179" ht="14.25">
      <c r="A179" s="44"/>
    </row>
    <row r="180" ht="14.25">
      <c r="A180" s="44"/>
    </row>
    <row r="181" ht="14.25">
      <c r="A181" s="44"/>
    </row>
    <row r="182" ht="14.25">
      <c r="A182" s="44"/>
    </row>
    <row r="183" ht="14.25">
      <c r="A183" s="44"/>
    </row>
    <row r="184" ht="14.25">
      <c r="A184" s="44"/>
    </row>
    <row r="185" ht="14.25">
      <c r="A185" s="44"/>
    </row>
    <row r="186" ht="14.25">
      <c r="A186" s="44"/>
    </row>
    <row r="187" ht="14.25">
      <c r="A187" s="44"/>
    </row>
    <row r="188" ht="14.25">
      <c r="A188" s="44"/>
    </row>
    <row r="189" ht="14.25">
      <c r="A189" s="44"/>
    </row>
    <row r="190" ht="14.25">
      <c r="A190" s="44"/>
    </row>
    <row r="191" ht="14.25">
      <c r="A191" s="44"/>
    </row>
    <row r="192" ht="14.25">
      <c r="A192" s="44"/>
    </row>
    <row r="193" ht="14.25">
      <c r="A193" s="44"/>
    </row>
    <row r="194" ht="14.25">
      <c r="A194" s="44"/>
    </row>
    <row r="195" ht="14.25">
      <c r="A195" s="44"/>
    </row>
    <row r="196" ht="14.25">
      <c r="A196" s="44"/>
    </row>
    <row r="197" ht="14.25">
      <c r="A197" s="44"/>
    </row>
    <row r="198" ht="14.25">
      <c r="A198" s="44"/>
    </row>
    <row r="199" ht="14.25">
      <c r="A199" s="44"/>
    </row>
    <row r="200" ht="14.25">
      <c r="A200" s="44"/>
    </row>
    <row r="201" ht="14.25">
      <c r="A201" s="44"/>
    </row>
    <row r="202" ht="14.25">
      <c r="A202" s="44"/>
    </row>
    <row r="203" ht="14.25">
      <c r="A203" s="44"/>
    </row>
    <row r="204" ht="14.25">
      <c r="A204" s="44"/>
    </row>
    <row r="205" ht="14.25">
      <c r="A205" s="44"/>
    </row>
    <row r="206" ht="14.25">
      <c r="A206" s="44"/>
    </row>
    <row r="207" ht="14.25">
      <c r="A207" s="44"/>
    </row>
    <row r="208" ht="14.25">
      <c r="A208" s="44"/>
    </row>
    <row r="209" ht="14.25">
      <c r="A209" s="44"/>
    </row>
    <row r="210" ht="14.25">
      <c r="A210" s="44"/>
    </row>
    <row r="211" ht="14.25">
      <c r="A211" s="44"/>
    </row>
    <row r="212" ht="14.25">
      <c r="A212" s="44"/>
    </row>
    <row r="213" ht="14.25">
      <c r="A213" s="44"/>
    </row>
    <row r="214" ht="14.25">
      <c r="A214" s="44"/>
    </row>
    <row r="215" ht="14.25">
      <c r="A215" s="44"/>
    </row>
    <row r="216" ht="14.25">
      <c r="A216" s="44"/>
    </row>
    <row r="217" ht="14.25">
      <c r="A217" s="44"/>
    </row>
    <row r="218" ht="14.25">
      <c r="A218" s="44"/>
    </row>
    <row r="219" ht="14.25">
      <c r="A219" s="44"/>
    </row>
    <row r="220" ht="14.25">
      <c r="A220" s="44"/>
    </row>
    <row r="221" ht="14.25">
      <c r="A221" s="44"/>
    </row>
    <row r="222" ht="14.25">
      <c r="A222" s="44"/>
    </row>
    <row r="223" ht="14.25">
      <c r="A223" s="44"/>
    </row>
    <row r="224" ht="14.25">
      <c r="A224" s="44"/>
    </row>
    <row r="225" ht="14.25">
      <c r="A225" s="44"/>
    </row>
    <row r="226" ht="14.25">
      <c r="A226" s="44"/>
    </row>
    <row r="227" ht="14.25">
      <c r="A227" s="44"/>
    </row>
    <row r="228" ht="14.25">
      <c r="A228" s="44"/>
    </row>
    <row r="229" ht="14.25">
      <c r="A229" s="44"/>
    </row>
    <row r="230" ht="14.25">
      <c r="A230" s="44"/>
    </row>
    <row r="231" ht="14.25">
      <c r="A231" s="44"/>
    </row>
    <row r="232" ht="14.25">
      <c r="A232" s="44"/>
    </row>
    <row r="233" ht="14.25">
      <c r="A233" s="44"/>
    </row>
    <row r="234" ht="14.25">
      <c r="A234" s="44"/>
    </row>
    <row r="235" ht="14.25">
      <c r="A235" s="44"/>
    </row>
    <row r="236" ht="14.25">
      <c r="A236" s="44"/>
    </row>
    <row r="237" ht="14.25">
      <c r="A237" s="44"/>
    </row>
    <row r="238" ht="14.25">
      <c r="A238" s="44"/>
    </row>
    <row r="239" ht="14.25">
      <c r="A239" s="44"/>
    </row>
    <row r="240" ht="14.25">
      <c r="A240" s="44"/>
    </row>
    <row r="241" ht="14.25">
      <c r="A241" s="44"/>
    </row>
    <row r="242" ht="14.25">
      <c r="A242" s="44"/>
    </row>
    <row r="243" ht="14.25">
      <c r="A243" s="44"/>
    </row>
    <row r="244" ht="14.25">
      <c r="A244" s="44"/>
    </row>
    <row r="245" ht="14.25">
      <c r="A245" s="44"/>
    </row>
    <row r="246" ht="14.25">
      <c r="A246" s="44"/>
    </row>
    <row r="247" ht="14.25">
      <c r="A247" s="44"/>
    </row>
    <row r="248" ht="14.25">
      <c r="A248" s="44"/>
    </row>
    <row r="249" ht="14.25">
      <c r="A249" s="44"/>
    </row>
    <row r="250" ht="14.25">
      <c r="A250" s="44"/>
    </row>
    <row r="251" ht="14.25">
      <c r="A251" s="44"/>
    </row>
    <row r="252" ht="14.25">
      <c r="A252" s="44"/>
    </row>
    <row r="253" ht="14.25">
      <c r="A253" s="44"/>
    </row>
    <row r="254" ht="14.25">
      <c r="A254" s="44"/>
    </row>
    <row r="255" ht="14.25">
      <c r="A255" s="44"/>
    </row>
    <row r="256" ht="14.25">
      <c r="A256" s="44"/>
    </row>
    <row r="257" ht="14.25">
      <c r="A257" s="44"/>
    </row>
    <row r="258" ht="14.25">
      <c r="A258" s="44"/>
    </row>
    <row r="259" ht="14.25">
      <c r="A259" s="44"/>
    </row>
    <row r="260" ht="14.25">
      <c r="A260" s="44"/>
    </row>
    <row r="261" ht="14.25">
      <c r="A261" s="44"/>
    </row>
    <row r="262" ht="14.25">
      <c r="A262" s="44"/>
    </row>
    <row r="263" ht="14.25">
      <c r="A263" s="44"/>
    </row>
    <row r="264" ht="14.25">
      <c r="A264" s="44"/>
    </row>
    <row r="265" ht="14.25">
      <c r="A265" s="44"/>
    </row>
    <row r="266" ht="14.25">
      <c r="A266" s="44"/>
    </row>
    <row r="267" ht="14.25">
      <c r="A267" s="44"/>
    </row>
    <row r="268" ht="14.25">
      <c r="A268" s="44"/>
    </row>
    <row r="269" ht="14.25">
      <c r="A269" s="44"/>
    </row>
    <row r="270" ht="14.25">
      <c r="A270" s="44"/>
    </row>
    <row r="271" ht="14.25">
      <c r="A271" s="44"/>
    </row>
    <row r="272" ht="14.25">
      <c r="A272" s="44"/>
    </row>
    <row r="273" ht="14.25">
      <c r="A273" s="44"/>
    </row>
    <row r="274" ht="14.25">
      <c r="A274" s="44"/>
    </row>
    <row r="275" ht="14.25">
      <c r="A275" s="44"/>
    </row>
    <row r="276" ht="14.25">
      <c r="A276" s="44"/>
    </row>
    <row r="277" ht="14.25">
      <c r="A277" s="44"/>
    </row>
    <row r="278" ht="14.25">
      <c r="A278" s="44"/>
    </row>
    <row r="279" ht="14.25">
      <c r="A279" s="44"/>
    </row>
    <row r="280" ht="14.25">
      <c r="A280" s="44"/>
    </row>
    <row r="281" ht="14.25">
      <c r="A281" s="44"/>
    </row>
    <row r="282" ht="14.25">
      <c r="A282" s="44"/>
    </row>
    <row r="283" ht="14.25">
      <c r="A283" s="44"/>
    </row>
    <row r="284" ht="14.25">
      <c r="A284" s="44"/>
    </row>
    <row r="285" ht="14.25">
      <c r="A285" s="44"/>
    </row>
    <row r="286" ht="14.25">
      <c r="A286" s="44"/>
    </row>
    <row r="287" ht="14.25">
      <c r="A287" s="44"/>
    </row>
    <row r="288" ht="14.25">
      <c r="A288" s="44"/>
    </row>
    <row r="289" ht="14.25">
      <c r="A289" s="44"/>
    </row>
    <row r="290" ht="14.25">
      <c r="A290" s="44"/>
    </row>
    <row r="291" ht="14.25">
      <c r="A291" s="44"/>
    </row>
    <row r="292" ht="14.25">
      <c r="A292" s="44"/>
    </row>
    <row r="293" ht="14.25">
      <c r="A293" s="44"/>
    </row>
    <row r="294" ht="14.25">
      <c r="A294" s="44"/>
    </row>
    <row r="295" ht="14.25">
      <c r="A295" s="44"/>
    </row>
    <row r="296" ht="14.25">
      <c r="A296" s="44"/>
    </row>
    <row r="297" ht="14.25">
      <c r="A297" s="44"/>
    </row>
    <row r="298" ht="14.25">
      <c r="A298" s="44"/>
    </row>
    <row r="299" ht="14.25">
      <c r="A299" s="44"/>
    </row>
    <row r="300" ht="14.25">
      <c r="A300" s="44"/>
    </row>
    <row r="301" ht="14.25">
      <c r="A301" s="44"/>
    </row>
    <row r="302" ht="14.25">
      <c r="A302" s="44"/>
    </row>
    <row r="303" ht="14.25">
      <c r="A303" s="44"/>
    </row>
    <row r="304" ht="14.25">
      <c r="A304" s="44"/>
    </row>
    <row r="305" ht="14.25">
      <c r="A305" s="44"/>
    </row>
    <row r="306" ht="14.25">
      <c r="A306" s="44"/>
    </row>
    <row r="307" ht="14.25">
      <c r="A307" s="44"/>
    </row>
    <row r="308" ht="14.25">
      <c r="A308" s="44"/>
    </row>
    <row r="309" ht="14.25">
      <c r="A309" s="44"/>
    </row>
    <row r="310" ht="14.25">
      <c r="A310" s="44"/>
    </row>
    <row r="311" ht="14.25">
      <c r="A311" s="44"/>
    </row>
    <row r="312" ht="14.25">
      <c r="A312" s="44"/>
    </row>
    <row r="313" ht="14.25">
      <c r="A313" s="44"/>
    </row>
    <row r="314" ht="14.25">
      <c r="A314" s="44"/>
    </row>
    <row r="315" ht="14.25">
      <c r="A315" s="44"/>
    </row>
    <row r="316" ht="14.25">
      <c r="A316" s="44"/>
    </row>
    <row r="317" ht="14.25">
      <c r="A317" s="44"/>
    </row>
    <row r="318" ht="14.25">
      <c r="A318" s="44"/>
    </row>
    <row r="319" ht="14.25">
      <c r="A319" s="44"/>
    </row>
    <row r="320" ht="14.25">
      <c r="A320" s="44"/>
    </row>
    <row r="321" ht="14.25">
      <c r="A321" s="44"/>
    </row>
    <row r="322" ht="14.25">
      <c r="A322" s="44"/>
    </row>
    <row r="323" ht="14.25">
      <c r="A323" s="44"/>
    </row>
    <row r="324" ht="14.25">
      <c r="A324" s="44"/>
    </row>
    <row r="325" ht="14.25">
      <c r="A325" s="44"/>
    </row>
    <row r="326" ht="14.25">
      <c r="A326" s="44"/>
    </row>
    <row r="327" ht="14.25">
      <c r="A327" s="44"/>
    </row>
    <row r="328" ht="14.25">
      <c r="A328" s="44"/>
    </row>
    <row r="329" ht="14.25">
      <c r="A329" s="44"/>
    </row>
    <row r="330" ht="14.25">
      <c r="A330" s="44"/>
    </row>
    <row r="331" ht="14.25">
      <c r="A331" s="44"/>
    </row>
    <row r="332" ht="14.25">
      <c r="A332" s="44"/>
    </row>
    <row r="333" ht="14.25">
      <c r="A333" s="44"/>
    </row>
    <row r="334" ht="14.25">
      <c r="A334" s="44"/>
    </row>
    <row r="335" ht="14.25">
      <c r="A335" s="44"/>
    </row>
    <row r="336" ht="14.25">
      <c r="A336" s="44"/>
    </row>
    <row r="337" ht="14.25">
      <c r="A337" s="44"/>
    </row>
    <row r="338" ht="14.25">
      <c r="A338" s="44"/>
    </row>
    <row r="339" ht="14.25">
      <c r="A339" s="44"/>
    </row>
    <row r="340" ht="14.25">
      <c r="A340" s="44"/>
    </row>
    <row r="341" ht="14.25">
      <c r="A341" s="44"/>
    </row>
    <row r="342" ht="14.25">
      <c r="A342" s="44"/>
    </row>
    <row r="343" ht="14.25">
      <c r="A343" s="44"/>
    </row>
    <row r="344" ht="14.25">
      <c r="A344" s="44"/>
    </row>
    <row r="345" ht="14.25">
      <c r="A345" s="44"/>
    </row>
    <row r="346" ht="14.25">
      <c r="A346" s="44"/>
    </row>
    <row r="347" ht="14.25">
      <c r="A347" s="44"/>
    </row>
    <row r="348" ht="14.25">
      <c r="A348" s="44"/>
    </row>
    <row r="349" ht="14.25">
      <c r="A349" s="44"/>
    </row>
    <row r="350" ht="14.25">
      <c r="A350" s="44"/>
    </row>
    <row r="351" ht="14.25">
      <c r="A351" s="44"/>
    </row>
    <row r="352" ht="14.25">
      <c r="A352" s="44"/>
    </row>
    <row r="353" ht="14.25">
      <c r="A353" s="44"/>
    </row>
    <row r="354" ht="14.25">
      <c r="A354" s="44"/>
    </row>
    <row r="355" ht="14.25">
      <c r="A355" s="44"/>
    </row>
    <row r="356" ht="14.25">
      <c r="A356" s="44"/>
    </row>
    <row r="357" ht="14.25">
      <c r="A357" s="44"/>
    </row>
    <row r="358" ht="14.25">
      <c r="A358" s="44"/>
    </row>
    <row r="359" ht="14.25">
      <c r="A359" s="44"/>
    </row>
    <row r="360" ht="14.25">
      <c r="A360" s="44"/>
    </row>
    <row r="361" ht="14.25">
      <c r="A361" s="44"/>
    </row>
    <row r="362" ht="14.25">
      <c r="A362" s="44"/>
    </row>
    <row r="363" ht="14.25">
      <c r="A363" s="44"/>
    </row>
    <row r="364" ht="14.25">
      <c r="A364" s="44"/>
    </row>
    <row r="365" ht="14.25">
      <c r="A365" s="44"/>
    </row>
    <row r="366" ht="14.25">
      <c r="A366" s="44"/>
    </row>
    <row r="367" ht="14.25">
      <c r="A367" s="44"/>
    </row>
    <row r="368" ht="14.25">
      <c r="A368" s="44"/>
    </row>
    <row r="369" ht="14.25">
      <c r="A369" s="44"/>
    </row>
    <row r="370" ht="14.25">
      <c r="A370" s="44"/>
    </row>
    <row r="371" ht="14.25">
      <c r="A371" s="44"/>
    </row>
    <row r="372" ht="14.25">
      <c r="A372" s="44"/>
    </row>
    <row r="373" ht="14.25">
      <c r="A373" s="44"/>
    </row>
    <row r="374" ht="14.25">
      <c r="A374" s="44"/>
    </row>
    <row r="375" ht="14.25">
      <c r="A375" s="44"/>
    </row>
    <row r="376" ht="14.25">
      <c r="A376" s="44"/>
    </row>
    <row r="377" ht="14.25">
      <c r="A377" s="44"/>
    </row>
    <row r="378" ht="14.25">
      <c r="A378" s="44"/>
    </row>
    <row r="379" ht="14.25">
      <c r="A379" s="44"/>
    </row>
    <row r="380" ht="14.25">
      <c r="A380" s="44"/>
    </row>
    <row r="381" ht="14.25">
      <c r="A381" s="44"/>
    </row>
    <row r="382" ht="14.25">
      <c r="A382" s="44"/>
    </row>
    <row r="383" ht="14.25">
      <c r="A383" s="44"/>
    </row>
    <row r="384" ht="14.25">
      <c r="A384" s="44"/>
    </row>
    <row r="385" ht="14.25">
      <c r="A385" s="44"/>
    </row>
    <row r="386" ht="14.25">
      <c r="A386" s="44"/>
    </row>
    <row r="387" ht="14.25">
      <c r="A387" s="44"/>
    </row>
    <row r="388" ht="14.25">
      <c r="A388" s="44"/>
    </row>
    <row r="389" ht="14.25">
      <c r="A389" s="44"/>
    </row>
    <row r="390" ht="14.25">
      <c r="A390" s="44"/>
    </row>
    <row r="391" ht="14.25">
      <c r="A391" s="44"/>
    </row>
    <row r="392" ht="14.25">
      <c r="A392" s="44"/>
    </row>
    <row r="393" ht="14.25">
      <c r="A393" s="44"/>
    </row>
    <row r="394" ht="14.25">
      <c r="A394" s="44"/>
    </row>
    <row r="395" ht="14.25">
      <c r="A395" s="44"/>
    </row>
    <row r="396" ht="14.25">
      <c r="A396" s="44"/>
    </row>
    <row r="397" ht="14.25">
      <c r="A397" s="44"/>
    </row>
    <row r="398" ht="14.25">
      <c r="A398" s="44"/>
    </row>
    <row r="399" ht="14.25">
      <c r="A399" s="44"/>
    </row>
    <row r="400" ht="14.25">
      <c r="A400" s="44"/>
    </row>
    <row r="401" ht="14.25">
      <c r="A401" s="44"/>
    </row>
    <row r="402" ht="14.25">
      <c r="A402" s="44"/>
    </row>
  </sheetData>
  <mergeCells count="8">
    <mergeCell ref="B78:O78"/>
    <mergeCell ref="B7:B8"/>
    <mergeCell ref="A5:M5"/>
    <mergeCell ref="L6:N6"/>
    <mergeCell ref="N7:N8"/>
    <mergeCell ref="A7:A8"/>
    <mergeCell ref="C7:G7"/>
    <mergeCell ref="H7:M7"/>
  </mergeCells>
  <printOptions/>
  <pageMargins left="0.9055118110236221" right="0.35433070866141736" top="0.56" bottom="0.36" header="0.35433070866141736" footer="0.3937007874015748"/>
  <pageSetup fitToHeight="4" fitToWidth="1" horizontalDpi="240" verticalDpi="24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Логвиненко</cp:lastModifiedBy>
  <cp:lastPrinted>2006-02-07T06:20:52Z</cp:lastPrinted>
  <dcterms:created xsi:type="dcterms:W3CDTF">2002-01-02T08:54:19Z</dcterms:created>
  <dcterms:modified xsi:type="dcterms:W3CDTF">2006-02-07T07:13:51Z</dcterms:modified>
  <cp:category/>
  <cp:version/>
  <cp:contentType/>
  <cp:contentStatus/>
</cp:coreProperties>
</file>