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8325" windowHeight="3870" tabRatio="601" activeTab="0"/>
  </bookViews>
  <sheets>
    <sheet name="Місто" sheetId="1" r:id="rId1"/>
  </sheets>
  <definedNames>
    <definedName name="_xlnm.Print_Area" localSheetId="0">'Місто'!$A$1:$N$230</definedName>
  </definedNames>
  <calcPr fullCalcOnLoad="1"/>
</workbook>
</file>

<file path=xl/sharedStrings.xml><?xml version="1.0" encoding="utf-8"?>
<sst xmlns="http://schemas.openxmlformats.org/spreadsheetml/2006/main" count="393" uniqueCount="239">
  <si>
    <t>Відділ по роботі з документами дозвільного характеру міської ради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</si>
  <si>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</si>
  <si>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Видатки загального фонду</t>
  </si>
  <si>
    <t>Видатки спеціального фонду</t>
  </si>
  <si>
    <t>Всього</t>
  </si>
  <si>
    <t>поточні (код 1000)</t>
  </si>
  <si>
    <t>з них: оплата праці (код 1110)</t>
  </si>
  <si>
    <t>оплата за енергоносії (код 1160)</t>
  </si>
  <si>
    <t>Капітальні (код 2000)</t>
  </si>
  <si>
    <t>З них: Бюджет розвитку</t>
  </si>
  <si>
    <t>010116</t>
  </si>
  <si>
    <t>Органи місцевого самоврядування</t>
  </si>
  <si>
    <t>070000</t>
  </si>
  <si>
    <t>Освіта</t>
  </si>
  <si>
    <t>070201</t>
  </si>
  <si>
    <t>070401</t>
  </si>
  <si>
    <t>Позашкільні заклади освіти, заходи із позашкільної роботи з дітьми</t>
  </si>
  <si>
    <t>070802</t>
  </si>
  <si>
    <t>070804</t>
  </si>
  <si>
    <t>070805</t>
  </si>
  <si>
    <t>080000</t>
  </si>
  <si>
    <t>Охорона здоров'я</t>
  </si>
  <si>
    <t>080101</t>
  </si>
  <si>
    <t>Лікарні</t>
  </si>
  <si>
    <t>080300</t>
  </si>
  <si>
    <t>080500</t>
  </si>
  <si>
    <t>Загальні і спеціалізовані стоматологічні поліклініки</t>
  </si>
  <si>
    <t>080704</t>
  </si>
  <si>
    <t>081002</t>
  </si>
  <si>
    <t>081003</t>
  </si>
  <si>
    <t>081004</t>
  </si>
  <si>
    <t>Централізовані бухгалтерії</t>
  </si>
  <si>
    <t>090412</t>
  </si>
  <si>
    <t>091103</t>
  </si>
  <si>
    <t>091204</t>
  </si>
  <si>
    <t>Територіальні центри і відділення соціальної допомоги на дому</t>
  </si>
  <si>
    <t>Капітальний ремонт житлового фонду комунальної власності</t>
  </si>
  <si>
    <t>Благоустрій міста</t>
  </si>
  <si>
    <t>110000</t>
  </si>
  <si>
    <t xml:space="preserve">Культура </t>
  </si>
  <si>
    <t>Театри</t>
  </si>
  <si>
    <t>Бібліотеки</t>
  </si>
  <si>
    <t>Школи естетичного виховання дітей</t>
  </si>
  <si>
    <t xml:space="preserve">Інші культурно-освітні заклади та заходи </t>
  </si>
  <si>
    <t>Фізична кільтура і спорт</t>
  </si>
  <si>
    <t>Проведення навчально-тренувальних зборів і змагань</t>
  </si>
  <si>
    <t>Утримання та навчально-тренувальна робота дитячо-юнацьких спортивних шкіл</t>
  </si>
  <si>
    <t>Фінансова підтримка спортивних споруд</t>
  </si>
  <si>
    <t>180404</t>
  </si>
  <si>
    <t>Підтримка малого та середнього підприємництва</t>
  </si>
  <si>
    <t>210105</t>
  </si>
  <si>
    <t xml:space="preserve">Заходи з організації рятування на водах </t>
  </si>
  <si>
    <t>240900</t>
  </si>
  <si>
    <t>250404</t>
  </si>
  <si>
    <t xml:space="preserve">Інші видатки </t>
  </si>
  <si>
    <t>250301</t>
  </si>
  <si>
    <t>Кошти, що передаються до Державного бюджету</t>
  </si>
  <si>
    <t>Дошкільні заклади освіти</t>
  </si>
  <si>
    <t>070101</t>
  </si>
  <si>
    <t>080203</t>
  </si>
  <si>
    <t>Пологові будинки</t>
  </si>
  <si>
    <t>РАЗОМ</t>
  </si>
  <si>
    <t>Спеціальні монтажно-експлуатаційні підрозділи</t>
  </si>
  <si>
    <t>170102</t>
  </si>
  <si>
    <t>170602</t>
  </si>
  <si>
    <t>Виконавчий комітет міської ради</t>
  </si>
  <si>
    <t>Головне управління архітектури та містобудування міської ради</t>
  </si>
  <si>
    <t>Управління житлового господарства міської ради</t>
  </si>
  <si>
    <t>Управління комунального господарства міської ради</t>
  </si>
  <si>
    <t>Управління з питань екології міської ради</t>
  </si>
  <si>
    <t>Управління праці та соціального захисту населення міської ради</t>
  </si>
  <si>
    <t>Управління культури міської ради</t>
  </si>
  <si>
    <t>Управління охорони здоров'я міської ради</t>
  </si>
  <si>
    <t>Управління з питань фізичної культури, спорту та туризму міської ради</t>
  </si>
  <si>
    <t>Комітет у справах сім'ї та молоді міської ради</t>
  </si>
  <si>
    <t>Управління комунальної власності міської ради</t>
  </si>
  <si>
    <t>Відділ реєстрації та єдиного реєстру міської ради</t>
  </si>
  <si>
    <t>Управління у справах приватизації міської ради</t>
  </si>
  <si>
    <t>Управління з питань надзвичайних ситуацій та цивільного захисту населення міської ради</t>
  </si>
  <si>
    <t>Фінансове управління міської ради</t>
  </si>
  <si>
    <t>Інші видатки</t>
  </si>
  <si>
    <t>Управління транспорту та зв'язку міської ради</t>
  </si>
  <si>
    <t xml:space="preserve"> Додаток 3.1.                           </t>
  </si>
  <si>
    <t>061002</t>
  </si>
  <si>
    <t>090206</t>
  </si>
  <si>
    <t>091209</t>
  </si>
  <si>
    <t>Кошти, передані із загального фонду бюджету до бюджету розвитку (спеціальний фонд)</t>
  </si>
  <si>
    <t>Видатки всього</t>
  </si>
  <si>
    <t>Центри здоров'я і заходи у сфері  санітарної освіти</t>
  </si>
  <si>
    <t>090203</t>
  </si>
  <si>
    <t xml:space="preserve">Інші видатки на соціальний захист населення </t>
  </si>
  <si>
    <t>Інші пільги ветеранам військової служби та ветеранам органів внутрішніх справ</t>
  </si>
  <si>
    <t>Цільові фонди, утворені органами місцевого самоврядування</t>
  </si>
  <si>
    <t>в тому числі</t>
  </si>
  <si>
    <t>Видатки на поховання безрідних та невідомих громадян міста</t>
  </si>
  <si>
    <t>081009</t>
  </si>
  <si>
    <t>Обслуговування внутрішнього боргу</t>
  </si>
  <si>
    <t xml:space="preserve"> до рішення  міської ради</t>
  </si>
  <si>
    <t>Секретар ради</t>
  </si>
  <si>
    <t>081</t>
  </si>
  <si>
    <t>241</t>
  </si>
  <si>
    <t>240601</t>
  </si>
  <si>
    <t>150101</t>
  </si>
  <si>
    <t>Капітальні вкладення</t>
  </si>
  <si>
    <t>250311</t>
  </si>
  <si>
    <t>250306</t>
  </si>
  <si>
    <t>130112</t>
  </si>
  <si>
    <t>Головне економічне управління міської ради</t>
  </si>
  <si>
    <t>Програма компенсації пільгового проїзду окремих категорій громадян залізничним транспортом</t>
  </si>
  <si>
    <t>Програма компенсації пільгового проїзду окремих категорій громадян річковим транспортом</t>
  </si>
  <si>
    <t>Програма на фінансування видатків на погашення витрат, пов'язаних з оформленням кредиту комунальним підприємтсвом "Експлуатаційне лінійне управління автомобільних шляхів"</t>
  </si>
  <si>
    <t>230100</t>
  </si>
  <si>
    <t>Програма по забезпеченню безпеки руху на вулично-шляховій мережі та залізничних переїздах м.Запоріжжя</t>
  </si>
  <si>
    <t>Міська комплексна програма соціального захисту населення м.Запоріжжя</t>
  </si>
  <si>
    <t>Утримання  комунальної спеціальної воєнізованої аварійно-рятувальної служби</t>
  </si>
  <si>
    <t>250315</t>
  </si>
  <si>
    <t>006</t>
  </si>
  <si>
    <t>190</t>
  </si>
  <si>
    <t>100</t>
  </si>
  <si>
    <t>211</t>
  </si>
  <si>
    <t>020</t>
  </si>
  <si>
    <t>050</t>
  </si>
  <si>
    <t>030</t>
  </si>
  <si>
    <t>150</t>
  </si>
  <si>
    <t>060</t>
  </si>
  <si>
    <t>240</t>
  </si>
  <si>
    <t>070</t>
  </si>
  <si>
    <t>160</t>
  </si>
  <si>
    <t>220</t>
  </si>
  <si>
    <t>230</t>
  </si>
  <si>
    <t>091101</t>
  </si>
  <si>
    <t>091102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</si>
  <si>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</si>
  <si>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</si>
  <si>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Загальноосвітні школи (в т.ч.школа-дитячий садок, інтернат при школі), спеціалізовані школи, ліцеї, гімназії, колегіуми)</t>
  </si>
  <si>
    <t>Методична робота, інші заходи у сфері народної освіти</t>
  </si>
  <si>
    <t>Централізовані бухгалтерії обласних, міських, районних відділів освіти</t>
  </si>
  <si>
    <t>Групи централізованого господарського обслуговування</t>
  </si>
  <si>
    <t>Поліклініки і амбулаторії (крім спеціалізованих поліклінік та загальних і спеціалізованих стоматологічних поліклінік)</t>
  </si>
  <si>
    <t>Інші заходи по охороні здоров'я</t>
  </si>
  <si>
    <t>Служби технічного нагляду за будівництвом та капітальним ремонтом</t>
  </si>
  <si>
    <t>Інші пільги ветеранам війни та праці, реабілітованим громадянам, які стали інвалідами внаслідок репресій або є пенсіонерами</t>
  </si>
  <si>
    <t>Палаци і будинки культури, клуби та інші заклади клубного типу</t>
  </si>
  <si>
    <t>Періодичні видання (газети та журнали)</t>
  </si>
  <si>
    <t>Компенсаційні виплати на пільговий проїзд автомобільним транспортом окремим категоріям громадян</t>
  </si>
  <si>
    <t>Компенсаційні виплати на пільговий проїзд електротранспортом окремим категоріям громадян</t>
  </si>
  <si>
    <t>Видатки на проведення робіт, пов'язаних із будівництвом, реконструкцією, ремонтом та утриманням автомобільних доріг</t>
  </si>
  <si>
    <t>Запобігання та ліквідація надзвичайних ситуацій та наслідків стихійного лиха</t>
  </si>
  <si>
    <t xml:space="preserve">Видатки на запобігання та ліквідацію надзвичайних ситуацій та наслідків стихійного лиха </t>
  </si>
  <si>
    <t>Охорона та раціональне використання природних ресурсів</t>
  </si>
  <si>
    <t>Дотація вирівнювання бюджету Тепличної селищної ради</t>
  </si>
  <si>
    <t>Інші дотації</t>
  </si>
  <si>
    <t>150121</t>
  </si>
  <si>
    <t>Заходи з упередження аварій та запобігання техногенних катастроф у житлово-комунальному господарстві та інших аварійних об'єктах комунальної власності</t>
  </si>
  <si>
    <t>Програма на погашення заборгованості по компенсації пільгового проїзду окремих категорій громадян річковим транспортом в навігацію 2003 року</t>
  </si>
  <si>
    <t>Програма компенсації пільгового проїзду учнів середніх загальноосвітніх навчальних закладів, учнів професійно-технічних навчальних закладів та студентів вищих навчальних закладів І-ІV рівнів акредитації денної форми навчання у міському електротранспорті</t>
  </si>
  <si>
    <t>Програма матеріальної допомоги почесним громадянам міста Запоріжжя</t>
  </si>
  <si>
    <t>Управління освіти і науки міської ради</t>
  </si>
  <si>
    <t>Програма матеріальної підтримки обдарованої молоді</t>
  </si>
  <si>
    <t>Програма забезпечення громадської безпеки і профілактики злочинності у м.Запоріжжі, матеріально-технічної бази органів та підрозділів ЗМУ УМВС України в Запорізькій області</t>
  </si>
  <si>
    <t>180409</t>
  </si>
  <si>
    <t>Внески органів місцевого самоврядування у статутні фонди суб'єктів підприємницької діяльності</t>
  </si>
  <si>
    <t>091108</t>
  </si>
  <si>
    <t>Програма ремонту внутрішньоквартальних шляхів</t>
  </si>
  <si>
    <t>150122</t>
  </si>
  <si>
    <t>Інвестиційні проекти</t>
  </si>
  <si>
    <t>090417</t>
  </si>
  <si>
    <t>Витрати на поховання учасників бойових дій</t>
  </si>
  <si>
    <t>Забезпечення діяльності депутатів міської ради</t>
  </si>
  <si>
    <t xml:space="preserve">                                                               Назва головного розпорядника              Назва підрозділу бюджетної класифікації</t>
  </si>
  <si>
    <t>КВК/      КФКВ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</si>
  <si>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</si>
  <si>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</si>
  <si>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Програма погашення заборгованості управління комунального господарства міської ради перед управлінням житлового господарства міської ради, яка виникла внаслідок передачи векселя</t>
  </si>
  <si>
    <t>(грн.)</t>
  </si>
  <si>
    <t>Капітальний ремонт житлового фонду об'єднань співвласників багатоквартирних будинків</t>
  </si>
  <si>
    <t xml:space="preserve">Програма раціонального використання території та комплексного містобудівного розвитку міста </t>
  </si>
  <si>
    <t>Утримання центрів соціальних служб для сім'ї, дітей та молоді</t>
  </si>
  <si>
    <t>Соціальні програми і заходи державних органів у справах сім'ї, дітей та молоді</t>
  </si>
  <si>
    <t>070808</t>
  </si>
  <si>
    <t>Допомога дітям-сиротам та дітям, позбавленим батьківського піклування, яким виповнюється 18 років</t>
  </si>
  <si>
    <t>070402</t>
  </si>
  <si>
    <t>Заходи з оздоровлення та відпочинку дітей (крім заходів з реалізації регіональних програм відпочинку та оздоровлення дітей)</t>
  </si>
  <si>
    <t>Програма компенсації пільгового проїзду студентів вищих навчальних закладів І-ІV рівнів акредитації денної форми навчання та учнів професійно-технічних навчальних закладів у міському електротранспорті</t>
  </si>
  <si>
    <t>Програма утримання житлового фонду комунальної власності</t>
  </si>
  <si>
    <t>083</t>
  </si>
  <si>
    <t>Капітальний ремонт житлового фонду ЖБК</t>
  </si>
  <si>
    <t>170302</t>
  </si>
  <si>
    <t>Компенсаційні виплати за пільговий проїзд окремих категорій громадян на залізничному транспорті</t>
  </si>
  <si>
    <t>100202</t>
  </si>
  <si>
    <t>200700</t>
  </si>
  <si>
    <t>170203</t>
  </si>
  <si>
    <t>Програма про посилення контролю за дотриманням природоохоронного законодавства</t>
  </si>
  <si>
    <t>Управління розвитку підприємництва, торгівлі та послуг міської ради</t>
  </si>
  <si>
    <t>Програми і заходи центрів соціальних служб для сім'ї, дітей та молоді</t>
  </si>
  <si>
    <t>250344</t>
  </si>
  <si>
    <t>Субвенція до державного бюджету на виконання програм соціально-економічного та культурного розвитку регіонів</t>
  </si>
  <si>
    <t>Програма участі депутатів міської ради, як представників інтересів жителів виборчих округів, у поліпшенні житлового фонду, зовнішнього вигляду міста та у розвитку соціально-культурної інфраструктури міста</t>
  </si>
  <si>
    <t>150107</t>
  </si>
  <si>
    <t>Житлове будівництво і придбання житла  військовослужбовцям, особам рядового і начальницького складу кримінально-виконавчої системи та органів внутрішніх справ, в тому числі звільненим у запас або відставку за станом здоров'я, віком, вислугою років та у зв'язку  із скороченням штатів, які перебувають на квартирному обліку за місцем проживання, членам сімей з числа цих осіб, які загинули під час виконня ними службових обов'язків, а також учасникам бойових дій в Афганістані та военних конфліктів у зарубіжних країнах</t>
  </si>
  <si>
    <t xml:space="preserve">Капітальний ремонт зливової каналізації по вул. 40 Років Радянської України </t>
  </si>
  <si>
    <t>150115</t>
  </si>
  <si>
    <t>Завершення проектів газифікації сільських населених пунктів з високим ступенем готовності</t>
  </si>
  <si>
    <t>070809</t>
  </si>
  <si>
    <t>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</t>
  </si>
  <si>
    <t>110206</t>
  </si>
  <si>
    <t>100501</t>
  </si>
  <si>
    <t>Погашення зобов'язань держави за знеціненими грошовими заощадженнями громадян в установах Ощадного ьанку колишнього СРСР шляхом погашення заборгованості за житлово-комунальні послуги</t>
  </si>
  <si>
    <t>170603</t>
  </si>
  <si>
    <t>Інші заходи у сфері електротранспорту</t>
  </si>
  <si>
    <t>Цільові фонди, утворені органами місцевого самоврядування, в тому числі</t>
  </si>
  <si>
    <t>100302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</si>
  <si>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</si>
  <si>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Розподіл видатків міського бюджету на 2006 рік за головними розпорядниками коштів"</t>
  </si>
  <si>
    <t>Програма висвітлення діяльності виконавчих органів рад</t>
  </si>
  <si>
    <t>070803</t>
  </si>
  <si>
    <t>Сужби технічного нагляду за будівництвом і капітальним ремонтом</t>
  </si>
  <si>
    <t>Фінансування заходів по програмі зайнятості населення м.Запоріжжя на 2006 рік</t>
  </si>
  <si>
    <t>Програма освітлення архітектурно-декоративного обладнання на баштах будинків м.Запоріжжя</t>
  </si>
  <si>
    <t>Видатки за рахунок субвенції з державного бюджету на підготовку та проведення експерименту по впровадженню соціальних стандартів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</si>
  <si>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</si>
  <si>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Програма забезпечення участі Запорізької міської ради в Асоціації міст України та громад</t>
  </si>
  <si>
    <t>Фінансова підтримка громадських організацій інвалідів та ветеранів</t>
  </si>
  <si>
    <t>Заходи Комплексної програми "Цукровий діабет" та лікування нецукрового діабету</t>
  </si>
  <si>
    <t>250203</t>
  </si>
  <si>
    <t>250388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</si>
  <si>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</si>
  <si>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державному бюджету на виконання програм соціально-економічного та культурного розвитку регіонів</t>
  </si>
  <si>
    <t xml:space="preserve">Програма "Спеціалізований депутатський фонд " на 2006 рік </t>
  </si>
  <si>
    <t>110</t>
  </si>
  <si>
    <t>080</t>
  </si>
  <si>
    <t>Компенсаційні виплати за пільговий проїзд окремих категорій громадян на водному транспорті</t>
  </si>
  <si>
    <t>Програма земельної реформи в місті Запоріжжя на 2006 рік</t>
  </si>
  <si>
    <t>100101</t>
  </si>
  <si>
    <t>Житлово-експлуатаційне господарство</t>
  </si>
  <si>
    <t>100601</t>
  </si>
  <si>
    <t>Погашення заборгованості минулих років з різниці в тарифах на теплову енергію, послуги з водопостачання та водовідведення, що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</t>
  </si>
  <si>
    <t>Ю.В.Каптюх</t>
  </si>
  <si>
    <t>28.07.2006 № 10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</si>
</sst>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_)"/>
    <numFmt numFmtId="174" formatCode="000000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0.000"/>
    <numFmt numFmtId="184" formatCode="0.000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0.00000"/>
    <numFmt numFmtId="189" formatCode="00000\-0000"/>
    <numFmt numFmtId="190" formatCode="_-* #,##0.0_р_._-;\-* #,##0.0_р_._-;_-* &quot;-&quot;??_р_._-;_-@_-"/>
    <numFmt numFmtId="191" formatCode="_-* #,##0_р_._-;\-* #,##0_р_._-;_-* &quot;-&quot;??_р_._-;_-@_-"/>
    <numFmt numFmtId="192" formatCode="_-* #,##0.0_р_._-;\-* #,##0.0_р_._-;_-* &quot;-&quot;?_р_._-;_-@_-"/>
    <numFmt numFmtId="193" formatCode="#,##0.000_р_."/>
  </numFmts>
  <fonts count="8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vertical="center" wrapText="1"/>
    </xf>
    <xf numFmtId="183" fontId="0" fillId="0" borderId="0" xfId="0" applyNumberFormat="1" applyFont="1" applyAlignment="1">
      <alignment/>
    </xf>
    <xf numFmtId="18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wrapText="1"/>
    </xf>
    <xf numFmtId="172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2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183" fontId="0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wrapText="1"/>
    </xf>
    <xf numFmtId="0" fontId="0" fillId="0" borderId="0" xfId="0" applyAlignment="1">
      <alignment/>
    </xf>
    <xf numFmtId="49" fontId="0" fillId="0" borderId="2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horizontal="left" wrapText="1"/>
    </xf>
    <xf numFmtId="49" fontId="0" fillId="0" borderId="0" xfId="0" applyNumberFormat="1" applyAlignment="1">
      <alignment/>
    </xf>
    <xf numFmtId="0" fontId="0" fillId="2" borderId="2" xfId="0" applyFont="1" applyFill="1" applyBorder="1" applyAlignment="1">
      <alignment horizontal="left" wrapText="1"/>
    </xf>
    <xf numFmtId="1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Border="1" applyAlignment="1">
      <alignment horizontal="right"/>
    </xf>
    <xf numFmtId="1" fontId="0" fillId="2" borderId="1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 horizontal="right"/>
    </xf>
    <xf numFmtId="1" fontId="0" fillId="2" borderId="0" xfId="0" applyNumberFormat="1" applyFont="1" applyFill="1" applyAlignment="1">
      <alignment/>
    </xf>
    <xf numFmtId="49" fontId="0" fillId="2" borderId="2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justify" wrapText="1"/>
    </xf>
    <xf numFmtId="49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right"/>
    </xf>
    <xf numFmtId="1" fontId="5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/>
    </xf>
    <xf numFmtId="49" fontId="0" fillId="0" borderId="2" xfId="0" applyNumberFormat="1" applyFont="1" applyBorder="1" applyAlignment="1">
      <alignment horizontal="left"/>
    </xf>
    <xf numFmtId="0" fontId="0" fillId="0" borderId="2" xfId="0" applyFont="1" applyFill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9"/>
  <sheetViews>
    <sheetView showZeros="0" tabSelected="1" view="pageBreakPreview" zoomScale="75" zoomScaleNormal="75" zoomScaleSheetLayoutView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3" sqref="L3"/>
    </sheetView>
  </sheetViews>
  <sheetFormatPr defaultColWidth="9.00390625" defaultRowHeight="12.75"/>
  <cols>
    <col min="1" max="1" width="8.625" style="1" customWidth="1"/>
    <col min="2" max="2" width="34.375" style="0" customWidth="1"/>
    <col min="3" max="3" width="12.125" style="0" customWidth="1"/>
    <col min="4" max="4" width="12.00390625" style="0" customWidth="1"/>
    <col min="5" max="5" width="11.125" style="0" customWidth="1"/>
    <col min="6" max="6" width="10.625" style="0" customWidth="1"/>
    <col min="7" max="7" width="11.375" style="0" customWidth="1"/>
    <col min="8" max="8" width="14.375" style="0" bestFit="1" customWidth="1"/>
    <col min="9" max="9" width="13.25390625" style="0" bestFit="1" customWidth="1"/>
    <col min="10" max="10" width="9.25390625" style="0" customWidth="1"/>
    <col min="11" max="11" width="10.00390625" style="0" customWidth="1"/>
    <col min="12" max="12" width="11.375" style="0" customWidth="1"/>
    <col min="13" max="13" width="11.25390625" style="0" customWidth="1"/>
    <col min="14" max="14" width="15.625" style="0" customWidth="1"/>
    <col min="15" max="15" width="9.375" style="0" customWidth="1"/>
  </cols>
  <sheetData>
    <row r="1" spans="7:14" ht="18">
      <c r="G1" s="72"/>
      <c r="H1" s="72"/>
      <c r="I1" s="72"/>
      <c r="L1" s="72" t="s">
        <v>82</v>
      </c>
      <c r="M1" s="72"/>
      <c r="N1" s="72"/>
    </row>
    <row r="2" spans="7:14" ht="18">
      <c r="G2" s="72"/>
      <c r="H2" s="72"/>
      <c r="I2" s="72"/>
      <c r="L2" s="72" t="s">
        <v>97</v>
      </c>
      <c r="M2" s="72"/>
      <c r="N2" s="72"/>
    </row>
    <row r="3" spans="7:14" ht="18">
      <c r="G3" s="72"/>
      <c r="H3" s="72"/>
      <c r="I3" s="72"/>
      <c r="L3" s="14" t="s">
        <v>238</v>
      </c>
      <c r="M3" s="14"/>
      <c r="N3" s="7"/>
    </row>
    <row r="4" spans="1:13" ht="18">
      <c r="A4" s="73" t="s">
        <v>213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3:14" ht="12" customHeight="1">
      <c r="C5" s="27"/>
      <c r="D5" s="27"/>
      <c r="E5" s="27"/>
      <c r="F5" s="27"/>
      <c r="G5" s="27"/>
      <c r="H5" s="27"/>
      <c r="I5" s="27"/>
      <c r="J5" s="27"/>
      <c r="K5" s="2"/>
      <c r="L5" s="2"/>
      <c r="M5" s="67" t="s">
        <v>174</v>
      </c>
      <c r="N5" s="67"/>
    </row>
    <row r="6" spans="1:14" s="7" customFormat="1" ht="12.75">
      <c r="A6" s="68" t="s">
        <v>170</v>
      </c>
      <c r="B6" s="69" t="s">
        <v>169</v>
      </c>
      <c r="C6" s="71" t="s">
        <v>2</v>
      </c>
      <c r="D6" s="71"/>
      <c r="E6" s="71"/>
      <c r="F6" s="71"/>
      <c r="G6" s="71"/>
      <c r="H6" s="71" t="s">
        <v>3</v>
      </c>
      <c r="I6" s="71"/>
      <c r="J6" s="71"/>
      <c r="K6" s="71"/>
      <c r="L6" s="71"/>
      <c r="M6" s="71"/>
      <c r="N6" s="71" t="s">
        <v>61</v>
      </c>
    </row>
    <row r="7" spans="1:14" s="7" customFormat="1" ht="60.75" customHeight="1">
      <c r="A7" s="68"/>
      <c r="B7" s="70"/>
      <c r="C7" s="8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8" t="s">
        <v>4</v>
      </c>
      <c r="I7" s="3" t="s">
        <v>5</v>
      </c>
      <c r="J7" s="3" t="s">
        <v>6</v>
      </c>
      <c r="K7" s="3" t="s">
        <v>7</v>
      </c>
      <c r="L7" s="3" t="s">
        <v>8</v>
      </c>
      <c r="M7" s="3" t="s">
        <v>9</v>
      </c>
      <c r="N7" s="71"/>
    </row>
    <row r="8" spans="1:14" s="7" customFormat="1" ht="12.75">
      <c r="A8" s="15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</row>
    <row r="9" spans="1:16" s="38" customFormat="1" ht="12.75">
      <c r="A9" s="37" t="s">
        <v>116</v>
      </c>
      <c r="B9" s="39" t="s">
        <v>65</v>
      </c>
      <c r="C9" s="50">
        <f aca="true" t="shared" si="0" ref="C9:M9">C10+C11+C12+C13+C14+C17+C21+C15+C24+C16</f>
        <v>12585107</v>
      </c>
      <c r="D9" s="50">
        <f t="shared" si="0"/>
        <v>12207607</v>
      </c>
      <c r="E9" s="50">
        <f t="shared" si="0"/>
        <v>2860111</v>
      </c>
      <c r="F9" s="50">
        <f t="shared" si="0"/>
        <v>199354</v>
      </c>
      <c r="G9" s="50">
        <f t="shared" si="0"/>
        <v>377500</v>
      </c>
      <c r="H9" s="50">
        <f t="shared" si="0"/>
        <v>2428919</v>
      </c>
      <c r="I9" s="50">
        <f t="shared" si="0"/>
        <v>2168919</v>
      </c>
      <c r="J9" s="50">
        <f t="shared" si="0"/>
        <v>0</v>
      </c>
      <c r="K9" s="50">
        <f t="shared" si="0"/>
        <v>33900</v>
      </c>
      <c r="L9" s="50">
        <f t="shared" si="0"/>
        <v>260000</v>
      </c>
      <c r="M9" s="50">
        <f t="shared" si="0"/>
        <v>0</v>
      </c>
      <c r="N9" s="49">
        <f aca="true" t="shared" si="1" ref="N9:N108">C9+H9</f>
        <v>15014026</v>
      </c>
      <c r="O9" s="51"/>
      <c r="P9" s="51"/>
    </row>
    <row r="10" spans="1:16" s="7" customFormat="1" ht="12.75">
      <c r="A10" s="15" t="s">
        <v>10</v>
      </c>
      <c r="B10" s="17" t="s">
        <v>11</v>
      </c>
      <c r="C10" s="43">
        <f>D10+G10</f>
        <v>6550904</v>
      </c>
      <c r="D10" s="43">
        <f>4332498-50+60-3300-1240+27-32+195330+200825+16500+1498448+49000+11338+24000</f>
        <v>6323404</v>
      </c>
      <c r="E10" s="43">
        <f>1599568-4530+147449+1100182+8325</f>
        <v>2850994</v>
      </c>
      <c r="F10" s="43">
        <f>176096+23258</f>
        <v>199354</v>
      </c>
      <c r="G10" s="43">
        <f>2000000+90000-2000000-16500+106000-24000+117000-45000</f>
        <v>227500</v>
      </c>
      <c r="H10" s="43">
        <f>I10+L10</f>
        <v>47900</v>
      </c>
      <c r="I10" s="43">
        <v>47900</v>
      </c>
      <c r="J10" s="43"/>
      <c r="K10" s="43">
        <v>33900</v>
      </c>
      <c r="L10" s="43"/>
      <c r="M10" s="43"/>
      <c r="N10" s="42">
        <f t="shared" si="1"/>
        <v>6598804</v>
      </c>
      <c r="O10" s="44"/>
      <c r="P10" s="44"/>
    </row>
    <row r="11" spans="1:16" s="7" customFormat="1" ht="25.5" hidden="1">
      <c r="A11" s="15" t="s">
        <v>10</v>
      </c>
      <c r="B11" s="17" t="s">
        <v>168</v>
      </c>
      <c r="C11" s="43">
        <f aca="true" t="shared" si="2" ref="C11:C22">D11+G11</f>
        <v>0</v>
      </c>
      <c r="D11" s="43"/>
      <c r="E11" s="43"/>
      <c r="F11" s="43"/>
      <c r="G11" s="43"/>
      <c r="H11" s="43">
        <f aca="true" t="shared" si="3" ref="H11:H22">I11+L11</f>
        <v>0</v>
      </c>
      <c r="I11" s="43"/>
      <c r="J11" s="43"/>
      <c r="K11" s="43"/>
      <c r="L11" s="43"/>
      <c r="M11" s="43"/>
      <c r="N11" s="42">
        <f t="shared" si="1"/>
        <v>0</v>
      </c>
      <c r="O11" s="44"/>
      <c r="P11" s="44"/>
    </row>
    <row r="12" spans="1:16" s="7" customFormat="1" ht="38.25">
      <c r="A12" s="15" t="s">
        <v>32</v>
      </c>
      <c r="B12" s="10" t="s">
        <v>156</v>
      </c>
      <c r="C12" s="43">
        <f t="shared" si="2"/>
        <v>233100</v>
      </c>
      <c r="D12" s="43">
        <f>223125+9975</f>
        <v>233100</v>
      </c>
      <c r="E12" s="43"/>
      <c r="F12" s="43"/>
      <c r="G12" s="43"/>
      <c r="H12" s="43">
        <f t="shared" si="3"/>
        <v>0</v>
      </c>
      <c r="I12" s="43"/>
      <c r="J12" s="43"/>
      <c r="K12" s="43"/>
      <c r="L12" s="43"/>
      <c r="M12" s="43"/>
      <c r="N12" s="42">
        <f t="shared" si="1"/>
        <v>233100</v>
      </c>
      <c r="O12" s="44"/>
      <c r="P12" s="44"/>
    </row>
    <row r="13" spans="1:16" s="7" customFormat="1" ht="25.5">
      <c r="A13" s="15">
        <v>120201</v>
      </c>
      <c r="B13" s="33" t="s">
        <v>143</v>
      </c>
      <c r="C13" s="43">
        <f t="shared" si="2"/>
        <v>350000</v>
      </c>
      <c r="D13" s="43">
        <v>350000</v>
      </c>
      <c r="E13" s="43"/>
      <c r="F13" s="43"/>
      <c r="G13" s="43"/>
      <c r="H13" s="43">
        <f t="shared" si="3"/>
        <v>0</v>
      </c>
      <c r="I13" s="43"/>
      <c r="J13" s="43"/>
      <c r="K13" s="43"/>
      <c r="L13" s="43"/>
      <c r="M13" s="43"/>
      <c r="N13" s="42">
        <f t="shared" si="1"/>
        <v>350000</v>
      </c>
      <c r="O13" s="44"/>
      <c r="P13" s="44"/>
    </row>
    <row r="14" spans="1:16" s="7" customFormat="1" ht="12.75" hidden="1">
      <c r="A14" s="15" t="s">
        <v>102</v>
      </c>
      <c r="B14" s="11" t="s">
        <v>103</v>
      </c>
      <c r="C14" s="43">
        <f t="shared" si="2"/>
        <v>0</v>
      </c>
      <c r="D14" s="43"/>
      <c r="E14" s="43"/>
      <c r="F14" s="43"/>
      <c r="G14" s="43"/>
      <c r="H14" s="43">
        <f t="shared" si="3"/>
        <v>0</v>
      </c>
      <c r="I14" s="43"/>
      <c r="J14" s="43"/>
      <c r="K14" s="43"/>
      <c r="L14" s="43"/>
      <c r="M14" s="43"/>
      <c r="N14" s="42">
        <f t="shared" si="1"/>
        <v>0</v>
      </c>
      <c r="O14" s="44"/>
      <c r="P14" s="44"/>
    </row>
    <row r="15" spans="1:16" s="7" customFormat="1" ht="25.5">
      <c r="A15" s="15" t="s">
        <v>208</v>
      </c>
      <c r="B15" s="10" t="s">
        <v>209</v>
      </c>
      <c r="C15" s="43">
        <f t="shared" si="2"/>
        <v>3650000</v>
      </c>
      <c r="D15" s="43">
        <f>3000000+1000000-350000</f>
        <v>3650000</v>
      </c>
      <c r="E15" s="43"/>
      <c r="F15" s="43"/>
      <c r="G15" s="43"/>
      <c r="H15" s="43">
        <f t="shared" si="3"/>
        <v>0</v>
      </c>
      <c r="I15" s="43"/>
      <c r="J15" s="43"/>
      <c r="K15" s="43"/>
      <c r="L15" s="43"/>
      <c r="M15" s="43"/>
      <c r="N15" s="42">
        <f>C15+H15</f>
        <v>3650000</v>
      </c>
      <c r="O15" s="44"/>
      <c r="P15" s="44"/>
    </row>
    <row r="16" spans="1:16" s="7" customFormat="1" ht="51">
      <c r="A16" s="15" t="s">
        <v>224</v>
      </c>
      <c r="B16" s="10" t="s">
        <v>1</v>
      </c>
      <c r="C16" s="43">
        <f t="shared" si="2"/>
        <v>304493</v>
      </c>
      <c r="D16" s="43">
        <v>304493</v>
      </c>
      <c r="E16" s="43">
        <v>9117</v>
      </c>
      <c r="F16" s="43"/>
      <c r="G16" s="43"/>
      <c r="H16" s="43"/>
      <c r="I16" s="43"/>
      <c r="J16" s="43"/>
      <c r="K16" s="43"/>
      <c r="L16" s="43"/>
      <c r="M16" s="43"/>
      <c r="N16" s="42">
        <f>C16+H16</f>
        <v>304493</v>
      </c>
      <c r="O16" s="44"/>
      <c r="P16" s="44"/>
    </row>
    <row r="17" spans="1:16" s="7" customFormat="1" ht="25.5">
      <c r="A17" s="15" t="s">
        <v>52</v>
      </c>
      <c r="B17" s="33" t="s">
        <v>92</v>
      </c>
      <c r="C17" s="43">
        <f t="shared" si="2"/>
        <v>0</v>
      </c>
      <c r="D17" s="43"/>
      <c r="E17" s="43"/>
      <c r="F17" s="43"/>
      <c r="G17" s="43"/>
      <c r="H17" s="43">
        <f t="shared" si="3"/>
        <v>2381019</v>
      </c>
      <c r="I17" s="43">
        <f>3298019+I19+I20-290000-350000-417000-50000-130000</f>
        <v>2121019</v>
      </c>
      <c r="J17" s="43"/>
      <c r="K17" s="43"/>
      <c r="L17" s="43">
        <f>L19+L20+300000-50000</f>
        <v>260000</v>
      </c>
      <c r="M17" s="43"/>
      <c r="N17" s="42">
        <f t="shared" si="1"/>
        <v>2381019</v>
      </c>
      <c r="O17" s="44"/>
      <c r="P17" s="44"/>
    </row>
    <row r="18" spans="1:16" s="7" customFormat="1" ht="12.75">
      <c r="A18" s="9"/>
      <c r="B18" s="32" t="s">
        <v>93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2"/>
      <c r="O18" s="44"/>
      <c r="P18" s="44"/>
    </row>
    <row r="19" spans="1:16" s="7" customFormat="1" ht="89.25">
      <c r="A19" s="9"/>
      <c r="B19" s="32" t="s">
        <v>197</v>
      </c>
      <c r="C19" s="43">
        <f t="shared" si="2"/>
        <v>0</v>
      </c>
      <c r="D19" s="43"/>
      <c r="E19" s="43"/>
      <c r="F19" s="43"/>
      <c r="G19" s="43"/>
      <c r="H19" s="43">
        <f t="shared" si="3"/>
        <v>54000</v>
      </c>
      <c r="I19" s="43">
        <v>44000</v>
      </c>
      <c r="J19" s="43"/>
      <c r="K19" s="43"/>
      <c r="L19" s="43">
        <v>10000</v>
      </c>
      <c r="M19" s="43"/>
      <c r="N19" s="42">
        <f t="shared" si="1"/>
        <v>54000</v>
      </c>
      <c r="O19" s="44"/>
      <c r="P19" s="44"/>
    </row>
    <row r="20" spans="1:16" s="7" customFormat="1" ht="25.5">
      <c r="A20" s="9"/>
      <c r="B20" s="32" t="s">
        <v>228</v>
      </c>
      <c r="C20" s="43"/>
      <c r="D20" s="43"/>
      <c r="E20" s="43"/>
      <c r="F20" s="43"/>
      <c r="G20" s="43"/>
      <c r="H20" s="43">
        <f t="shared" si="3"/>
        <v>16000</v>
      </c>
      <c r="I20" s="43">
        <v>16000</v>
      </c>
      <c r="J20" s="43"/>
      <c r="K20" s="43"/>
      <c r="L20" s="43"/>
      <c r="M20" s="43"/>
      <c r="N20" s="42"/>
      <c r="O20" s="44"/>
      <c r="P20" s="44"/>
    </row>
    <row r="21" spans="1:16" s="7" customFormat="1" ht="12.75">
      <c r="A21" s="9" t="s">
        <v>53</v>
      </c>
      <c r="B21" s="10" t="s">
        <v>80</v>
      </c>
      <c r="C21" s="43">
        <f t="shared" si="2"/>
        <v>344610</v>
      </c>
      <c r="D21" s="43">
        <f>D23+D22</f>
        <v>344610</v>
      </c>
      <c r="E21" s="43">
        <f>E23</f>
        <v>0</v>
      </c>
      <c r="F21" s="43">
        <f>F23</f>
        <v>0</v>
      </c>
      <c r="G21" s="43">
        <f>G23</f>
        <v>0</v>
      </c>
      <c r="H21" s="43">
        <f t="shared" si="3"/>
        <v>0</v>
      </c>
      <c r="I21" s="43">
        <f>I23</f>
        <v>0</v>
      </c>
      <c r="J21" s="43">
        <f>J23</f>
        <v>0</v>
      </c>
      <c r="K21" s="43">
        <f>K23</f>
        <v>0</v>
      </c>
      <c r="L21" s="43">
        <f>L23</f>
        <v>0</v>
      </c>
      <c r="M21" s="43"/>
      <c r="N21" s="42">
        <f t="shared" si="1"/>
        <v>344610</v>
      </c>
      <c r="O21" s="44"/>
      <c r="P21" s="44"/>
    </row>
    <row r="22" spans="1:16" s="7" customFormat="1" ht="25.5">
      <c r="A22" s="15"/>
      <c r="B22" s="10" t="s">
        <v>214</v>
      </c>
      <c r="C22" s="43">
        <f t="shared" si="2"/>
        <v>200000</v>
      </c>
      <c r="D22" s="43">
        <v>200000</v>
      </c>
      <c r="E22" s="43"/>
      <c r="F22" s="43"/>
      <c r="G22" s="43"/>
      <c r="H22" s="43">
        <f t="shared" si="3"/>
        <v>0</v>
      </c>
      <c r="I22" s="43"/>
      <c r="J22" s="43"/>
      <c r="K22" s="43"/>
      <c r="L22" s="43"/>
      <c r="M22" s="43"/>
      <c r="N22" s="42">
        <f t="shared" si="1"/>
        <v>200000</v>
      </c>
      <c r="O22" s="44"/>
      <c r="P22" s="44"/>
    </row>
    <row r="23" spans="1:16" s="7" customFormat="1" ht="38.25">
      <c r="A23" s="15"/>
      <c r="B23" s="10" t="s">
        <v>221</v>
      </c>
      <c r="C23" s="43">
        <f aca="true" t="shared" si="4" ref="C23:C28">D23+G23</f>
        <v>144610</v>
      </c>
      <c r="D23" s="43">
        <v>144610</v>
      </c>
      <c r="E23" s="43"/>
      <c r="F23" s="43"/>
      <c r="G23" s="43"/>
      <c r="H23" s="43">
        <f aca="true" t="shared" si="5" ref="H23:H28">I23+L23</f>
        <v>0</v>
      </c>
      <c r="I23" s="43"/>
      <c r="J23" s="43"/>
      <c r="K23" s="43"/>
      <c r="L23" s="43"/>
      <c r="M23" s="43"/>
      <c r="N23" s="42">
        <f t="shared" si="1"/>
        <v>144610</v>
      </c>
      <c r="O23" s="44"/>
      <c r="P23" s="44"/>
    </row>
    <row r="24" spans="1:16" s="7" customFormat="1" ht="51">
      <c r="A24" s="15" t="s">
        <v>195</v>
      </c>
      <c r="B24" s="10" t="s">
        <v>196</v>
      </c>
      <c r="C24" s="43">
        <f t="shared" si="4"/>
        <v>1152000</v>
      </c>
      <c r="D24" s="43">
        <f>D26+D27+D28</f>
        <v>1002000</v>
      </c>
      <c r="E24" s="43">
        <f>E26+E27+E28</f>
        <v>0</v>
      </c>
      <c r="F24" s="43">
        <f>F26+F27+F28</f>
        <v>0</v>
      </c>
      <c r="G24" s="43">
        <f>G26+G27+G28</f>
        <v>150000</v>
      </c>
      <c r="H24" s="43">
        <f t="shared" si="5"/>
        <v>0</v>
      </c>
      <c r="I24" s="43">
        <f>I26+I28+I27</f>
        <v>0</v>
      </c>
      <c r="J24" s="43">
        <f>J26+J28+J27</f>
        <v>0</v>
      </c>
      <c r="K24" s="43">
        <f>K26+K28+K27</f>
        <v>0</v>
      </c>
      <c r="L24" s="43">
        <f>L26+L28+L27</f>
        <v>0</v>
      </c>
      <c r="M24" s="43"/>
      <c r="N24" s="42">
        <f t="shared" si="1"/>
        <v>1152000</v>
      </c>
      <c r="O24" s="44"/>
      <c r="P24" s="44"/>
    </row>
    <row r="25" spans="1:16" s="7" customFormat="1" ht="114.75" hidden="1">
      <c r="A25" s="15"/>
      <c r="B25" s="10" t="s">
        <v>155</v>
      </c>
      <c r="C25" s="43">
        <f t="shared" si="4"/>
        <v>0</v>
      </c>
      <c r="D25" s="43"/>
      <c r="E25" s="43"/>
      <c r="F25" s="43"/>
      <c r="G25" s="43"/>
      <c r="H25" s="43">
        <f t="shared" si="5"/>
        <v>0</v>
      </c>
      <c r="I25" s="43"/>
      <c r="J25" s="43"/>
      <c r="K25" s="43"/>
      <c r="L25" s="43"/>
      <c r="M25" s="43"/>
      <c r="N25" s="42">
        <f t="shared" si="1"/>
        <v>0</v>
      </c>
      <c r="O25" s="44"/>
      <c r="P25" s="44"/>
    </row>
    <row r="26" spans="1:16" s="7" customFormat="1" ht="63.75">
      <c r="A26" s="15"/>
      <c r="B26" s="10" t="s">
        <v>159</v>
      </c>
      <c r="C26" s="43">
        <f t="shared" si="4"/>
        <v>250000</v>
      </c>
      <c r="D26" s="43">
        <v>100000</v>
      </c>
      <c r="E26" s="43"/>
      <c r="F26" s="43"/>
      <c r="G26" s="43">
        <v>150000</v>
      </c>
      <c r="H26" s="43">
        <f t="shared" si="5"/>
        <v>0</v>
      </c>
      <c r="I26" s="43"/>
      <c r="J26" s="43"/>
      <c r="K26" s="43"/>
      <c r="L26" s="43"/>
      <c r="M26" s="43"/>
      <c r="N26" s="42">
        <f t="shared" si="1"/>
        <v>250000</v>
      </c>
      <c r="O26" s="44"/>
      <c r="P26" s="44"/>
    </row>
    <row r="27" spans="1:16" s="25" customFormat="1" ht="25.5">
      <c r="A27" s="54"/>
      <c r="B27" s="10" t="s">
        <v>232</v>
      </c>
      <c r="C27" s="43">
        <f t="shared" si="4"/>
        <v>652000</v>
      </c>
      <c r="D27" s="43">
        <v>652000</v>
      </c>
      <c r="E27" s="55"/>
      <c r="F27" s="55"/>
      <c r="G27" s="55"/>
      <c r="H27" s="55">
        <f t="shared" si="5"/>
        <v>0</v>
      </c>
      <c r="I27" s="55"/>
      <c r="J27" s="55"/>
      <c r="K27" s="55"/>
      <c r="L27" s="55"/>
      <c r="M27" s="55"/>
      <c r="N27" s="42">
        <f>C27+H27</f>
        <v>652000</v>
      </c>
      <c r="O27" s="56"/>
      <c r="P27" s="56"/>
    </row>
    <row r="28" spans="1:16" s="7" customFormat="1" ht="38.25">
      <c r="A28" s="15"/>
      <c r="B28" s="10" t="s">
        <v>112</v>
      </c>
      <c r="C28" s="43">
        <f t="shared" si="4"/>
        <v>250000</v>
      </c>
      <c r="D28" s="43">
        <v>250000</v>
      </c>
      <c r="E28" s="43"/>
      <c r="F28" s="43"/>
      <c r="G28" s="43"/>
      <c r="H28" s="43">
        <f t="shared" si="5"/>
        <v>0</v>
      </c>
      <c r="I28" s="43"/>
      <c r="J28" s="43"/>
      <c r="K28" s="43"/>
      <c r="L28" s="43"/>
      <c r="M28" s="43"/>
      <c r="N28" s="42">
        <f t="shared" si="1"/>
        <v>250000</v>
      </c>
      <c r="O28" s="44"/>
      <c r="P28" s="44"/>
    </row>
    <row r="29" spans="1:16" s="38" customFormat="1" ht="25.5">
      <c r="A29" s="52" t="s">
        <v>117</v>
      </c>
      <c r="B29" s="41" t="s">
        <v>66</v>
      </c>
      <c r="C29" s="50">
        <f>C30+C32</f>
        <v>2153865</v>
      </c>
      <c r="D29" s="50">
        <f>D30+D32</f>
        <v>2150365</v>
      </c>
      <c r="E29" s="50">
        <f>E30+E32</f>
        <v>727035</v>
      </c>
      <c r="F29" s="50">
        <f>F30+F32</f>
        <v>0</v>
      </c>
      <c r="G29" s="50">
        <f>G30+G32</f>
        <v>3500</v>
      </c>
      <c r="H29" s="50">
        <f aca="true" t="shared" si="6" ref="H29:M29">H30+H32+H31</f>
        <v>0</v>
      </c>
      <c r="I29" s="50">
        <f t="shared" si="6"/>
        <v>0</v>
      </c>
      <c r="J29" s="50">
        <f t="shared" si="6"/>
        <v>0</v>
      </c>
      <c r="K29" s="50">
        <f t="shared" si="6"/>
        <v>0</v>
      </c>
      <c r="L29" s="50">
        <f t="shared" si="6"/>
        <v>0</v>
      </c>
      <c r="M29" s="50">
        <f t="shared" si="6"/>
        <v>0</v>
      </c>
      <c r="N29" s="49">
        <f t="shared" si="1"/>
        <v>2153865</v>
      </c>
      <c r="O29" s="51"/>
      <c r="P29" s="51"/>
    </row>
    <row r="30" spans="1:16" s="7" customFormat="1" ht="12.75">
      <c r="A30" s="9" t="s">
        <v>10</v>
      </c>
      <c r="B30" s="4" t="s">
        <v>11</v>
      </c>
      <c r="C30" s="43">
        <f>D30+G30</f>
        <v>1043865</v>
      </c>
      <c r="D30" s="43">
        <f>625526+500+47639+366700</f>
        <v>1040365</v>
      </c>
      <c r="E30" s="43">
        <f>422820+34978+269237</f>
        <v>727035</v>
      </c>
      <c r="F30" s="43"/>
      <c r="G30" s="43">
        <v>3500</v>
      </c>
      <c r="H30" s="43">
        <f>I30+L30</f>
        <v>0</v>
      </c>
      <c r="I30" s="43"/>
      <c r="J30" s="43"/>
      <c r="K30" s="43"/>
      <c r="L30" s="43"/>
      <c r="M30" s="43"/>
      <c r="N30" s="42">
        <f t="shared" si="1"/>
        <v>1043865</v>
      </c>
      <c r="O30" s="44"/>
      <c r="P30" s="44"/>
    </row>
    <row r="31" spans="1:16" s="7" customFormat="1" ht="25.5" hidden="1">
      <c r="A31" s="15" t="s">
        <v>52</v>
      </c>
      <c r="B31" s="33" t="s">
        <v>92</v>
      </c>
      <c r="C31" s="43"/>
      <c r="D31" s="43"/>
      <c r="E31" s="43"/>
      <c r="F31" s="43"/>
      <c r="G31" s="43"/>
      <c r="H31" s="43">
        <f>I31+L31</f>
        <v>0</v>
      </c>
      <c r="I31" s="43"/>
      <c r="J31" s="43"/>
      <c r="K31" s="43"/>
      <c r="L31" s="43"/>
      <c r="M31" s="43"/>
      <c r="N31" s="42">
        <f t="shared" si="1"/>
        <v>0</v>
      </c>
      <c r="O31" s="44"/>
      <c r="P31" s="44"/>
    </row>
    <row r="32" spans="1:16" s="7" customFormat="1" ht="12.75">
      <c r="A32" s="9" t="s">
        <v>53</v>
      </c>
      <c r="B32" s="10" t="s">
        <v>80</v>
      </c>
      <c r="C32" s="43">
        <f>D32+G32</f>
        <v>1110000</v>
      </c>
      <c r="D32" s="43">
        <f>D33</f>
        <v>1110000</v>
      </c>
      <c r="E32" s="43"/>
      <c r="F32" s="43"/>
      <c r="G32" s="43"/>
      <c r="H32" s="43">
        <f>I32+L32</f>
        <v>0</v>
      </c>
      <c r="I32" s="43"/>
      <c r="J32" s="43"/>
      <c r="K32" s="43"/>
      <c r="L32" s="43"/>
      <c r="M32" s="43"/>
      <c r="N32" s="42">
        <f t="shared" si="1"/>
        <v>1110000</v>
      </c>
      <c r="O32" s="44"/>
      <c r="P32" s="44"/>
    </row>
    <row r="33" spans="1:16" s="7" customFormat="1" ht="51">
      <c r="A33" s="15"/>
      <c r="B33" s="11" t="s">
        <v>176</v>
      </c>
      <c r="C33" s="43">
        <f>D33+G33</f>
        <v>1110000</v>
      </c>
      <c r="D33" s="43">
        <f>1000000+110000</f>
        <v>1110000</v>
      </c>
      <c r="E33" s="43"/>
      <c r="F33" s="43"/>
      <c r="G33" s="43"/>
      <c r="H33" s="43">
        <f>I33+L33</f>
        <v>0</v>
      </c>
      <c r="I33" s="43"/>
      <c r="J33" s="43"/>
      <c r="K33" s="43"/>
      <c r="L33" s="43"/>
      <c r="M33" s="43"/>
      <c r="N33" s="42">
        <f t="shared" si="1"/>
        <v>1110000</v>
      </c>
      <c r="O33" s="44"/>
      <c r="P33" s="44"/>
    </row>
    <row r="34" spans="1:16" s="38" customFormat="1" ht="25.5">
      <c r="A34" s="52" t="s">
        <v>230</v>
      </c>
      <c r="B34" s="41" t="s">
        <v>67</v>
      </c>
      <c r="C34" s="50">
        <f>SUM(C35:C50)</f>
        <v>15446722</v>
      </c>
      <c r="D34" s="50">
        <f>D35+D37+D38+D39+D41+D46+D50+D36+D40</f>
        <v>1139922</v>
      </c>
      <c r="E34" s="50">
        <f>E35+E37+E38+E39+E41+E46+E50+E36+E40</f>
        <v>518772</v>
      </c>
      <c r="F34" s="50">
        <f>F35+F37+F38+F39+F41+F46+F50+F36+F40</f>
        <v>19544</v>
      </c>
      <c r="G34" s="50">
        <f>G35+G37+G38+G39+G41+G46+G50+G36+G40</f>
        <v>14306800</v>
      </c>
      <c r="H34" s="50">
        <f>I34+L34</f>
        <v>34894516</v>
      </c>
      <c r="I34" s="50">
        <f>I35+I36+I37+I38+I39+I40+I41+I46+I50</f>
        <v>15166416</v>
      </c>
      <c r="J34" s="50">
        <f>J35+J36+J37+J38+J39+J40+J41+J46+J50</f>
        <v>0</v>
      </c>
      <c r="K34" s="50">
        <f>K35+K36+K37+K38+K39+K40+K41+K46+K50</f>
        <v>0</v>
      </c>
      <c r="L34" s="50">
        <f>L35+L36+L37+L38+L39+L40+L41+L46+L50</f>
        <v>19728100</v>
      </c>
      <c r="M34" s="50">
        <f>M35+M36+M37+M38+M39+M40+M41+M46+M50</f>
        <v>14121100</v>
      </c>
      <c r="N34" s="49">
        <f t="shared" si="1"/>
        <v>50341238</v>
      </c>
      <c r="O34" s="51"/>
      <c r="P34" s="51"/>
    </row>
    <row r="35" spans="1:16" s="7" customFormat="1" ht="12.75">
      <c r="A35" s="9" t="s">
        <v>10</v>
      </c>
      <c r="B35" s="4" t="s">
        <v>11</v>
      </c>
      <c r="C35" s="43">
        <f aca="true" t="shared" si="7" ref="C35:C53">D35+G35</f>
        <v>812022</v>
      </c>
      <c r="D35" s="43">
        <f>552750+35584+216888</f>
        <v>805222</v>
      </c>
      <c r="E35" s="43">
        <f>333402+26127+159243</f>
        <v>518772</v>
      </c>
      <c r="F35" s="43">
        <v>19544</v>
      </c>
      <c r="G35" s="43">
        <v>6800</v>
      </c>
      <c r="H35" s="43">
        <f aca="true" t="shared" si="8" ref="H35:H53">I35+L35</f>
        <v>0</v>
      </c>
      <c r="I35" s="43"/>
      <c r="J35" s="43"/>
      <c r="K35" s="43"/>
      <c r="L35" s="43"/>
      <c r="M35" s="43"/>
      <c r="N35" s="42">
        <f t="shared" si="1"/>
        <v>812022</v>
      </c>
      <c r="O35" s="44"/>
      <c r="P35" s="44"/>
    </row>
    <row r="36" spans="1:16" s="7" customFormat="1" ht="25.5">
      <c r="A36" s="9" t="s">
        <v>233</v>
      </c>
      <c r="B36" s="4" t="s">
        <v>234</v>
      </c>
      <c r="C36" s="43">
        <f t="shared" si="7"/>
        <v>100000</v>
      </c>
      <c r="D36" s="43">
        <v>100000</v>
      </c>
      <c r="E36" s="43"/>
      <c r="F36" s="43"/>
      <c r="G36" s="43"/>
      <c r="H36" s="43"/>
      <c r="I36" s="43"/>
      <c r="J36" s="43"/>
      <c r="K36" s="43"/>
      <c r="L36" s="43"/>
      <c r="M36" s="43"/>
      <c r="N36" s="42">
        <f t="shared" si="1"/>
        <v>100000</v>
      </c>
      <c r="O36" s="44"/>
      <c r="P36" s="44"/>
    </row>
    <row r="37" spans="1:16" s="7" customFormat="1" ht="25.5">
      <c r="A37" s="9">
        <v>100102</v>
      </c>
      <c r="B37" s="10" t="s">
        <v>36</v>
      </c>
      <c r="C37" s="43">
        <f t="shared" si="7"/>
        <v>12200000</v>
      </c>
      <c r="D37" s="43"/>
      <c r="E37" s="43"/>
      <c r="F37" s="43"/>
      <c r="G37" s="43">
        <f>11200000+1000000</f>
        <v>12200000</v>
      </c>
      <c r="H37" s="43">
        <f t="shared" si="8"/>
        <v>0</v>
      </c>
      <c r="I37" s="43"/>
      <c r="J37" s="43"/>
      <c r="K37" s="43"/>
      <c r="L37" s="43"/>
      <c r="M37" s="43"/>
      <c r="N37" s="42">
        <f t="shared" si="1"/>
        <v>12200000</v>
      </c>
      <c r="O37" s="44"/>
      <c r="P37" s="44"/>
    </row>
    <row r="38" spans="1:16" s="7" customFormat="1" ht="25.5">
      <c r="A38" s="9">
        <v>100102</v>
      </c>
      <c r="B38" s="10" t="s">
        <v>186</v>
      </c>
      <c r="C38" s="43">
        <f t="shared" si="7"/>
        <v>1700000</v>
      </c>
      <c r="D38" s="43"/>
      <c r="E38" s="43"/>
      <c r="F38" s="43"/>
      <c r="G38" s="43">
        <v>1700000</v>
      </c>
      <c r="H38" s="43">
        <f t="shared" si="8"/>
        <v>0</v>
      </c>
      <c r="I38" s="43"/>
      <c r="J38" s="43"/>
      <c r="K38" s="43"/>
      <c r="L38" s="43"/>
      <c r="M38" s="43"/>
      <c r="N38" s="42">
        <f t="shared" si="1"/>
        <v>1700000</v>
      </c>
      <c r="O38" s="44"/>
      <c r="P38" s="44"/>
    </row>
    <row r="39" spans="1:16" s="7" customFormat="1" ht="38.25">
      <c r="A39" s="9">
        <v>100102</v>
      </c>
      <c r="B39" s="10" t="s">
        <v>175</v>
      </c>
      <c r="C39" s="43">
        <f t="shared" si="7"/>
        <v>400000</v>
      </c>
      <c r="D39" s="43"/>
      <c r="E39" s="43"/>
      <c r="F39" s="43"/>
      <c r="G39" s="43">
        <v>400000</v>
      </c>
      <c r="H39" s="43">
        <f t="shared" si="8"/>
        <v>0</v>
      </c>
      <c r="I39" s="43"/>
      <c r="J39" s="43"/>
      <c r="K39" s="43"/>
      <c r="L39" s="43"/>
      <c r="M39" s="43"/>
      <c r="N39" s="42">
        <f t="shared" si="1"/>
        <v>400000</v>
      </c>
      <c r="O39" s="44"/>
      <c r="P39" s="44"/>
    </row>
    <row r="40" spans="1:16" s="7" customFormat="1" ht="140.25">
      <c r="A40" s="9" t="s">
        <v>235</v>
      </c>
      <c r="B40" s="10" t="s">
        <v>236</v>
      </c>
      <c r="C40" s="43">
        <f t="shared" si="7"/>
        <v>0</v>
      </c>
      <c r="D40" s="43"/>
      <c r="E40" s="43"/>
      <c r="F40" s="43"/>
      <c r="G40" s="43"/>
      <c r="H40" s="43">
        <f t="shared" si="8"/>
        <v>12578916</v>
      </c>
      <c r="I40" s="43">
        <v>12578916</v>
      </c>
      <c r="J40" s="43"/>
      <c r="K40" s="43"/>
      <c r="L40" s="43"/>
      <c r="M40" s="43"/>
      <c r="N40" s="42">
        <f t="shared" si="1"/>
        <v>12578916</v>
      </c>
      <c r="O40" s="44"/>
      <c r="P40" s="44"/>
    </row>
    <row r="41" spans="1:16" s="7" customFormat="1" ht="12.75">
      <c r="A41" s="9" t="s">
        <v>102</v>
      </c>
      <c r="B41" s="10" t="s">
        <v>103</v>
      </c>
      <c r="C41" s="43">
        <f t="shared" si="7"/>
        <v>0</v>
      </c>
      <c r="D41" s="43"/>
      <c r="E41" s="43"/>
      <c r="F41" s="43"/>
      <c r="G41" s="43"/>
      <c r="H41" s="43">
        <f t="shared" si="8"/>
        <v>14121100</v>
      </c>
      <c r="I41" s="43"/>
      <c r="J41" s="43"/>
      <c r="K41" s="43"/>
      <c r="L41" s="43">
        <f>M41</f>
        <v>14121100</v>
      </c>
      <c r="M41" s="43">
        <v>14121100</v>
      </c>
      <c r="N41" s="42">
        <f t="shared" si="1"/>
        <v>14121100</v>
      </c>
      <c r="O41" s="44"/>
      <c r="P41" s="44"/>
    </row>
    <row r="42" spans="1:16" s="7" customFormat="1" ht="63.75" hidden="1">
      <c r="A42" s="15" t="s">
        <v>152</v>
      </c>
      <c r="B42" s="4" t="s">
        <v>153</v>
      </c>
      <c r="C42" s="43">
        <f t="shared" si="7"/>
        <v>0</v>
      </c>
      <c r="D42" s="43"/>
      <c r="E42" s="43"/>
      <c r="F42" s="43"/>
      <c r="G42" s="43"/>
      <c r="H42" s="43">
        <f t="shared" si="8"/>
        <v>0</v>
      </c>
      <c r="I42" s="43"/>
      <c r="J42" s="43"/>
      <c r="K42" s="43"/>
      <c r="L42" s="43"/>
      <c r="M42" s="43"/>
      <c r="N42" s="42">
        <f t="shared" si="1"/>
        <v>0</v>
      </c>
      <c r="O42" s="44"/>
      <c r="P42" s="44"/>
    </row>
    <row r="43" spans="1:16" s="7" customFormat="1" ht="12.75" hidden="1">
      <c r="A43" s="15" t="s">
        <v>164</v>
      </c>
      <c r="B43" s="4" t="s">
        <v>165</v>
      </c>
      <c r="C43" s="43">
        <f t="shared" si="7"/>
        <v>0</v>
      </c>
      <c r="D43" s="43"/>
      <c r="E43" s="43"/>
      <c r="F43" s="43"/>
      <c r="G43" s="43"/>
      <c r="H43" s="43">
        <f t="shared" si="8"/>
        <v>0</v>
      </c>
      <c r="I43" s="43"/>
      <c r="J43" s="43"/>
      <c r="K43" s="43"/>
      <c r="L43" s="43"/>
      <c r="M43" s="43"/>
      <c r="N43" s="42">
        <f t="shared" si="1"/>
        <v>0</v>
      </c>
      <c r="O43" s="44"/>
      <c r="P43" s="44"/>
    </row>
    <row r="44" spans="1:16" s="7" customFormat="1" ht="51" customHeight="1" hidden="1">
      <c r="A44" s="15" t="s">
        <v>160</v>
      </c>
      <c r="B44" s="11" t="s">
        <v>161</v>
      </c>
      <c r="C44" s="43">
        <f>D44+G44</f>
        <v>0</v>
      </c>
      <c r="D44" s="43"/>
      <c r="E44" s="43"/>
      <c r="F44" s="43"/>
      <c r="G44" s="43"/>
      <c r="H44" s="43">
        <f>I44+L44</f>
        <v>0</v>
      </c>
      <c r="I44" s="43"/>
      <c r="J44" s="43"/>
      <c r="K44" s="43"/>
      <c r="L44" s="43"/>
      <c r="M44" s="43"/>
      <c r="N44" s="42">
        <f>C44+H44</f>
        <v>0</v>
      </c>
      <c r="O44" s="44"/>
      <c r="P44" s="44"/>
    </row>
    <row r="45" spans="1:16" s="7" customFormat="1" ht="25.5" hidden="1">
      <c r="A45" s="15" t="s">
        <v>101</v>
      </c>
      <c r="B45" s="33" t="s">
        <v>149</v>
      </c>
      <c r="C45" s="43"/>
      <c r="D45" s="43"/>
      <c r="E45" s="43"/>
      <c r="F45" s="43"/>
      <c r="G45" s="43"/>
      <c r="H45" s="43">
        <f t="shared" si="8"/>
        <v>0</v>
      </c>
      <c r="I45" s="43"/>
      <c r="J45" s="43"/>
      <c r="K45" s="43"/>
      <c r="L45" s="43"/>
      <c r="M45" s="43"/>
      <c r="N45" s="42">
        <f t="shared" si="1"/>
        <v>0</v>
      </c>
      <c r="O45" s="44"/>
      <c r="P45" s="44"/>
    </row>
    <row r="46" spans="1:16" s="7" customFormat="1" ht="25.5">
      <c r="A46" s="15" t="s">
        <v>52</v>
      </c>
      <c r="B46" s="33" t="s">
        <v>92</v>
      </c>
      <c r="C46" s="43">
        <f t="shared" si="7"/>
        <v>0</v>
      </c>
      <c r="D46" s="43"/>
      <c r="E46" s="43"/>
      <c r="F46" s="43"/>
      <c r="G46" s="43"/>
      <c r="H46" s="43">
        <f t="shared" si="8"/>
        <v>8194500</v>
      </c>
      <c r="I46" s="43">
        <f>1300000+I48+I49+130000+100000</f>
        <v>2587500</v>
      </c>
      <c r="J46" s="43"/>
      <c r="K46" s="43"/>
      <c r="L46" s="43">
        <f>5000000+L48+L49+370000</f>
        <v>5607000</v>
      </c>
      <c r="M46" s="43"/>
      <c r="N46" s="42">
        <f t="shared" si="1"/>
        <v>8194500</v>
      </c>
      <c r="O46" s="44"/>
      <c r="P46" s="44"/>
    </row>
    <row r="47" spans="1:16" s="7" customFormat="1" ht="12.75">
      <c r="A47" s="15"/>
      <c r="B47" s="32" t="s">
        <v>93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2"/>
      <c r="O47" s="44"/>
      <c r="P47" s="44"/>
    </row>
    <row r="48" spans="1:16" s="7" customFormat="1" ht="89.25">
      <c r="A48" s="15"/>
      <c r="B48" s="32" t="s">
        <v>197</v>
      </c>
      <c r="C48" s="43">
        <f t="shared" si="7"/>
        <v>0</v>
      </c>
      <c r="D48" s="43"/>
      <c r="E48" s="43"/>
      <c r="F48" s="43"/>
      <c r="G48" s="43"/>
      <c r="H48" s="43">
        <f t="shared" si="8"/>
        <v>1074500</v>
      </c>
      <c r="I48" s="43">
        <v>896000</v>
      </c>
      <c r="J48" s="43"/>
      <c r="K48" s="43"/>
      <c r="L48" s="43">
        <v>178500</v>
      </c>
      <c r="M48" s="43"/>
      <c r="N48" s="42">
        <f t="shared" si="1"/>
        <v>1074500</v>
      </c>
      <c r="O48" s="44"/>
      <c r="P48" s="44"/>
    </row>
    <row r="49" spans="1:16" s="7" customFormat="1" ht="25.5">
      <c r="A49" s="15"/>
      <c r="B49" s="32" t="s">
        <v>228</v>
      </c>
      <c r="C49" s="43"/>
      <c r="D49" s="43"/>
      <c r="E49" s="43"/>
      <c r="F49" s="43"/>
      <c r="G49" s="43"/>
      <c r="H49" s="43">
        <f t="shared" si="8"/>
        <v>220000</v>
      </c>
      <c r="I49" s="43">
        <v>161500</v>
      </c>
      <c r="J49" s="43"/>
      <c r="K49" s="43"/>
      <c r="L49" s="43">
        <v>58500</v>
      </c>
      <c r="M49" s="43"/>
      <c r="N49" s="42">
        <f t="shared" si="1"/>
        <v>220000</v>
      </c>
      <c r="O49" s="44"/>
      <c r="P49" s="44"/>
    </row>
    <row r="50" spans="1:16" s="7" customFormat="1" ht="12.75">
      <c r="A50" s="15" t="s">
        <v>53</v>
      </c>
      <c r="B50" s="11" t="s">
        <v>80</v>
      </c>
      <c r="C50" s="43">
        <f t="shared" si="7"/>
        <v>234700</v>
      </c>
      <c r="D50" s="43">
        <f>D52+D51+D53</f>
        <v>234700</v>
      </c>
      <c r="E50" s="43">
        <f>E52+E51+E53</f>
        <v>0</v>
      </c>
      <c r="F50" s="43">
        <f>F52+F51+F53</f>
        <v>0</v>
      </c>
      <c r="G50" s="43">
        <f>G52+G51+G53</f>
        <v>0</v>
      </c>
      <c r="H50" s="43">
        <f t="shared" si="8"/>
        <v>0</v>
      </c>
      <c r="I50" s="43">
        <f>I52</f>
        <v>0</v>
      </c>
      <c r="J50" s="43">
        <f>J52</f>
        <v>0</v>
      </c>
      <c r="K50" s="43">
        <f>K52</f>
        <v>0</v>
      </c>
      <c r="L50" s="43">
        <f>L52</f>
        <v>0</v>
      </c>
      <c r="M50" s="43"/>
      <c r="N50" s="42">
        <f t="shared" si="1"/>
        <v>234700</v>
      </c>
      <c r="O50" s="44"/>
      <c r="P50" s="44"/>
    </row>
    <row r="51" spans="1:16" s="7" customFormat="1" ht="38.25">
      <c r="A51" s="15"/>
      <c r="B51" s="11" t="s">
        <v>217</v>
      </c>
      <c r="C51" s="43">
        <f t="shared" si="7"/>
        <v>20000</v>
      </c>
      <c r="D51" s="43">
        <v>20000</v>
      </c>
      <c r="E51" s="43"/>
      <c r="F51" s="43"/>
      <c r="G51" s="43"/>
      <c r="H51" s="43">
        <f t="shared" si="8"/>
        <v>0</v>
      </c>
      <c r="I51" s="43"/>
      <c r="J51" s="43"/>
      <c r="K51" s="43"/>
      <c r="L51" s="43"/>
      <c r="M51" s="43"/>
      <c r="N51" s="42">
        <f t="shared" si="1"/>
        <v>20000</v>
      </c>
      <c r="O51" s="44"/>
      <c r="P51" s="44"/>
    </row>
    <row r="52" spans="1:16" s="7" customFormat="1" ht="38.25">
      <c r="A52" s="15"/>
      <c r="B52" s="11" t="s">
        <v>218</v>
      </c>
      <c r="C52" s="43">
        <f t="shared" si="7"/>
        <v>214700</v>
      </c>
      <c r="D52" s="43">
        <v>214700</v>
      </c>
      <c r="E52" s="43"/>
      <c r="F52" s="43"/>
      <c r="G52" s="43"/>
      <c r="H52" s="43">
        <f t="shared" si="8"/>
        <v>0</v>
      </c>
      <c r="I52" s="43"/>
      <c r="J52" s="43"/>
      <c r="K52" s="43"/>
      <c r="L52" s="43"/>
      <c r="M52" s="43"/>
      <c r="N52" s="42">
        <f t="shared" si="1"/>
        <v>214700</v>
      </c>
      <c r="O52" s="44"/>
      <c r="P52" s="44"/>
    </row>
    <row r="53" spans="1:16" s="7" customFormat="1" ht="25.5" hidden="1">
      <c r="A53" s="15"/>
      <c r="B53" s="11" t="s">
        <v>184</v>
      </c>
      <c r="C53" s="43">
        <f t="shared" si="7"/>
        <v>0</v>
      </c>
      <c r="D53" s="43"/>
      <c r="E53" s="43"/>
      <c r="F53" s="43"/>
      <c r="G53" s="43"/>
      <c r="H53" s="43">
        <f t="shared" si="8"/>
        <v>0</v>
      </c>
      <c r="I53" s="43"/>
      <c r="J53" s="43"/>
      <c r="K53" s="43"/>
      <c r="L53" s="43"/>
      <c r="M53" s="43"/>
      <c r="N53" s="42">
        <f t="shared" si="1"/>
        <v>0</v>
      </c>
      <c r="O53" s="44"/>
      <c r="P53" s="44"/>
    </row>
    <row r="54" spans="1:16" s="38" customFormat="1" ht="25.5">
      <c r="A54" s="37" t="s">
        <v>185</v>
      </c>
      <c r="B54" s="39" t="s">
        <v>68</v>
      </c>
      <c r="C54" s="50">
        <f>C56+C57+C58+C59+C60+C64+C66+C62+C61</f>
        <v>20584629</v>
      </c>
      <c r="D54" s="50">
        <f>D56+D57+D58+D59+D60+D64+D66+D62+D61</f>
        <v>20421129</v>
      </c>
      <c r="E54" s="50">
        <f>E56+E57+E58+E59+E60+E64+E66+E62+E61</f>
        <v>371942</v>
      </c>
      <c r="F54" s="50">
        <f>F56+F57+F58+F59+F60+F64+F66+F62+F61</f>
        <v>7662218</v>
      </c>
      <c r="G54" s="50">
        <f>G56+G57+G58+G59+G60+G64+G66+G62+G61</f>
        <v>163500</v>
      </c>
      <c r="H54" s="50">
        <f aca="true" t="shared" si="9" ref="H54:M54">H56+H57+H58+H59+H60+H64+H66+H62+H65+H63+H71+H70</f>
        <v>42741467</v>
      </c>
      <c r="I54" s="50">
        <f t="shared" si="9"/>
        <v>21456082</v>
      </c>
      <c r="J54" s="50">
        <f t="shared" si="9"/>
        <v>0</v>
      </c>
      <c r="K54" s="50">
        <f t="shared" si="9"/>
        <v>6440000</v>
      </c>
      <c r="L54" s="50">
        <f t="shared" si="9"/>
        <v>21285385</v>
      </c>
      <c r="M54" s="50">
        <f t="shared" si="9"/>
        <v>16496617</v>
      </c>
      <c r="N54" s="49">
        <f t="shared" si="1"/>
        <v>63326096</v>
      </c>
      <c r="O54" s="51"/>
      <c r="P54" s="51"/>
    </row>
    <row r="55" spans="1:16" ht="12.75" hidden="1">
      <c r="A55" s="40"/>
      <c r="B55" s="3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2">
        <f t="shared" si="1"/>
        <v>0</v>
      </c>
      <c r="O55" s="45"/>
      <c r="P55" s="45"/>
    </row>
    <row r="56" spans="1:16" s="7" customFormat="1" ht="12.75">
      <c r="A56" s="15" t="s">
        <v>10</v>
      </c>
      <c r="B56" s="17" t="s">
        <v>11</v>
      </c>
      <c r="C56" s="43">
        <f>D56+G56</f>
        <v>624629</v>
      </c>
      <c r="D56" s="43">
        <f>472097+27820+121212</f>
        <v>621129</v>
      </c>
      <c r="E56" s="43">
        <f>262520+20426+88996</f>
        <v>371942</v>
      </c>
      <c r="F56" s="43">
        <v>17218</v>
      </c>
      <c r="G56" s="43">
        <v>3500</v>
      </c>
      <c r="H56" s="43">
        <f>I56+L56</f>
        <v>0</v>
      </c>
      <c r="I56" s="43"/>
      <c r="J56" s="43"/>
      <c r="K56" s="43"/>
      <c r="L56" s="43"/>
      <c r="M56" s="43"/>
      <c r="N56" s="42">
        <f t="shared" si="1"/>
        <v>624629</v>
      </c>
      <c r="O56" s="44"/>
      <c r="P56" s="44"/>
    </row>
    <row r="57" spans="1:16" s="7" customFormat="1" ht="25.5">
      <c r="A57" s="15" t="s">
        <v>83</v>
      </c>
      <c r="B57" s="17" t="s">
        <v>62</v>
      </c>
      <c r="C57" s="43">
        <f aca="true" t="shared" si="10" ref="C57:C73">D57+G57</f>
        <v>750000</v>
      </c>
      <c r="D57" s="43">
        <v>750000</v>
      </c>
      <c r="E57" s="43"/>
      <c r="F57" s="43"/>
      <c r="G57" s="43"/>
      <c r="H57" s="43">
        <f aca="true" t="shared" si="11" ref="H57:H74">I57+L57</f>
        <v>0</v>
      </c>
      <c r="I57" s="43"/>
      <c r="J57" s="43"/>
      <c r="K57" s="43"/>
      <c r="L57" s="43"/>
      <c r="M57" s="43"/>
      <c r="N57" s="42">
        <f t="shared" si="1"/>
        <v>750000</v>
      </c>
      <c r="O57" s="44"/>
      <c r="P57" s="44"/>
    </row>
    <row r="58" spans="1:16" s="7" customFormat="1" ht="25.5">
      <c r="A58" s="15" t="s">
        <v>32</v>
      </c>
      <c r="B58" s="11" t="s">
        <v>94</v>
      </c>
      <c r="C58" s="43">
        <f t="shared" si="10"/>
        <v>110000</v>
      </c>
      <c r="D58" s="43">
        <v>110000</v>
      </c>
      <c r="E58" s="43"/>
      <c r="F58" s="43"/>
      <c r="G58" s="43"/>
      <c r="H58" s="43">
        <f t="shared" si="11"/>
        <v>0</v>
      </c>
      <c r="I58" s="43"/>
      <c r="J58" s="43"/>
      <c r="K58" s="43"/>
      <c r="L58" s="43"/>
      <c r="M58" s="43"/>
      <c r="N58" s="42">
        <f t="shared" si="1"/>
        <v>110000</v>
      </c>
      <c r="O58" s="44"/>
      <c r="P58" s="44"/>
    </row>
    <row r="59" spans="1:16" s="7" customFormat="1" ht="25.5" hidden="1">
      <c r="A59" s="15" t="s">
        <v>166</v>
      </c>
      <c r="B59" s="11" t="s">
        <v>167</v>
      </c>
      <c r="C59" s="43">
        <f t="shared" si="10"/>
        <v>0</v>
      </c>
      <c r="D59" s="43"/>
      <c r="E59" s="43"/>
      <c r="F59" s="43"/>
      <c r="G59" s="43"/>
      <c r="H59" s="43">
        <f t="shared" si="11"/>
        <v>0</v>
      </c>
      <c r="I59" s="43"/>
      <c r="J59" s="43"/>
      <c r="K59" s="43"/>
      <c r="L59" s="43"/>
      <c r="M59" s="43"/>
      <c r="N59" s="42">
        <f t="shared" si="1"/>
        <v>0</v>
      </c>
      <c r="O59" s="44"/>
      <c r="P59" s="44"/>
    </row>
    <row r="60" spans="1:16" s="7" customFormat="1" ht="12.75">
      <c r="A60" s="15">
        <v>100203</v>
      </c>
      <c r="B60" s="11" t="s">
        <v>37</v>
      </c>
      <c r="C60" s="43">
        <f t="shared" si="10"/>
        <v>19100000</v>
      </c>
      <c r="D60" s="43">
        <f>18300000+300000+340000</f>
        <v>18940000</v>
      </c>
      <c r="E60" s="43"/>
      <c r="F60" s="43">
        <f>5375000+970000+300000+1000000</f>
        <v>7645000</v>
      </c>
      <c r="G60" s="43">
        <f>500000-340000</f>
        <v>160000</v>
      </c>
      <c r="H60" s="43">
        <f t="shared" si="11"/>
        <v>500000</v>
      </c>
      <c r="I60" s="43">
        <v>500000</v>
      </c>
      <c r="J60" s="43"/>
      <c r="K60" s="43"/>
      <c r="L60" s="43"/>
      <c r="M60" s="43"/>
      <c r="N60" s="42">
        <f t="shared" si="1"/>
        <v>19600000</v>
      </c>
      <c r="O60" s="44"/>
      <c r="P60" s="44"/>
    </row>
    <row r="61" spans="1:16" s="7" customFormat="1" ht="51" hidden="1">
      <c r="A61" s="15" t="s">
        <v>211</v>
      </c>
      <c r="B61" s="10" t="s">
        <v>212</v>
      </c>
      <c r="C61" s="43">
        <f t="shared" si="10"/>
        <v>0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2">
        <f t="shared" si="1"/>
        <v>0</v>
      </c>
      <c r="O61" s="44"/>
      <c r="P61" s="44"/>
    </row>
    <row r="62" spans="1:16" s="7" customFormat="1" ht="12.75">
      <c r="A62" s="15" t="s">
        <v>102</v>
      </c>
      <c r="B62" s="10" t="s">
        <v>103</v>
      </c>
      <c r="C62" s="43">
        <f t="shared" si="10"/>
        <v>0</v>
      </c>
      <c r="D62" s="43"/>
      <c r="E62" s="43"/>
      <c r="F62" s="43"/>
      <c r="G62" s="43"/>
      <c r="H62" s="43">
        <f t="shared" si="11"/>
        <v>16496617</v>
      </c>
      <c r="I62" s="43"/>
      <c r="J62" s="43"/>
      <c r="K62" s="43"/>
      <c r="L62" s="43">
        <f>M62</f>
        <v>16496617</v>
      </c>
      <c r="M62" s="43">
        <v>16496617</v>
      </c>
      <c r="N62" s="42">
        <f t="shared" si="1"/>
        <v>16496617</v>
      </c>
      <c r="O62" s="44"/>
      <c r="P62" s="44"/>
    </row>
    <row r="63" spans="1:16" s="7" customFormat="1" ht="63.75" hidden="1">
      <c r="A63" s="15" t="s">
        <v>152</v>
      </c>
      <c r="B63" s="4" t="s">
        <v>153</v>
      </c>
      <c r="C63" s="43"/>
      <c r="D63" s="43"/>
      <c r="E63" s="43"/>
      <c r="F63" s="43"/>
      <c r="G63" s="43"/>
      <c r="H63" s="43">
        <f t="shared" si="11"/>
        <v>0</v>
      </c>
      <c r="I63" s="43"/>
      <c r="J63" s="43"/>
      <c r="K63" s="43"/>
      <c r="L63" s="43"/>
      <c r="M63" s="43"/>
      <c r="N63" s="42">
        <f t="shared" si="1"/>
        <v>0</v>
      </c>
      <c r="O63" s="44"/>
      <c r="P63" s="44"/>
    </row>
    <row r="64" spans="1:16" s="7" customFormat="1" ht="51">
      <c r="A64" s="15">
        <v>170703</v>
      </c>
      <c r="B64" s="11" t="s">
        <v>146</v>
      </c>
      <c r="C64" s="43">
        <f t="shared" si="10"/>
        <v>0</v>
      </c>
      <c r="D64" s="43"/>
      <c r="E64" s="43"/>
      <c r="F64" s="43"/>
      <c r="G64" s="43"/>
      <c r="H64" s="43">
        <f t="shared" si="11"/>
        <v>13690000</v>
      </c>
      <c r="I64" s="43">
        <v>12490000</v>
      </c>
      <c r="J64" s="43"/>
      <c r="K64" s="43">
        <v>4000000</v>
      </c>
      <c r="L64" s="43">
        <v>1200000</v>
      </c>
      <c r="M64" s="43"/>
      <c r="N64" s="42">
        <f t="shared" si="1"/>
        <v>13690000</v>
      </c>
      <c r="O64" s="44"/>
      <c r="P64" s="44"/>
    </row>
    <row r="65" spans="1:16" s="7" customFormat="1" ht="50.25" customHeight="1" hidden="1">
      <c r="A65" s="15" t="s">
        <v>160</v>
      </c>
      <c r="B65" s="11" t="s">
        <v>161</v>
      </c>
      <c r="C65" s="43">
        <f t="shared" si="10"/>
        <v>0</v>
      </c>
      <c r="D65" s="43"/>
      <c r="E65" s="43"/>
      <c r="F65" s="43"/>
      <c r="G65" s="43"/>
      <c r="H65" s="43">
        <f t="shared" si="11"/>
        <v>0</v>
      </c>
      <c r="I65" s="43"/>
      <c r="J65" s="43"/>
      <c r="K65" s="43"/>
      <c r="L65" s="43"/>
      <c r="M65" s="43"/>
      <c r="N65" s="42">
        <f t="shared" si="1"/>
        <v>0</v>
      </c>
      <c r="O65" s="44"/>
      <c r="P65" s="44"/>
    </row>
    <row r="66" spans="1:16" s="7" customFormat="1" ht="12.75" hidden="1">
      <c r="A66" s="15" t="s">
        <v>53</v>
      </c>
      <c r="B66" s="11" t="s">
        <v>80</v>
      </c>
      <c r="C66" s="43">
        <f t="shared" si="10"/>
        <v>0</v>
      </c>
      <c r="D66" s="43">
        <f>D67+D68+D69</f>
        <v>0</v>
      </c>
      <c r="E66" s="43"/>
      <c r="F66" s="43"/>
      <c r="G66" s="43"/>
      <c r="H66" s="43">
        <f t="shared" si="11"/>
        <v>0</v>
      </c>
      <c r="I66" s="43"/>
      <c r="J66" s="43"/>
      <c r="K66" s="43"/>
      <c r="L66" s="43"/>
      <c r="M66" s="43"/>
      <c r="N66" s="42">
        <f t="shared" si="1"/>
        <v>0</v>
      </c>
      <c r="O66" s="44"/>
      <c r="P66" s="44"/>
    </row>
    <row r="67" spans="1:16" s="7" customFormat="1" ht="90.75" customHeight="1" hidden="1">
      <c r="A67" s="15"/>
      <c r="B67" s="32" t="s">
        <v>173</v>
      </c>
      <c r="C67" s="43">
        <f t="shared" si="10"/>
        <v>0</v>
      </c>
      <c r="D67" s="43"/>
      <c r="E67" s="43"/>
      <c r="F67" s="43"/>
      <c r="G67" s="43"/>
      <c r="H67" s="43">
        <f t="shared" si="11"/>
        <v>0</v>
      </c>
      <c r="I67" s="43"/>
      <c r="J67" s="43"/>
      <c r="K67" s="43"/>
      <c r="L67" s="43"/>
      <c r="M67" s="43"/>
      <c r="N67" s="42">
        <f t="shared" si="1"/>
        <v>0</v>
      </c>
      <c r="O67" s="44"/>
      <c r="P67" s="44"/>
    </row>
    <row r="68" spans="1:16" s="7" customFormat="1" ht="25.5" hidden="1">
      <c r="A68" s="15"/>
      <c r="B68" s="11" t="s">
        <v>163</v>
      </c>
      <c r="C68" s="43">
        <f t="shared" si="10"/>
        <v>0</v>
      </c>
      <c r="D68" s="43"/>
      <c r="E68" s="43"/>
      <c r="F68" s="43"/>
      <c r="G68" s="43"/>
      <c r="H68" s="43">
        <f t="shared" si="11"/>
        <v>0</v>
      </c>
      <c r="I68" s="43"/>
      <c r="J68" s="43"/>
      <c r="K68" s="43"/>
      <c r="L68" s="43"/>
      <c r="M68" s="43"/>
      <c r="N68" s="42">
        <f t="shared" si="1"/>
        <v>0</v>
      </c>
      <c r="O68" s="44"/>
      <c r="P68" s="44"/>
    </row>
    <row r="69" spans="1:16" s="7" customFormat="1" ht="76.5" hidden="1">
      <c r="A69" s="15"/>
      <c r="B69" s="11" t="s">
        <v>110</v>
      </c>
      <c r="C69" s="43">
        <f t="shared" si="10"/>
        <v>0</v>
      </c>
      <c r="D69" s="43"/>
      <c r="E69" s="43"/>
      <c r="F69" s="43"/>
      <c r="G69" s="43"/>
      <c r="H69" s="43">
        <f t="shared" si="11"/>
        <v>0</v>
      </c>
      <c r="I69" s="43"/>
      <c r="J69" s="43"/>
      <c r="K69" s="43"/>
      <c r="L69" s="43"/>
      <c r="M69" s="43"/>
      <c r="N69" s="42">
        <f t="shared" si="1"/>
        <v>0</v>
      </c>
      <c r="O69" s="44"/>
      <c r="P69" s="44"/>
    </row>
    <row r="70" spans="1:16" s="7" customFormat="1" ht="25.5">
      <c r="A70" s="15" t="s">
        <v>101</v>
      </c>
      <c r="B70" s="33" t="s">
        <v>149</v>
      </c>
      <c r="C70" s="43">
        <f t="shared" si="10"/>
        <v>0</v>
      </c>
      <c r="D70" s="43"/>
      <c r="E70" s="43"/>
      <c r="F70" s="43"/>
      <c r="G70" s="43"/>
      <c r="H70" s="43">
        <f t="shared" si="11"/>
        <v>700000</v>
      </c>
      <c r="I70" s="43"/>
      <c r="J70" s="43"/>
      <c r="K70" s="43"/>
      <c r="L70" s="43">
        <v>700000</v>
      </c>
      <c r="M70" s="43"/>
      <c r="N70" s="42">
        <f t="shared" si="1"/>
        <v>700000</v>
      </c>
      <c r="O70" s="44"/>
      <c r="P70" s="44"/>
    </row>
    <row r="71" spans="1:16" s="7" customFormat="1" ht="25.5">
      <c r="A71" s="15" t="s">
        <v>52</v>
      </c>
      <c r="B71" s="33" t="s">
        <v>92</v>
      </c>
      <c r="C71" s="43">
        <f t="shared" si="10"/>
        <v>0</v>
      </c>
      <c r="D71" s="43"/>
      <c r="E71" s="43"/>
      <c r="F71" s="43"/>
      <c r="G71" s="43"/>
      <c r="H71" s="43">
        <f t="shared" si="11"/>
        <v>11354850</v>
      </c>
      <c r="I71" s="43">
        <f>4300000+I73+I74+1000000-30000+100000-11268+2400000</f>
        <v>8466082</v>
      </c>
      <c r="J71" s="43"/>
      <c r="K71" s="43">
        <f>40000+2400000</f>
        <v>2440000</v>
      </c>
      <c r="L71" s="43">
        <f>5000000+L73+L74+30000+11268-2400000</f>
        <v>2888768</v>
      </c>
      <c r="M71" s="43"/>
      <c r="N71" s="42">
        <f t="shared" si="1"/>
        <v>11354850</v>
      </c>
      <c r="O71" s="44"/>
      <c r="P71" s="44"/>
    </row>
    <row r="72" spans="1:16" s="7" customFormat="1" ht="12.75">
      <c r="A72" s="15"/>
      <c r="B72" s="32" t="s">
        <v>93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2"/>
      <c r="O72" s="44"/>
      <c r="P72" s="44"/>
    </row>
    <row r="73" spans="1:16" s="7" customFormat="1" ht="89.25">
      <c r="A73" s="15"/>
      <c r="B73" s="32" t="s">
        <v>197</v>
      </c>
      <c r="C73" s="43">
        <f t="shared" si="10"/>
        <v>0</v>
      </c>
      <c r="D73" s="43"/>
      <c r="E73" s="43"/>
      <c r="F73" s="43"/>
      <c r="G73" s="43"/>
      <c r="H73" s="43">
        <f t="shared" si="11"/>
        <v>928750</v>
      </c>
      <c r="I73" s="43">
        <v>681250</v>
      </c>
      <c r="J73" s="43"/>
      <c r="K73" s="43"/>
      <c r="L73" s="43">
        <f>247500</f>
        <v>247500</v>
      </c>
      <c r="M73" s="43"/>
      <c r="N73" s="42">
        <f t="shared" si="1"/>
        <v>928750</v>
      </c>
      <c r="O73" s="44"/>
      <c r="P73" s="44"/>
    </row>
    <row r="74" spans="1:16" s="7" customFormat="1" ht="25.5">
      <c r="A74" s="15"/>
      <c r="B74" s="32" t="s">
        <v>228</v>
      </c>
      <c r="C74" s="43"/>
      <c r="D74" s="43"/>
      <c r="E74" s="43"/>
      <c r="F74" s="43"/>
      <c r="G74" s="43"/>
      <c r="H74" s="43">
        <f t="shared" si="11"/>
        <v>26100</v>
      </c>
      <c r="I74" s="43">
        <v>26100</v>
      </c>
      <c r="J74" s="43"/>
      <c r="K74" s="43"/>
      <c r="L74" s="43"/>
      <c r="M74" s="43"/>
      <c r="N74" s="42">
        <f t="shared" si="1"/>
        <v>26100</v>
      </c>
      <c r="O74" s="44"/>
      <c r="P74" s="44"/>
    </row>
    <row r="75" spans="1:16" s="38" customFormat="1" ht="25.5">
      <c r="A75" s="37" t="s">
        <v>118</v>
      </c>
      <c r="B75" s="39" t="s">
        <v>193</v>
      </c>
      <c r="C75" s="50">
        <f>C76+C77</f>
        <v>785402</v>
      </c>
      <c r="D75" s="50">
        <f>D76+D77</f>
        <v>781902</v>
      </c>
      <c r="E75" s="50">
        <f>E76+E77</f>
        <v>369082</v>
      </c>
      <c r="F75" s="50">
        <f>F76+F77</f>
        <v>0</v>
      </c>
      <c r="G75" s="50">
        <f>G76+G77</f>
        <v>3500</v>
      </c>
      <c r="H75" s="50">
        <f>H76+H77+H78</f>
        <v>1100000</v>
      </c>
      <c r="I75" s="50">
        <f>I76+I77+I78</f>
        <v>100000</v>
      </c>
      <c r="J75" s="50">
        <f>J76+J77+J78</f>
        <v>0</v>
      </c>
      <c r="K75" s="50">
        <f>K76+K77+K78</f>
        <v>0</v>
      </c>
      <c r="L75" s="50">
        <f>L76+L77+L78</f>
        <v>1000000</v>
      </c>
      <c r="M75" s="50">
        <f>M76</f>
        <v>0</v>
      </c>
      <c r="N75" s="49">
        <f t="shared" si="1"/>
        <v>1885402</v>
      </c>
      <c r="O75" s="51"/>
      <c r="P75" s="51"/>
    </row>
    <row r="76" spans="1:16" s="7" customFormat="1" ht="12.75">
      <c r="A76" s="15" t="s">
        <v>10</v>
      </c>
      <c r="B76" s="17" t="s">
        <v>11</v>
      </c>
      <c r="C76" s="43">
        <f>D76+G76</f>
        <v>535402</v>
      </c>
      <c r="D76" s="43">
        <f>356385+26013+149504</f>
        <v>531902</v>
      </c>
      <c r="E76" s="43">
        <f>240214+19100+109768</f>
        <v>369082</v>
      </c>
      <c r="F76" s="43"/>
      <c r="G76" s="43">
        <v>3500</v>
      </c>
      <c r="H76" s="43">
        <f>I76+L76</f>
        <v>0</v>
      </c>
      <c r="I76" s="43"/>
      <c r="J76" s="43"/>
      <c r="K76" s="43"/>
      <c r="L76" s="43"/>
      <c r="M76" s="43"/>
      <c r="N76" s="42">
        <f t="shared" si="1"/>
        <v>535402</v>
      </c>
      <c r="O76" s="44"/>
      <c r="P76" s="44"/>
    </row>
    <row r="77" spans="1:16" s="7" customFormat="1" ht="25.5">
      <c r="A77" s="15" t="s">
        <v>48</v>
      </c>
      <c r="B77" s="11" t="s">
        <v>49</v>
      </c>
      <c r="C77" s="43">
        <f>D77+G77</f>
        <v>250000</v>
      </c>
      <c r="D77" s="43">
        <v>250000</v>
      </c>
      <c r="E77" s="43"/>
      <c r="F77" s="43"/>
      <c r="G77" s="43"/>
      <c r="H77" s="43">
        <f>I77+L77</f>
        <v>0</v>
      </c>
      <c r="I77" s="43"/>
      <c r="J77" s="43"/>
      <c r="K77" s="43"/>
      <c r="L77" s="43"/>
      <c r="M77" s="43"/>
      <c r="N77" s="42">
        <f t="shared" si="1"/>
        <v>250000</v>
      </c>
      <c r="O77" s="44"/>
      <c r="P77" s="44"/>
    </row>
    <row r="78" spans="1:16" s="7" customFormat="1" ht="25.5">
      <c r="A78" s="15" t="s">
        <v>52</v>
      </c>
      <c r="B78" s="33" t="s">
        <v>92</v>
      </c>
      <c r="C78" s="43"/>
      <c r="D78" s="43"/>
      <c r="E78" s="43"/>
      <c r="F78" s="43"/>
      <c r="G78" s="43"/>
      <c r="H78" s="43">
        <f>I78+L78</f>
        <v>1100000</v>
      </c>
      <c r="I78" s="43">
        <v>100000</v>
      </c>
      <c r="J78" s="43"/>
      <c r="K78" s="43"/>
      <c r="L78" s="43">
        <v>1000000</v>
      </c>
      <c r="M78" s="43"/>
      <c r="N78" s="42">
        <f t="shared" si="1"/>
        <v>1100000</v>
      </c>
      <c r="O78" s="44"/>
      <c r="P78" s="44"/>
    </row>
    <row r="79" spans="1:16" s="38" customFormat="1" ht="25.5">
      <c r="A79" s="37" t="s">
        <v>119</v>
      </c>
      <c r="B79" s="39" t="s">
        <v>69</v>
      </c>
      <c r="C79" s="50">
        <f>C80+C81+C82</f>
        <v>978081</v>
      </c>
      <c r="D79" s="50">
        <f>D80+D81+D82</f>
        <v>974581</v>
      </c>
      <c r="E79" s="50">
        <f>E80+E81+E82</f>
        <v>244090</v>
      </c>
      <c r="F79" s="50">
        <f>F80+F81+F82</f>
        <v>9065</v>
      </c>
      <c r="G79" s="50">
        <f>G80+G81+G82</f>
        <v>3500</v>
      </c>
      <c r="H79" s="50">
        <f aca="true" t="shared" si="12" ref="H79:M79">H80+H82+H83</f>
        <v>2818000</v>
      </c>
      <c r="I79" s="50">
        <f t="shared" si="12"/>
        <v>879500</v>
      </c>
      <c r="J79" s="50">
        <f t="shared" si="12"/>
        <v>0</v>
      </c>
      <c r="K79" s="50">
        <f t="shared" si="12"/>
        <v>0</v>
      </c>
      <c r="L79" s="50">
        <f t="shared" si="12"/>
        <v>1938500</v>
      </c>
      <c r="M79" s="50">
        <f t="shared" si="12"/>
        <v>0</v>
      </c>
      <c r="N79" s="49">
        <f t="shared" si="1"/>
        <v>3796081</v>
      </c>
      <c r="O79" s="51"/>
      <c r="P79" s="51"/>
    </row>
    <row r="80" spans="1:16" s="7" customFormat="1" ht="12.75">
      <c r="A80" s="15" t="s">
        <v>10</v>
      </c>
      <c r="B80" s="17" t="s">
        <v>11</v>
      </c>
      <c r="C80" s="43">
        <f>D80+G80</f>
        <v>381081</v>
      </c>
      <c r="D80" s="43">
        <f>259907+17367+100307</f>
        <v>377581</v>
      </c>
      <c r="E80" s="43">
        <f>157692+12751+73647</f>
        <v>244090</v>
      </c>
      <c r="F80" s="43">
        <v>9065</v>
      </c>
      <c r="G80" s="43">
        <v>3500</v>
      </c>
      <c r="H80" s="43">
        <f>I80+L80</f>
        <v>0</v>
      </c>
      <c r="I80" s="43"/>
      <c r="J80" s="43"/>
      <c r="K80" s="43"/>
      <c r="L80" s="43"/>
      <c r="M80" s="43"/>
      <c r="N80" s="42">
        <f t="shared" si="1"/>
        <v>381081</v>
      </c>
      <c r="O80" s="44"/>
      <c r="P80" s="44"/>
    </row>
    <row r="81" spans="1:16" s="7" customFormat="1" ht="38.25">
      <c r="A81" s="15" t="s">
        <v>190</v>
      </c>
      <c r="B81" s="33" t="s">
        <v>192</v>
      </c>
      <c r="C81" s="43">
        <f>D81+G81</f>
        <v>597000</v>
      </c>
      <c r="D81" s="43">
        <f>500000+97000</f>
        <v>597000</v>
      </c>
      <c r="E81" s="43"/>
      <c r="F81" s="43"/>
      <c r="G81" s="43"/>
      <c r="H81" s="43"/>
      <c r="I81" s="43"/>
      <c r="J81" s="43"/>
      <c r="K81" s="43"/>
      <c r="L81" s="43"/>
      <c r="M81" s="43"/>
      <c r="N81" s="42">
        <f>C81+H81</f>
        <v>597000</v>
      </c>
      <c r="O81" s="44"/>
      <c r="P81" s="44"/>
    </row>
    <row r="82" spans="1:16" s="7" customFormat="1" ht="25.5">
      <c r="A82" s="15" t="s">
        <v>101</v>
      </c>
      <c r="B82" s="33" t="s">
        <v>149</v>
      </c>
      <c r="C82" s="43">
        <f>D82+G82</f>
        <v>0</v>
      </c>
      <c r="D82" s="43"/>
      <c r="E82" s="43"/>
      <c r="F82" s="43"/>
      <c r="G82" s="43"/>
      <c r="H82" s="43">
        <f>I82+L82</f>
        <v>2638000</v>
      </c>
      <c r="I82" s="43">
        <f>747500+2000</f>
        <v>749500</v>
      </c>
      <c r="J82" s="43"/>
      <c r="K82" s="43"/>
      <c r="L82" s="43">
        <v>1888500</v>
      </c>
      <c r="M82" s="43"/>
      <c r="N82" s="42">
        <f t="shared" si="1"/>
        <v>2638000</v>
      </c>
      <c r="O82" s="44"/>
      <c r="P82" s="44"/>
    </row>
    <row r="83" spans="1:16" s="7" customFormat="1" ht="51">
      <c r="A83" s="15" t="s">
        <v>195</v>
      </c>
      <c r="B83" s="10" t="s">
        <v>196</v>
      </c>
      <c r="C83" s="43">
        <f>D83+G83</f>
        <v>0</v>
      </c>
      <c r="D83" s="43"/>
      <c r="E83" s="43"/>
      <c r="F83" s="43"/>
      <c r="G83" s="43"/>
      <c r="H83" s="43">
        <f>I83+L83</f>
        <v>180000</v>
      </c>
      <c r="I83" s="43">
        <v>130000</v>
      </c>
      <c r="J83" s="43"/>
      <c r="K83" s="43"/>
      <c r="L83" s="43">
        <v>50000</v>
      </c>
      <c r="M83" s="43"/>
      <c r="N83" s="42">
        <f>C83+H83</f>
        <v>180000</v>
      </c>
      <c r="O83" s="44"/>
      <c r="P83" s="44"/>
    </row>
    <row r="84" spans="1:16" s="38" customFormat="1" ht="25.5">
      <c r="A84" s="37" t="s">
        <v>120</v>
      </c>
      <c r="B84" s="39" t="s">
        <v>157</v>
      </c>
      <c r="C84" s="50">
        <f>C85+C86+C98+C100+C101+C97</f>
        <v>28835607</v>
      </c>
      <c r="D84" s="50">
        <f>D85+D86+D97+D98+D99+D100+D101</f>
        <v>28618207</v>
      </c>
      <c r="E84" s="50">
        <f>E85+E86+E97+E98+E99+E100+E101</f>
        <v>13065133</v>
      </c>
      <c r="F84" s="50">
        <f>F85+F86+F97+F98+F99+F100+F101</f>
        <v>1407566</v>
      </c>
      <c r="G84" s="50">
        <f>G85+G86+G97+G98+G99+G100+G101</f>
        <v>217400</v>
      </c>
      <c r="H84" s="50">
        <f>H85+H86+H96+H98+H100+H101+H99</f>
        <v>9106309</v>
      </c>
      <c r="I84" s="50">
        <f>I85+I86+I97+I98+I99+I100+I101</f>
        <v>3795839.62</v>
      </c>
      <c r="J84" s="50">
        <f>J85+J86+J97+J98+J99+J100+J101</f>
        <v>863117</v>
      </c>
      <c r="K84" s="50">
        <f>K85+K86+K97+K98+K99+K100+K101</f>
        <v>16923</v>
      </c>
      <c r="L84" s="50">
        <f>L85+L86+L97+L98+L99+L100+L101</f>
        <v>5310469.38</v>
      </c>
      <c r="M84" s="50">
        <f>M85+M86+M97+M98+M99+M100+M101</f>
        <v>3430639</v>
      </c>
      <c r="N84" s="49">
        <f t="shared" si="1"/>
        <v>37941916</v>
      </c>
      <c r="O84" s="51"/>
      <c r="P84" s="51"/>
    </row>
    <row r="85" spans="1:16" s="7" customFormat="1" ht="12.75">
      <c r="A85" s="15" t="s">
        <v>10</v>
      </c>
      <c r="B85" s="17" t="s">
        <v>11</v>
      </c>
      <c r="C85" s="43">
        <f aca="true" t="shared" si="13" ref="C85:C98">D85+G85</f>
        <v>471101</v>
      </c>
      <c r="D85" s="43">
        <f>285803+2500+18562+93785+4289-11338</f>
        <v>393601</v>
      </c>
      <c r="E85" s="43">
        <f>180437+13628+68859+4289-8325</f>
        <v>258888</v>
      </c>
      <c r="F85" s="43">
        <v>9898</v>
      </c>
      <c r="G85" s="43">
        <v>77500</v>
      </c>
      <c r="H85" s="43">
        <f aca="true" t="shared" si="14" ref="H85:H104">I85+L85</f>
        <v>0</v>
      </c>
      <c r="I85" s="43"/>
      <c r="J85" s="43"/>
      <c r="K85" s="43"/>
      <c r="L85" s="43"/>
      <c r="M85" s="43"/>
      <c r="N85" s="42">
        <f t="shared" si="1"/>
        <v>471101</v>
      </c>
      <c r="O85" s="44"/>
      <c r="P85" s="44"/>
    </row>
    <row r="86" spans="1:16" s="7" customFormat="1" ht="12.75">
      <c r="A86" s="15" t="s">
        <v>12</v>
      </c>
      <c r="B86" s="17" t="s">
        <v>13</v>
      </c>
      <c r="C86" s="43">
        <f t="shared" si="13"/>
        <v>24712999</v>
      </c>
      <c r="D86" s="43">
        <f>SUM(D88:D96)</f>
        <v>24633099</v>
      </c>
      <c r="E86" s="43">
        <f>SUM(E88:E96)</f>
        <v>10369619</v>
      </c>
      <c r="F86" s="43">
        <f>SUM(F88:F96)</f>
        <v>1293679</v>
      </c>
      <c r="G86" s="43">
        <f>SUM(G88:G96)</f>
        <v>79900</v>
      </c>
      <c r="H86" s="43">
        <f t="shared" si="14"/>
        <v>1890046</v>
      </c>
      <c r="I86" s="43">
        <f>SUM(I88:I96)</f>
        <v>1836694</v>
      </c>
      <c r="J86" s="43">
        <f>SUM(J88:J96)</f>
        <v>863117</v>
      </c>
      <c r="K86" s="43">
        <f>SUM(K88:K96)</f>
        <v>16923</v>
      </c>
      <c r="L86" s="43">
        <f>SUM(L88:L96)</f>
        <v>53352</v>
      </c>
      <c r="M86" s="43">
        <f>M87+M88+M89+M91+M93+M94</f>
        <v>0</v>
      </c>
      <c r="N86" s="42">
        <f t="shared" si="1"/>
        <v>26603045</v>
      </c>
      <c r="O86" s="44"/>
      <c r="P86" s="44"/>
    </row>
    <row r="87" spans="1:16" s="7" customFormat="1" ht="12.75" hidden="1">
      <c r="A87" s="15" t="s">
        <v>58</v>
      </c>
      <c r="B87" s="18" t="s">
        <v>57</v>
      </c>
      <c r="C87" s="43">
        <f t="shared" si="13"/>
        <v>0</v>
      </c>
      <c r="D87" s="43"/>
      <c r="E87" s="43"/>
      <c r="F87" s="43"/>
      <c r="G87" s="43"/>
      <c r="H87" s="43">
        <f t="shared" si="14"/>
        <v>0</v>
      </c>
      <c r="I87" s="43"/>
      <c r="J87" s="43"/>
      <c r="K87" s="43"/>
      <c r="L87" s="43"/>
      <c r="M87" s="43"/>
      <c r="N87" s="42">
        <f t="shared" si="1"/>
        <v>0</v>
      </c>
      <c r="O87" s="44"/>
      <c r="P87" s="44"/>
    </row>
    <row r="88" spans="1:16" s="7" customFormat="1" ht="51">
      <c r="A88" s="15" t="s">
        <v>14</v>
      </c>
      <c r="B88" s="17" t="s">
        <v>134</v>
      </c>
      <c r="C88" s="43">
        <f t="shared" si="13"/>
        <v>8368385</v>
      </c>
      <c r="D88" s="43">
        <v>8338385</v>
      </c>
      <c r="E88" s="43">
        <v>5025106</v>
      </c>
      <c r="F88" s="43">
        <v>671759</v>
      </c>
      <c r="G88" s="43">
        <f>30000</f>
        <v>30000</v>
      </c>
      <c r="H88" s="43">
        <f t="shared" si="14"/>
        <v>1709712</v>
      </c>
      <c r="I88" s="43">
        <v>1709712</v>
      </c>
      <c r="J88" s="43">
        <v>858117</v>
      </c>
      <c r="K88" s="43">
        <v>15423</v>
      </c>
      <c r="L88" s="43"/>
      <c r="M88" s="43"/>
      <c r="N88" s="42">
        <f t="shared" si="1"/>
        <v>10078097</v>
      </c>
      <c r="O88" s="44"/>
      <c r="P88" s="44"/>
    </row>
    <row r="89" spans="1:16" s="7" customFormat="1" ht="25.5">
      <c r="A89" s="15" t="s">
        <v>15</v>
      </c>
      <c r="B89" s="17" t="s">
        <v>16</v>
      </c>
      <c r="C89" s="43">
        <f t="shared" si="13"/>
        <v>7100000</v>
      </c>
      <c r="D89" s="43">
        <v>7060000</v>
      </c>
      <c r="E89" s="43">
        <v>4552610</v>
      </c>
      <c r="F89" s="43">
        <v>607574</v>
      </c>
      <c r="G89" s="43">
        <v>40000</v>
      </c>
      <c r="H89" s="43">
        <f t="shared" si="14"/>
        <v>152334</v>
      </c>
      <c r="I89" s="43">
        <v>108982</v>
      </c>
      <c r="J89" s="43">
        <v>5000</v>
      </c>
      <c r="K89" s="43">
        <v>1500</v>
      </c>
      <c r="L89" s="43">
        <v>43352</v>
      </c>
      <c r="M89" s="43"/>
      <c r="N89" s="42">
        <f t="shared" si="1"/>
        <v>7252334</v>
      </c>
      <c r="O89" s="44"/>
      <c r="P89" s="44"/>
    </row>
    <row r="90" spans="1:16" s="7" customFormat="1" ht="51" hidden="1">
      <c r="A90" s="15" t="s">
        <v>181</v>
      </c>
      <c r="B90" s="17" t="s">
        <v>182</v>
      </c>
      <c r="C90" s="43">
        <f t="shared" si="13"/>
        <v>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2">
        <f t="shared" si="1"/>
        <v>0</v>
      </c>
      <c r="O90" s="44"/>
      <c r="P90" s="44"/>
    </row>
    <row r="91" spans="1:16" s="7" customFormat="1" ht="25.5">
      <c r="A91" s="15" t="s">
        <v>17</v>
      </c>
      <c r="B91" s="17" t="s">
        <v>135</v>
      </c>
      <c r="C91" s="43">
        <f t="shared" si="13"/>
        <v>7973226</v>
      </c>
      <c r="D91" s="43">
        <f>527426+7445800</f>
        <v>7973226</v>
      </c>
      <c r="E91" s="43">
        <v>349410</v>
      </c>
      <c r="F91" s="43">
        <v>14346</v>
      </c>
      <c r="G91" s="43"/>
      <c r="H91" s="43">
        <f t="shared" si="14"/>
        <v>0</v>
      </c>
      <c r="I91" s="43"/>
      <c r="J91" s="43"/>
      <c r="K91" s="43"/>
      <c r="L91" s="43"/>
      <c r="M91" s="43"/>
      <c r="N91" s="42">
        <f t="shared" si="1"/>
        <v>7973226</v>
      </c>
      <c r="O91" s="44"/>
      <c r="P91" s="44"/>
    </row>
    <row r="92" spans="1:16" s="7" customFormat="1" ht="25.5">
      <c r="A92" s="15" t="s">
        <v>215</v>
      </c>
      <c r="B92" s="11" t="s">
        <v>216</v>
      </c>
      <c r="C92" s="43">
        <f>D92+G92</f>
        <v>161431</v>
      </c>
      <c r="D92" s="43">
        <v>161431</v>
      </c>
      <c r="E92" s="43">
        <v>91029</v>
      </c>
      <c r="F92" s="43"/>
      <c r="G92" s="43"/>
      <c r="H92" s="43">
        <f>I92+L92</f>
        <v>28000</v>
      </c>
      <c r="I92" s="43">
        <v>18000</v>
      </c>
      <c r="J92" s="43"/>
      <c r="K92" s="43"/>
      <c r="L92" s="43">
        <v>10000</v>
      </c>
      <c r="M92" s="43"/>
      <c r="N92" s="42">
        <f>C92+H92</f>
        <v>189431</v>
      </c>
      <c r="O92" s="44"/>
      <c r="P92" s="44"/>
    </row>
    <row r="93" spans="1:16" s="7" customFormat="1" ht="25.5">
      <c r="A93" s="15" t="s">
        <v>18</v>
      </c>
      <c r="B93" s="11" t="s">
        <v>136</v>
      </c>
      <c r="C93" s="43">
        <f t="shared" si="13"/>
        <v>572758</v>
      </c>
      <c r="D93" s="43">
        <v>562858</v>
      </c>
      <c r="E93" s="43">
        <v>351464</v>
      </c>
      <c r="F93" s="43"/>
      <c r="G93" s="43">
        <v>9900</v>
      </c>
      <c r="H93" s="43">
        <f t="shared" si="14"/>
        <v>0</v>
      </c>
      <c r="I93" s="43"/>
      <c r="J93" s="43"/>
      <c r="K93" s="43"/>
      <c r="L93" s="43"/>
      <c r="M93" s="43"/>
      <c r="N93" s="42">
        <f t="shared" si="1"/>
        <v>572758</v>
      </c>
      <c r="O93" s="44"/>
      <c r="P93" s="44"/>
    </row>
    <row r="94" spans="1:16" s="7" customFormat="1" ht="25.5" hidden="1">
      <c r="A94" s="15" t="s">
        <v>19</v>
      </c>
      <c r="B94" s="11" t="s">
        <v>137</v>
      </c>
      <c r="C94" s="43">
        <f t="shared" si="13"/>
        <v>0</v>
      </c>
      <c r="D94" s="43"/>
      <c r="E94" s="43"/>
      <c r="F94" s="43"/>
      <c r="G94" s="43"/>
      <c r="H94" s="43">
        <f t="shared" si="14"/>
        <v>0</v>
      </c>
      <c r="I94" s="43"/>
      <c r="J94" s="43"/>
      <c r="K94" s="43"/>
      <c r="L94" s="43"/>
      <c r="M94" s="43"/>
      <c r="N94" s="42">
        <f t="shared" si="1"/>
        <v>0</v>
      </c>
      <c r="O94" s="44"/>
      <c r="P94" s="44"/>
    </row>
    <row r="95" spans="1:16" s="7" customFormat="1" ht="51" hidden="1">
      <c r="A95" s="15" t="s">
        <v>179</v>
      </c>
      <c r="B95" s="11" t="s">
        <v>180</v>
      </c>
      <c r="C95" s="43">
        <f t="shared" si="13"/>
        <v>0</v>
      </c>
      <c r="D95" s="43"/>
      <c r="E95" s="43"/>
      <c r="F95" s="43"/>
      <c r="G95" s="43"/>
      <c r="H95" s="43">
        <f t="shared" si="14"/>
        <v>0</v>
      </c>
      <c r="I95" s="43"/>
      <c r="J95" s="43"/>
      <c r="K95" s="43"/>
      <c r="L95" s="43"/>
      <c r="M95" s="43"/>
      <c r="N95" s="42">
        <f t="shared" si="1"/>
        <v>0</v>
      </c>
      <c r="O95" s="44"/>
      <c r="P95" s="44"/>
    </row>
    <row r="96" spans="1:16" s="7" customFormat="1" ht="102">
      <c r="A96" s="15" t="s">
        <v>203</v>
      </c>
      <c r="B96" s="11" t="s">
        <v>204</v>
      </c>
      <c r="C96" s="43">
        <f t="shared" si="13"/>
        <v>537199</v>
      </c>
      <c r="D96" s="43">
        <v>537199</v>
      </c>
      <c r="E96" s="43"/>
      <c r="F96" s="43"/>
      <c r="G96" s="43"/>
      <c r="H96" s="43">
        <f t="shared" si="14"/>
        <v>0</v>
      </c>
      <c r="I96" s="43"/>
      <c r="J96" s="43"/>
      <c r="K96" s="43"/>
      <c r="L96" s="43"/>
      <c r="M96" s="43"/>
      <c r="N96" s="42">
        <f t="shared" si="1"/>
        <v>537199</v>
      </c>
      <c r="O96" s="44"/>
      <c r="P96" s="44"/>
    </row>
    <row r="97" spans="1:16" s="7" customFormat="1" ht="76.5">
      <c r="A97" s="15" t="s">
        <v>162</v>
      </c>
      <c r="B97" s="11" t="s">
        <v>220</v>
      </c>
      <c r="C97" s="43">
        <f t="shared" si="13"/>
        <v>56717</v>
      </c>
      <c r="D97" s="43">
        <v>56717</v>
      </c>
      <c r="E97" s="43"/>
      <c r="F97" s="43"/>
      <c r="G97" s="43"/>
      <c r="H97" s="43"/>
      <c r="I97" s="43"/>
      <c r="J97" s="43"/>
      <c r="K97" s="43"/>
      <c r="L97" s="43"/>
      <c r="M97" s="43"/>
      <c r="N97" s="42">
        <f t="shared" si="1"/>
        <v>56717</v>
      </c>
      <c r="O97" s="44"/>
      <c r="P97" s="44"/>
    </row>
    <row r="98" spans="1:16" s="7" customFormat="1" ht="38.25">
      <c r="A98" s="15">
        <v>130107</v>
      </c>
      <c r="B98" s="33" t="s">
        <v>46</v>
      </c>
      <c r="C98" s="43">
        <f t="shared" si="13"/>
        <v>3594790</v>
      </c>
      <c r="D98" s="43">
        <f>3524790+10000</f>
        <v>3534790</v>
      </c>
      <c r="E98" s="43">
        <v>2436626</v>
      </c>
      <c r="F98" s="43">
        <v>103989</v>
      </c>
      <c r="G98" s="43">
        <f>60000</f>
        <v>60000</v>
      </c>
      <c r="H98" s="43">
        <f t="shared" si="14"/>
        <v>384</v>
      </c>
      <c r="I98" s="43">
        <v>384</v>
      </c>
      <c r="J98" s="43"/>
      <c r="K98" s="43"/>
      <c r="L98" s="43"/>
      <c r="M98" s="43"/>
      <c r="N98" s="42">
        <f t="shared" si="1"/>
        <v>3595174</v>
      </c>
      <c r="O98" s="44"/>
      <c r="P98" s="44"/>
    </row>
    <row r="99" spans="1:16" s="7" customFormat="1" ht="12.75">
      <c r="A99" s="15" t="s">
        <v>102</v>
      </c>
      <c r="B99" s="33" t="s">
        <v>103</v>
      </c>
      <c r="C99" s="43"/>
      <c r="D99" s="43"/>
      <c r="E99" s="43"/>
      <c r="F99" s="43"/>
      <c r="G99" s="43"/>
      <c r="H99" s="43">
        <f t="shared" si="14"/>
        <v>3430639</v>
      </c>
      <c r="I99" s="43"/>
      <c r="J99" s="43"/>
      <c r="K99" s="43"/>
      <c r="L99" s="43">
        <f>M99</f>
        <v>3430639</v>
      </c>
      <c r="M99" s="43">
        <f>3530639-100000</f>
        <v>3430639</v>
      </c>
      <c r="N99" s="42">
        <f t="shared" si="1"/>
        <v>3430639</v>
      </c>
      <c r="O99" s="44"/>
      <c r="P99" s="44"/>
    </row>
    <row r="100" spans="1:16" s="7" customFormat="1" ht="25.5">
      <c r="A100" s="15" t="s">
        <v>101</v>
      </c>
      <c r="B100" s="33" t="s">
        <v>149</v>
      </c>
      <c r="C100" s="43"/>
      <c r="D100" s="43"/>
      <c r="E100" s="43"/>
      <c r="F100" s="43"/>
      <c r="G100" s="43"/>
      <c r="H100" s="43">
        <f t="shared" si="14"/>
        <v>232000</v>
      </c>
      <c r="I100" s="43">
        <f>111000-2000</f>
        <v>109000</v>
      </c>
      <c r="J100" s="43"/>
      <c r="K100" s="43"/>
      <c r="L100" s="43">
        <v>123000</v>
      </c>
      <c r="M100" s="43"/>
      <c r="N100" s="42">
        <f t="shared" si="1"/>
        <v>232000</v>
      </c>
      <c r="O100" s="44"/>
      <c r="P100" s="44"/>
    </row>
    <row r="101" spans="1:16" s="7" customFormat="1" ht="25.5">
      <c r="A101" s="15" t="s">
        <v>52</v>
      </c>
      <c r="B101" s="33" t="s">
        <v>92</v>
      </c>
      <c r="C101" s="43"/>
      <c r="D101" s="43"/>
      <c r="E101" s="43"/>
      <c r="F101" s="43"/>
      <c r="G101" s="43"/>
      <c r="H101" s="43">
        <f t="shared" si="14"/>
        <v>3553240</v>
      </c>
      <c r="I101" s="43">
        <f>25000+732500+I103+I104</f>
        <v>1849761.62</v>
      </c>
      <c r="J101" s="43"/>
      <c r="K101" s="43"/>
      <c r="L101" s="43">
        <f>714780+L103+L104</f>
        <v>1703478.38</v>
      </c>
      <c r="M101" s="43"/>
      <c r="N101" s="42">
        <f t="shared" si="1"/>
        <v>3553240</v>
      </c>
      <c r="O101" s="44"/>
      <c r="P101" s="44"/>
    </row>
    <row r="102" spans="1:16" s="7" customFormat="1" ht="12.75">
      <c r="A102" s="15"/>
      <c r="B102" s="32" t="s">
        <v>93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2"/>
      <c r="O102" s="44"/>
      <c r="P102" s="44"/>
    </row>
    <row r="103" spans="1:16" s="7" customFormat="1" ht="89.25">
      <c r="A103" s="15" t="s">
        <v>52</v>
      </c>
      <c r="B103" s="32" t="s">
        <v>197</v>
      </c>
      <c r="C103" s="43"/>
      <c r="D103" s="43"/>
      <c r="E103" s="43"/>
      <c r="F103" s="43"/>
      <c r="G103" s="43"/>
      <c r="H103" s="43">
        <f t="shared" si="14"/>
        <v>1390200</v>
      </c>
      <c r="I103" s="43">
        <v>624500</v>
      </c>
      <c r="J103" s="43"/>
      <c r="K103" s="43"/>
      <c r="L103" s="43">
        <v>765700</v>
      </c>
      <c r="M103" s="43"/>
      <c r="N103" s="42">
        <f t="shared" si="1"/>
        <v>1390200</v>
      </c>
      <c r="O103" s="44"/>
      <c r="P103" s="44"/>
    </row>
    <row r="104" spans="1:16" s="7" customFormat="1" ht="25.5">
      <c r="A104" s="15"/>
      <c r="B104" s="32" t="s">
        <v>228</v>
      </c>
      <c r="C104" s="43"/>
      <c r="D104" s="43"/>
      <c r="E104" s="43"/>
      <c r="F104" s="43"/>
      <c r="G104" s="43"/>
      <c r="H104" s="43">
        <f t="shared" si="14"/>
        <v>690760</v>
      </c>
      <c r="I104" s="43">
        <v>467761.62</v>
      </c>
      <c r="J104" s="43"/>
      <c r="K104" s="43"/>
      <c r="L104" s="43">
        <f>232998.38-20000+10000</f>
        <v>222998.38</v>
      </c>
      <c r="M104" s="43"/>
      <c r="N104" s="42">
        <f t="shared" si="1"/>
        <v>690760</v>
      </c>
      <c r="O104" s="44"/>
      <c r="P104" s="44"/>
    </row>
    <row r="105" spans="1:16" s="38" customFormat="1" ht="25.5">
      <c r="A105" s="37" t="s">
        <v>121</v>
      </c>
      <c r="B105" s="39" t="s">
        <v>70</v>
      </c>
      <c r="C105" s="50">
        <f>C106+C107+C110+C114+C115+C116+C117+C118+C119+C121+C113+C124</f>
        <v>30032631</v>
      </c>
      <c r="D105" s="50">
        <f>D106+D107+D110+D114+D115+D116+D117+D118+D119+D121+D113+D124</f>
        <v>29989131</v>
      </c>
      <c r="E105" s="50">
        <f>E106+E107+E110+E114+E115+E116+E117+E118+E119+E121+E113+E124</f>
        <v>3850562</v>
      </c>
      <c r="F105" s="50">
        <f>F106+F107+F110+F114+F115+F116+F117+F118+F119+F121+F113+F124</f>
        <v>255781</v>
      </c>
      <c r="G105" s="50">
        <f>G106+G107+G110+G114+G115+G116+G117+G118+G119+G121+G113+G124</f>
        <v>43500</v>
      </c>
      <c r="H105" s="50">
        <f>H106+H107+H110+H114+H115+H116+H117+H118+H119+H121</f>
        <v>1086810</v>
      </c>
      <c r="I105" s="50">
        <f>I106+I107+I110+I114+I115+I116+I117+I118+I119+I121+I113</f>
        <v>1080400</v>
      </c>
      <c r="J105" s="50">
        <f>J106+J107+J110+J114+J115+J116+J117+J118+J119+J121+J113</f>
        <v>28634</v>
      </c>
      <c r="K105" s="50">
        <f>K106+K107+K110+K114+K115+K116+K117+K118+K119+K121+K113</f>
        <v>4799</v>
      </c>
      <c r="L105" s="50">
        <f>L106+L107+L110+L114+L115+L116+L117+L118+L119+L121+L113</f>
        <v>6410</v>
      </c>
      <c r="M105" s="50">
        <f>M106+M108+M109+M110+M113+M114+M115+M116+M119+M124+M107+M117+M120+M118</f>
        <v>0</v>
      </c>
      <c r="N105" s="49">
        <f t="shared" si="1"/>
        <v>31119441</v>
      </c>
      <c r="O105" s="51"/>
      <c r="P105" s="51"/>
    </row>
    <row r="106" spans="1:16" s="7" customFormat="1" ht="12.75">
      <c r="A106" s="15" t="s">
        <v>10</v>
      </c>
      <c r="B106" s="17" t="s">
        <v>11</v>
      </c>
      <c r="C106" s="43">
        <f aca="true" t="shared" si="15" ref="C106:C128">D106+G106</f>
        <v>642358</v>
      </c>
      <c r="D106" s="43">
        <f>422700+27181+148977</f>
        <v>598858</v>
      </c>
      <c r="E106" s="43">
        <f>246283+19958+109381</f>
        <v>375622</v>
      </c>
      <c r="F106" s="43">
        <v>17281</v>
      </c>
      <c r="G106" s="43">
        <f>40000+3500</f>
        <v>43500</v>
      </c>
      <c r="H106" s="43">
        <f aca="true" t="shared" si="16" ref="H106:H128">I106+L106</f>
        <v>0</v>
      </c>
      <c r="I106" s="43"/>
      <c r="J106" s="43"/>
      <c r="K106" s="43"/>
      <c r="L106" s="43"/>
      <c r="M106" s="43"/>
      <c r="N106" s="42">
        <f t="shared" si="1"/>
        <v>642358</v>
      </c>
      <c r="O106" s="44"/>
      <c r="P106" s="44"/>
    </row>
    <row r="107" spans="1:16" s="7" customFormat="1" ht="51" hidden="1">
      <c r="A107" s="15" t="s">
        <v>181</v>
      </c>
      <c r="B107" s="17" t="s">
        <v>182</v>
      </c>
      <c r="C107" s="43">
        <f>D107+G107</f>
        <v>0</v>
      </c>
      <c r="D107" s="43"/>
      <c r="E107" s="43"/>
      <c r="F107" s="43"/>
      <c r="G107" s="43"/>
      <c r="H107" s="43">
        <f>I107+L107</f>
        <v>0</v>
      </c>
      <c r="I107" s="43"/>
      <c r="J107" s="43"/>
      <c r="K107" s="43"/>
      <c r="L107" s="43"/>
      <c r="M107" s="43"/>
      <c r="N107" s="42">
        <f t="shared" si="1"/>
        <v>0</v>
      </c>
      <c r="O107" s="44"/>
      <c r="P107" s="44"/>
    </row>
    <row r="108" spans="1:16" s="7" customFormat="1" ht="51" hidden="1">
      <c r="A108" s="15" t="s">
        <v>89</v>
      </c>
      <c r="B108" s="33" t="s">
        <v>141</v>
      </c>
      <c r="C108" s="43">
        <f t="shared" si="15"/>
        <v>0</v>
      </c>
      <c r="D108" s="43"/>
      <c r="E108" s="43"/>
      <c r="F108" s="43"/>
      <c r="G108" s="43"/>
      <c r="H108" s="43">
        <f t="shared" si="16"/>
        <v>0</v>
      </c>
      <c r="I108" s="43"/>
      <c r="J108" s="43"/>
      <c r="K108" s="43"/>
      <c r="L108" s="43"/>
      <c r="M108" s="43"/>
      <c r="N108" s="42">
        <f t="shared" si="1"/>
        <v>0</v>
      </c>
      <c r="O108" s="44"/>
      <c r="P108" s="44"/>
    </row>
    <row r="109" spans="1:16" s="7" customFormat="1" ht="38.25" hidden="1">
      <c r="A109" s="15" t="s">
        <v>84</v>
      </c>
      <c r="B109" s="33" t="s">
        <v>91</v>
      </c>
      <c r="C109" s="43">
        <f t="shared" si="15"/>
        <v>0</v>
      </c>
      <c r="D109" s="43"/>
      <c r="E109" s="43"/>
      <c r="F109" s="43"/>
      <c r="G109" s="43"/>
      <c r="H109" s="43">
        <f t="shared" si="16"/>
        <v>0</v>
      </c>
      <c r="I109" s="43"/>
      <c r="J109" s="43"/>
      <c r="K109" s="43"/>
      <c r="L109" s="43"/>
      <c r="M109" s="43"/>
      <c r="N109" s="42">
        <f aca="true" t="shared" si="17" ref="N109:N194">C109+H109</f>
        <v>0</v>
      </c>
      <c r="O109" s="44"/>
      <c r="P109" s="44"/>
    </row>
    <row r="110" spans="1:16" s="7" customFormat="1" ht="25.5">
      <c r="A110" s="15" t="s">
        <v>32</v>
      </c>
      <c r="B110" s="11" t="s">
        <v>90</v>
      </c>
      <c r="C110" s="43">
        <f t="shared" si="15"/>
        <v>2840173</v>
      </c>
      <c r="D110" s="43">
        <f>D111+D112</f>
        <v>2840173</v>
      </c>
      <c r="E110" s="43">
        <f>E111+E112</f>
        <v>0</v>
      </c>
      <c r="F110" s="43">
        <f>F111+F112</f>
        <v>0</v>
      </c>
      <c r="G110" s="43">
        <f>G111+G112</f>
        <v>0</v>
      </c>
      <c r="H110" s="43">
        <f t="shared" si="16"/>
        <v>0</v>
      </c>
      <c r="I110" s="43"/>
      <c r="J110" s="43"/>
      <c r="K110" s="43"/>
      <c r="L110" s="43"/>
      <c r="M110" s="43"/>
      <c r="N110" s="42">
        <f t="shared" si="17"/>
        <v>2840173</v>
      </c>
      <c r="O110" s="44"/>
      <c r="P110" s="44"/>
    </row>
    <row r="111" spans="1:16" s="7" customFormat="1" ht="38.25">
      <c r="A111" s="15"/>
      <c r="B111" s="11" t="s">
        <v>113</v>
      </c>
      <c r="C111" s="43">
        <f t="shared" si="15"/>
        <v>2840173</v>
      </c>
      <c r="D111" s="43">
        <f>2000280-280+500000+154600+135573+50000</f>
        <v>2840173</v>
      </c>
      <c r="E111" s="43"/>
      <c r="F111" s="43"/>
      <c r="G111" s="43"/>
      <c r="H111" s="43">
        <f t="shared" si="16"/>
        <v>0</v>
      </c>
      <c r="I111" s="43"/>
      <c r="J111" s="43"/>
      <c r="K111" s="43"/>
      <c r="L111" s="43"/>
      <c r="M111" s="43"/>
      <c r="N111" s="42">
        <f t="shared" si="17"/>
        <v>2840173</v>
      </c>
      <c r="O111" s="44"/>
      <c r="P111" s="44"/>
    </row>
    <row r="112" spans="1:16" s="7" customFormat="1" ht="25.5" hidden="1">
      <c r="A112" s="15"/>
      <c r="B112" s="10" t="s">
        <v>158</v>
      </c>
      <c r="C112" s="43">
        <f t="shared" si="15"/>
        <v>0</v>
      </c>
      <c r="D112" s="43"/>
      <c r="E112" s="43"/>
      <c r="F112" s="43"/>
      <c r="G112" s="43"/>
      <c r="H112" s="43">
        <f t="shared" si="16"/>
        <v>0</v>
      </c>
      <c r="I112" s="43"/>
      <c r="J112" s="43"/>
      <c r="K112" s="43"/>
      <c r="L112" s="43"/>
      <c r="M112" s="43"/>
      <c r="N112" s="42">
        <f t="shared" si="17"/>
        <v>0</v>
      </c>
      <c r="O112" s="44"/>
      <c r="P112" s="44"/>
    </row>
    <row r="113" spans="1:16" s="7" customFormat="1" ht="76.5">
      <c r="A113" s="15" t="s">
        <v>162</v>
      </c>
      <c r="B113" s="11" t="s">
        <v>220</v>
      </c>
      <c r="C113" s="43">
        <f t="shared" si="15"/>
        <v>610000</v>
      </c>
      <c r="D113" s="43">
        <v>610000</v>
      </c>
      <c r="E113" s="43"/>
      <c r="F113" s="43"/>
      <c r="G113" s="43"/>
      <c r="H113" s="43">
        <f t="shared" si="16"/>
        <v>0</v>
      </c>
      <c r="I113" s="43"/>
      <c r="J113" s="43"/>
      <c r="K113" s="43"/>
      <c r="L113" s="43"/>
      <c r="M113" s="43"/>
      <c r="N113" s="42">
        <f t="shared" si="17"/>
        <v>610000</v>
      </c>
      <c r="O113" s="44"/>
      <c r="P113" s="44"/>
    </row>
    <row r="114" spans="1:16" s="7" customFormat="1" ht="25.5">
      <c r="A114" s="15" t="s">
        <v>34</v>
      </c>
      <c r="B114" s="11" t="s">
        <v>35</v>
      </c>
      <c r="C114" s="43">
        <f t="shared" si="15"/>
        <v>5805700</v>
      </c>
      <c r="D114" s="43">
        <f>5652000+153700</f>
        <v>5805700</v>
      </c>
      <c r="E114" s="43">
        <v>3474940</v>
      </c>
      <c r="F114" s="43">
        <v>238500</v>
      </c>
      <c r="G114" s="43"/>
      <c r="H114" s="43">
        <f t="shared" si="16"/>
        <v>89379</v>
      </c>
      <c r="I114" s="43">
        <v>89379</v>
      </c>
      <c r="J114" s="43">
        <v>28634</v>
      </c>
      <c r="K114" s="43">
        <v>4799</v>
      </c>
      <c r="L114" s="43"/>
      <c r="M114" s="43"/>
      <c r="N114" s="42">
        <f t="shared" si="17"/>
        <v>5895079</v>
      </c>
      <c r="O114" s="44"/>
      <c r="P114" s="44"/>
    </row>
    <row r="115" spans="1:16" s="7" customFormat="1" ht="25.5">
      <c r="A115" s="15" t="s">
        <v>85</v>
      </c>
      <c r="B115" s="63" t="s">
        <v>222</v>
      </c>
      <c r="C115" s="43">
        <f t="shared" si="15"/>
        <v>134700</v>
      </c>
      <c r="D115" s="43">
        <v>134700</v>
      </c>
      <c r="E115" s="43"/>
      <c r="F115" s="43"/>
      <c r="G115" s="43"/>
      <c r="H115" s="43">
        <f t="shared" si="16"/>
        <v>0</v>
      </c>
      <c r="I115" s="43"/>
      <c r="J115" s="43"/>
      <c r="K115" s="43"/>
      <c r="L115" s="43"/>
      <c r="M115" s="43"/>
      <c r="N115" s="42">
        <f t="shared" si="17"/>
        <v>134700</v>
      </c>
      <c r="O115" s="44"/>
      <c r="P115" s="44"/>
    </row>
    <row r="116" spans="1:16" s="7" customFormat="1" ht="38.25">
      <c r="A116" s="15" t="s">
        <v>63</v>
      </c>
      <c r="B116" s="11" t="s">
        <v>144</v>
      </c>
      <c r="C116" s="43">
        <f t="shared" si="15"/>
        <v>4464300</v>
      </c>
      <c r="D116" s="43">
        <v>4464300</v>
      </c>
      <c r="E116" s="43"/>
      <c r="F116" s="43"/>
      <c r="G116" s="43"/>
      <c r="H116" s="43">
        <f t="shared" si="16"/>
        <v>0</v>
      </c>
      <c r="I116" s="43"/>
      <c r="J116" s="43"/>
      <c r="K116" s="43"/>
      <c r="L116" s="43"/>
      <c r="M116" s="43"/>
      <c r="N116" s="42">
        <f t="shared" si="17"/>
        <v>4464300</v>
      </c>
      <c r="O116" s="44"/>
      <c r="P116" s="44"/>
    </row>
    <row r="117" spans="1:16" s="7" customFormat="1" ht="38.25">
      <c r="A117" s="15" t="s">
        <v>191</v>
      </c>
      <c r="B117" s="32" t="s">
        <v>231</v>
      </c>
      <c r="C117" s="43">
        <f>D117+G117</f>
        <v>1000000</v>
      </c>
      <c r="D117" s="43">
        <v>1000000</v>
      </c>
      <c r="E117" s="43"/>
      <c r="F117" s="43"/>
      <c r="G117" s="43"/>
      <c r="H117" s="43">
        <f>I117+L117</f>
        <v>0</v>
      </c>
      <c r="I117" s="43"/>
      <c r="J117" s="43"/>
      <c r="K117" s="43"/>
      <c r="L117" s="43"/>
      <c r="M117" s="43"/>
      <c r="N117" s="42">
        <f>C117+H117</f>
        <v>1000000</v>
      </c>
      <c r="O117" s="44"/>
      <c r="P117" s="44"/>
    </row>
    <row r="118" spans="1:16" s="7" customFormat="1" ht="38.25">
      <c r="A118" s="15" t="s">
        <v>187</v>
      </c>
      <c r="B118" s="32" t="s">
        <v>188</v>
      </c>
      <c r="C118" s="43">
        <f>D118+G118</f>
        <v>500000</v>
      </c>
      <c r="D118" s="43">
        <v>500000</v>
      </c>
      <c r="E118" s="43"/>
      <c r="F118" s="43"/>
      <c r="G118" s="43"/>
      <c r="H118" s="43"/>
      <c r="I118" s="43"/>
      <c r="J118" s="43"/>
      <c r="K118" s="43"/>
      <c r="L118" s="43"/>
      <c r="M118" s="43"/>
      <c r="N118" s="42">
        <f>C118+H118</f>
        <v>500000</v>
      </c>
      <c r="O118" s="44"/>
      <c r="P118" s="44"/>
    </row>
    <row r="119" spans="1:16" s="7" customFormat="1" ht="38.25">
      <c r="A119" s="15" t="s">
        <v>64</v>
      </c>
      <c r="B119" s="11" t="s">
        <v>145</v>
      </c>
      <c r="C119" s="43">
        <f t="shared" si="15"/>
        <v>14035400</v>
      </c>
      <c r="D119" s="43">
        <v>14035400</v>
      </c>
      <c r="E119" s="43"/>
      <c r="F119" s="43"/>
      <c r="G119" s="43"/>
      <c r="H119" s="43">
        <f t="shared" si="16"/>
        <v>0</v>
      </c>
      <c r="I119" s="43"/>
      <c r="J119" s="43"/>
      <c r="K119" s="43"/>
      <c r="L119" s="43"/>
      <c r="M119" s="43"/>
      <c r="N119" s="42">
        <f t="shared" si="17"/>
        <v>14035400</v>
      </c>
      <c r="O119" s="44"/>
      <c r="P119" s="44"/>
    </row>
    <row r="120" spans="1:16" s="7" customFormat="1" ht="76.5" hidden="1">
      <c r="A120" s="15" t="s">
        <v>64</v>
      </c>
      <c r="B120" s="10" t="s">
        <v>183</v>
      </c>
      <c r="C120" s="43">
        <f>D120+G120</f>
        <v>0</v>
      </c>
      <c r="D120" s="43"/>
      <c r="E120" s="43"/>
      <c r="F120" s="43"/>
      <c r="G120" s="43"/>
      <c r="H120" s="43">
        <f>I120+L120</f>
        <v>0</v>
      </c>
      <c r="I120" s="43"/>
      <c r="J120" s="43"/>
      <c r="K120" s="43"/>
      <c r="L120" s="43"/>
      <c r="M120" s="43"/>
      <c r="N120" s="42">
        <f>C120+H120</f>
        <v>0</v>
      </c>
      <c r="O120" s="44"/>
      <c r="P120" s="44"/>
    </row>
    <row r="121" spans="1:16" s="7" customFormat="1" ht="25.5">
      <c r="A121" s="15" t="s">
        <v>52</v>
      </c>
      <c r="B121" s="33" t="s">
        <v>92</v>
      </c>
      <c r="C121" s="43"/>
      <c r="D121" s="43"/>
      <c r="E121" s="43"/>
      <c r="F121" s="43"/>
      <c r="G121" s="43"/>
      <c r="H121" s="43">
        <f t="shared" si="16"/>
        <v>997431</v>
      </c>
      <c r="I121" s="43">
        <f>620000+160000+831+90000-23000+I123+130000</f>
        <v>991021</v>
      </c>
      <c r="J121" s="43"/>
      <c r="K121" s="43"/>
      <c r="L121" s="43">
        <f>+L123</f>
        <v>6410</v>
      </c>
      <c r="M121" s="43"/>
      <c r="N121" s="42">
        <f t="shared" si="17"/>
        <v>997431</v>
      </c>
      <c r="O121" s="44"/>
      <c r="P121" s="44"/>
    </row>
    <row r="122" spans="1:16" s="7" customFormat="1" ht="12.75">
      <c r="A122" s="15"/>
      <c r="B122" s="32" t="s">
        <v>93</v>
      </c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2"/>
      <c r="O122" s="44"/>
      <c r="P122" s="44"/>
    </row>
    <row r="123" spans="1:16" s="7" customFormat="1" ht="25.5">
      <c r="A123" s="15"/>
      <c r="B123" s="33" t="s">
        <v>228</v>
      </c>
      <c r="C123" s="43"/>
      <c r="D123" s="43"/>
      <c r="E123" s="43"/>
      <c r="F123" s="43"/>
      <c r="G123" s="43"/>
      <c r="H123" s="43">
        <f t="shared" si="16"/>
        <v>19600</v>
      </c>
      <c r="I123" s="43">
        <v>13190</v>
      </c>
      <c r="J123" s="43"/>
      <c r="K123" s="43"/>
      <c r="L123" s="43">
        <v>6410</v>
      </c>
      <c r="M123" s="43"/>
      <c r="N123" s="42">
        <f t="shared" si="17"/>
        <v>19600</v>
      </c>
      <c r="O123" s="44"/>
      <c r="P123" s="44"/>
    </row>
    <row r="124" spans="1:16" s="7" customFormat="1" ht="12.75" hidden="1">
      <c r="A124" s="15" t="s">
        <v>53</v>
      </c>
      <c r="B124" s="11" t="s">
        <v>80</v>
      </c>
      <c r="C124" s="43">
        <f t="shared" si="15"/>
        <v>0</v>
      </c>
      <c r="D124" s="43">
        <f>D125+D126+D127+D128</f>
        <v>0</v>
      </c>
      <c r="E124" s="43">
        <f>E125+E126+E127+E128</f>
        <v>0</v>
      </c>
      <c r="F124" s="43">
        <f>F125+F126+F127+F128</f>
        <v>0</v>
      </c>
      <c r="G124" s="43">
        <f>G125+G126+G127+G128</f>
        <v>0</v>
      </c>
      <c r="H124" s="43">
        <f t="shared" si="16"/>
        <v>0</v>
      </c>
      <c r="I124" s="43">
        <f>I125+I126+I127+I128</f>
        <v>0</v>
      </c>
      <c r="J124" s="43">
        <f>J125+J126+J127+J128</f>
        <v>0</v>
      </c>
      <c r="K124" s="43">
        <f>K125+K126+K127+K128</f>
        <v>0</v>
      </c>
      <c r="L124" s="43">
        <f>L125+L126+L127+L128</f>
        <v>0</v>
      </c>
      <c r="M124" s="43">
        <f>M125+M126+M127+M128</f>
        <v>0</v>
      </c>
      <c r="N124" s="42">
        <f t="shared" si="17"/>
        <v>0</v>
      </c>
      <c r="O124" s="44"/>
      <c r="P124" s="44"/>
    </row>
    <row r="125" spans="1:16" s="7" customFormat="1" ht="51" hidden="1">
      <c r="A125" s="15"/>
      <c r="B125" s="33" t="s">
        <v>219</v>
      </c>
      <c r="C125" s="43">
        <f t="shared" si="15"/>
        <v>0</v>
      </c>
      <c r="D125" s="43">
        <v>0</v>
      </c>
      <c r="E125" s="43"/>
      <c r="F125" s="43"/>
      <c r="G125" s="43"/>
      <c r="H125" s="43"/>
      <c r="I125" s="43"/>
      <c r="J125" s="43"/>
      <c r="K125" s="43"/>
      <c r="L125" s="43"/>
      <c r="M125" s="43"/>
      <c r="N125" s="42">
        <f>C125+H125</f>
        <v>0</v>
      </c>
      <c r="O125" s="44"/>
      <c r="P125" s="44"/>
    </row>
    <row r="126" spans="1:16" s="7" customFormat="1" ht="38.25" hidden="1">
      <c r="A126" s="15"/>
      <c r="B126" s="32" t="s">
        <v>109</v>
      </c>
      <c r="C126" s="43">
        <f t="shared" si="15"/>
        <v>0</v>
      </c>
      <c r="D126" s="43"/>
      <c r="E126" s="43"/>
      <c r="F126" s="43"/>
      <c r="G126" s="43"/>
      <c r="H126" s="43">
        <f t="shared" si="16"/>
        <v>0</v>
      </c>
      <c r="I126" s="43"/>
      <c r="J126" s="43"/>
      <c r="K126" s="43"/>
      <c r="L126" s="43"/>
      <c r="M126" s="43"/>
      <c r="N126" s="42">
        <f t="shared" si="17"/>
        <v>0</v>
      </c>
      <c r="O126" s="44"/>
      <c r="P126" s="44"/>
    </row>
    <row r="127" spans="1:16" s="7" customFormat="1" ht="63.75" hidden="1">
      <c r="A127" s="15"/>
      <c r="B127" s="32" t="s">
        <v>154</v>
      </c>
      <c r="C127" s="43">
        <f t="shared" si="15"/>
        <v>0</v>
      </c>
      <c r="D127" s="43"/>
      <c r="E127" s="43"/>
      <c r="F127" s="43"/>
      <c r="G127" s="43"/>
      <c r="H127" s="43">
        <f t="shared" si="16"/>
        <v>0</v>
      </c>
      <c r="I127" s="43"/>
      <c r="J127" s="43"/>
      <c r="K127" s="43"/>
      <c r="L127" s="43"/>
      <c r="M127" s="43"/>
      <c r="N127" s="42">
        <f t="shared" si="17"/>
        <v>0</v>
      </c>
      <c r="O127" s="44"/>
      <c r="P127" s="44"/>
    </row>
    <row r="128" spans="1:16" s="7" customFormat="1" ht="38.25" hidden="1">
      <c r="A128" s="15"/>
      <c r="B128" s="32" t="s">
        <v>108</v>
      </c>
      <c r="C128" s="43">
        <f t="shared" si="15"/>
        <v>0</v>
      </c>
      <c r="D128" s="43"/>
      <c r="E128" s="43"/>
      <c r="F128" s="43"/>
      <c r="G128" s="43"/>
      <c r="H128" s="43">
        <f t="shared" si="16"/>
        <v>0</v>
      </c>
      <c r="I128" s="43"/>
      <c r="J128" s="43"/>
      <c r="K128" s="43"/>
      <c r="L128" s="43"/>
      <c r="M128" s="43"/>
      <c r="N128" s="42">
        <f t="shared" si="17"/>
        <v>0</v>
      </c>
      <c r="O128" s="44"/>
      <c r="P128" s="44"/>
    </row>
    <row r="129" spans="1:16" s="38" customFormat="1" ht="12.75">
      <c r="A129" s="37" t="s">
        <v>229</v>
      </c>
      <c r="B129" s="53" t="s">
        <v>71</v>
      </c>
      <c r="C129" s="50">
        <f>C130+C131</f>
        <v>17953330</v>
      </c>
      <c r="D129" s="50">
        <f>D130+D131</f>
        <v>17622130</v>
      </c>
      <c r="E129" s="50">
        <f>E130+E131</f>
        <v>10228496</v>
      </c>
      <c r="F129" s="50">
        <f>F130+F131</f>
        <v>535582</v>
      </c>
      <c r="G129" s="50">
        <f>G130+G131</f>
        <v>331200</v>
      </c>
      <c r="H129" s="50">
        <f>H130+H131+H138+H139</f>
        <v>2388779</v>
      </c>
      <c r="I129" s="50">
        <f>I130+I131+I138+I139</f>
        <v>1786629</v>
      </c>
      <c r="J129" s="50">
        <f>J130+J131+J138+J139</f>
        <v>264212</v>
      </c>
      <c r="K129" s="50">
        <f>K130+K131+K138+K139</f>
        <v>55662</v>
      </c>
      <c r="L129" s="50">
        <f>L130+L131+L138+L139</f>
        <v>602150</v>
      </c>
      <c r="M129" s="50">
        <f>M130+M131+M138+M139+M141</f>
        <v>400000</v>
      </c>
      <c r="N129" s="49">
        <f t="shared" si="17"/>
        <v>20342109</v>
      </c>
      <c r="O129" s="51"/>
      <c r="P129" s="51"/>
    </row>
    <row r="130" spans="1:16" s="7" customFormat="1" ht="12.75">
      <c r="A130" s="15" t="s">
        <v>10</v>
      </c>
      <c r="B130" s="17" t="s">
        <v>11</v>
      </c>
      <c r="C130" s="43">
        <f aca="true" t="shared" si="18" ref="C130:C137">D130+G130</f>
        <v>253867</v>
      </c>
      <c r="D130" s="43">
        <f>160358+12919+77390</f>
        <v>250667</v>
      </c>
      <c r="E130" s="43">
        <f>115087+9485+56821</f>
        <v>181393</v>
      </c>
      <c r="F130" s="43"/>
      <c r="G130" s="43">
        <v>3200</v>
      </c>
      <c r="H130" s="43">
        <f aca="true" t="shared" si="19" ref="H130:H142">I130+L130</f>
        <v>0</v>
      </c>
      <c r="I130" s="43"/>
      <c r="J130" s="43"/>
      <c r="K130" s="43"/>
      <c r="L130" s="43"/>
      <c r="M130" s="43"/>
      <c r="N130" s="42">
        <f t="shared" si="17"/>
        <v>253867</v>
      </c>
      <c r="O130" s="44"/>
      <c r="P130" s="44"/>
    </row>
    <row r="131" spans="1:16" s="7" customFormat="1" ht="12.75">
      <c r="A131" s="15" t="s">
        <v>38</v>
      </c>
      <c r="B131" s="11" t="s">
        <v>39</v>
      </c>
      <c r="C131" s="43">
        <f t="shared" si="18"/>
        <v>17699463</v>
      </c>
      <c r="D131" s="43">
        <f>SUM(D132:D137)</f>
        <v>17371463</v>
      </c>
      <c r="E131" s="43">
        <f>SUM(E132:E137)</f>
        <v>10047103</v>
      </c>
      <c r="F131" s="43">
        <f>SUM(F132:F137)</f>
        <v>535582</v>
      </c>
      <c r="G131" s="43">
        <f>SUM(G132:G137)</f>
        <v>328000</v>
      </c>
      <c r="H131" s="43">
        <f t="shared" si="19"/>
        <v>868659</v>
      </c>
      <c r="I131" s="43">
        <f>SUM(I132:I137)</f>
        <v>818659</v>
      </c>
      <c r="J131" s="43">
        <f>SUM(J132:J137)</f>
        <v>264212</v>
      </c>
      <c r="K131" s="43">
        <f>SUM(K132:K137)</f>
        <v>55662</v>
      </c>
      <c r="L131" s="43">
        <f>SUM(L132:L137)</f>
        <v>50000</v>
      </c>
      <c r="M131" s="43">
        <f>SUM(M132:M137)</f>
        <v>0</v>
      </c>
      <c r="N131" s="42">
        <f t="shared" si="17"/>
        <v>18568122</v>
      </c>
      <c r="O131" s="44"/>
      <c r="P131" s="44"/>
    </row>
    <row r="132" spans="1:16" s="7" customFormat="1" ht="12.75">
      <c r="A132" s="15">
        <v>110102</v>
      </c>
      <c r="B132" s="11" t="s">
        <v>40</v>
      </c>
      <c r="C132" s="43">
        <f t="shared" si="18"/>
        <v>510423</v>
      </c>
      <c r="D132" s="43">
        <v>510423</v>
      </c>
      <c r="E132" s="43"/>
      <c r="F132" s="43"/>
      <c r="G132" s="43"/>
      <c r="H132" s="43">
        <f t="shared" si="19"/>
        <v>0</v>
      </c>
      <c r="I132" s="43"/>
      <c r="J132" s="43"/>
      <c r="K132" s="43"/>
      <c r="L132" s="43"/>
      <c r="M132" s="43"/>
      <c r="N132" s="42">
        <f t="shared" si="17"/>
        <v>510423</v>
      </c>
      <c r="O132" s="44"/>
      <c r="P132" s="44"/>
    </row>
    <row r="133" spans="1:16" s="7" customFormat="1" ht="12.75">
      <c r="A133" s="15">
        <v>110201</v>
      </c>
      <c r="B133" s="11" t="s">
        <v>41</v>
      </c>
      <c r="C133" s="43">
        <f t="shared" si="18"/>
        <v>2733234</v>
      </c>
      <c r="D133" s="43">
        <f>2731234-28000+2000</f>
        <v>2705234</v>
      </c>
      <c r="E133" s="43">
        <v>1467263</v>
      </c>
      <c r="F133" s="43">
        <v>245621</v>
      </c>
      <c r="G133" s="43">
        <v>28000</v>
      </c>
      <c r="H133" s="43">
        <f t="shared" si="19"/>
        <v>18259</v>
      </c>
      <c r="I133" s="43">
        <v>18259</v>
      </c>
      <c r="J133" s="43"/>
      <c r="K133" s="43"/>
      <c r="L133" s="43"/>
      <c r="M133" s="43"/>
      <c r="N133" s="42">
        <f t="shared" si="17"/>
        <v>2751493</v>
      </c>
      <c r="O133" s="44"/>
      <c r="P133" s="44"/>
    </row>
    <row r="134" spans="1:16" s="7" customFormat="1" ht="25.5">
      <c r="A134" s="15">
        <v>110204</v>
      </c>
      <c r="B134" s="11" t="s">
        <v>142</v>
      </c>
      <c r="C134" s="43">
        <f t="shared" si="18"/>
        <v>1444312</v>
      </c>
      <c r="D134" s="43">
        <v>1234312</v>
      </c>
      <c r="E134" s="43"/>
      <c r="F134" s="43"/>
      <c r="G134" s="43">
        <f>210000</f>
        <v>210000</v>
      </c>
      <c r="H134" s="43">
        <f t="shared" si="19"/>
        <v>0</v>
      </c>
      <c r="I134" s="43"/>
      <c r="J134" s="43"/>
      <c r="K134" s="43"/>
      <c r="L134" s="43"/>
      <c r="M134" s="43"/>
      <c r="N134" s="42">
        <f t="shared" si="17"/>
        <v>1444312</v>
      </c>
      <c r="O134" s="44"/>
      <c r="P134" s="44"/>
    </row>
    <row r="135" spans="1:16" s="7" customFormat="1" ht="12.75">
      <c r="A135" s="15">
        <v>110205</v>
      </c>
      <c r="B135" s="11" t="s">
        <v>42</v>
      </c>
      <c r="C135" s="43">
        <f t="shared" si="18"/>
        <v>11694464</v>
      </c>
      <c r="D135" s="43">
        <f>11769104+25360-75873-24127</f>
        <v>11694464</v>
      </c>
      <c r="E135" s="43">
        <f>8335264-75873</f>
        <v>8259391</v>
      </c>
      <c r="F135" s="43">
        <v>275079</v>
      </c>
      <c r="G135" s="43"/>
      <c r="H135" s="43">
        <f t="shared" si="19"/>
        <v>850000</v>
      </c>
      <c r="I135" s="43">
        <v>800000</v>
      </c>
      <c r="J135" s="43">
        <v>264212</v>
      </c>
      <c r="K135" s="43">
        <v>55662</v>
      </c>
      <c r="L135" s="43">
        <v>50000</v>
      </c>
      <c r="M135" s="43"/>
      <c r="N135" s="42">
        <f t="shared" si="17"/>
        <v>12544464</v>
      </c>
      <c r="O135" s="44"/>
      <c r="P135" s="44"/>
    </row>
    <row r="136" spans="1:16" s="7" customFormat="1" ht="102">
      <c r="A136" s="15" t="s">
        <v>205</v>
      </c>
      <c r="B136" s="11" t="s">
        <v>204</v>
      </c>
      <c r="C136" s="43">
        <f t="shared" si="18"/>
        <v>340863</v>
      </c>
      <c r="D136" s="43">
        <v>340863</v>
      </c>
      <c r="E136" s="43"/>
      <c r="F136" s="43"/>
      <c r="G136" s="43"/>
      <c r="H136" s="43">
        <f t="shared" si="19"/>
        <v>0</v>
      </c>
      <c r="I136" s="43"/>
      <c r="J136" s="43"/>
      <c r="K136" s="43"/>
      <c r="L136" s="43"/>
      <c r="M136" s="43"/>
      <c r="N136" s="42">
        <f t="shared" si="17"/>
        <v>340863</v>
      </c>
      <c r="O136" s="44"/>
      <c r="P136" s="44"/>
    </row>
    <row r="137" spans="1:16" s="7" customFormat="1" ht="25.5">
      <c r="A137" s="15">
        <v>110502</v>
      </c>
      <c r="B137" s="11" t="s">
        <v>43</v>
      </c>
      <c r="C137" s="43">
        <f t="shared" si="18"/>
        <v>976167</v>
      </c>
      <c r="D137" s="43">
        <f>654027-27360+75873+24127+159500</f>
        <v>886167</v>
      </c>
      <c r="E137" s="43">
        <f>244576+75873</f>
        <v>320449</v>
      </c>
      <c r="F137" s="43">
        <v>14882</v>
      </c>
      <c r="G137" s="43">
        <f>90000</f>
        <v>90000</v>
      </c>
      <c r="H137" s="43">
        <f t="shared" si="19"/>
        <v>400</v>
      </c>
      <c r="I137" s="43">
        <v>400</v>
      </c>
      <c r="J137" s="43"/>
      <c r="K137" s="43"/>
      <c r="L137" s="43"/>
      <c r="M137" s="43"/>
      <c r="N137" s="42">
        <f t="shared" si="17"/>
        <v>976567</v>
      </c>
      <c r="O137" s="44"/>
      <c r="P137" s="44"/>
    </row>
    <row r="138" spans="1:16" s="7" customFormat="1" ht="12.75">
      <c r="A138" s="15" t="s">
        <v>102</v>
      </c>
      <c r="B138" s="10" t="s">
        <v>103</v>
      </c>
      <c r="C138" s="43"/>
      <c r="D138" s="43"/>
      <c r="E138" s="43"/>
      <c r="F138" s="43"/>
      <c r="G138" s="43"/>
      <c r="H138" s="43">
        <f t="shared" si="19"/>
        <v>400000</v>
      </c>
      <c r="I138" s="43"/>
      <c r="J138" s="43"/>
      <c r="K138" s="43"/>
      <c r="L138" s="43">
        <f>M138</f>
        <v>400000</v>
      </c>
      <c r="M138" s="43">
        <v>400000</v>
      </c>
      <c r="N138" s="42">
        <f t="shared" si="17"/>
        <v>400000</v>
      </c>
      <c r="O138" s="44"/>
      <c r="P138" s="44"/>
    </row>
    <row r="139" spans="1:16" s="7" customFormat="1" ht="25.5">
      <c r="A139" s="15" t="s">
        <v>52</v>
      </c>
      <c r="B139" s="33" t="s">
        <v>92</v>
      </c>
      <c r="C139" s="43"/>
      <c r="D139" s="43"/>
      <c r="E139" s="43"/>
      <c r="F139" s="43"/>
      <c r="G139" s="43"/>
      <c r="H139" s="43">
        <f t="shared" si="19"/>
        <v>1120120</v>
      </c>
      <c r="I139" s="43">
        <f>1000000-30000+81800+I141+I142-104830</f>
        <v>967970</v>
      </c>
      <c r="J139" s="43"/>
      <c r="K139" s="43"/>
      <c r="L139" s="43">
        <f>30000+L141+L142+104830</f>
        <v>152150</v>
      </c>
      <c r="M139" s="43"/>
      <c r="N139" s="42">
        <f t="shared" si="17"/>
        <v>1120120</v>
      </c>
      <c r="O139" s="44"/>
      <c r="P139" s="44"/>
    </row>
    <row r="140" spans="1:16" s="7" customFormat="1" ht="12.75">
      <c r="A140" s="9"/>
      <c r="B140" s="62" t="s">
        <v>93</v>
      </c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2"/>
      <c r="O140" s="44"/>
      <c r="P140" s="44"/>
    </row>
    <row r="141" spans="1:16" s="7" customFormat="1" ht="89.25">
      <c r="A141" s="9"/>
      <c r="B141" s="32" t="s">
        <v>197</v>
      </c>
      <c r="C141" s="43"/>
      <c r="D141" s="43"/>
      <c r="E141" s="43"/>
      <c r="F141" s="43"/>
      <c r="G141" s="43"/>
      <c r="H141" s="43">
        <f t="shared" si="19"/>
        <v>32720</v>
      </c>
      <c r="I141" s="43">
        <v>20000</v>
      </c>
      <c r="J141" s="43"/>
      <c r="K141" s="43"/>
      <c r="L141" s="43">
        <v>12720</v>
      </c>
      <c r="M141" s="43"/>
      <c r="N141" s="42">
        <f t="shared" si="17"/>
        <v>32720</v>
      </c>
      <c r="O141" s="44"/>
      <c r="P141" s="44"/>
    </row>
    <row r="142" spans="1:16" s="7" customFormat="1" ht="25.5">
      <c r="A142" s="9"/>
      <c r="B142" s="32" t="s">
        <v>228</v>
      </c>
      <c r="C142" s="43"/>
      <c r="D142" s="43"/>
      <c r="E142" s="43"/>
      <c r="F142" s="43"/>
      <c r="G142" s="43"/>
      <c r="H142" s="43">
        <f t="shared" si="19"/>
        <v>5600</v>
      </c>
      <c r="I142" s="43">
        <v>1000</v>
      </c>
      <c r="J142" s="43"/>
      <c r="K142" s="43"/>
      <c r="L142" s="43">
        <v>4600</v>
      </c>
      <c r="M142" s="43"/>
      <c r="N142" s="42">
        <f t="shared" si="17"/>
        <v>5600</v>
      </c>
      <c r="O142" s="44"/>
      <c r="P142" s="44"/>
    </row>
    <row r="143" spans="1:16" s="38" customFormat="1" ht="25.5">
      <c r="A143" s="52" t="s">
        <v>122</v>
      </c>
      <c r="B143" s="41" t="s">
        <v>72</v>
      </c>
      <c r="C143" s="50">
        <f>C144+C145</f>
        <v>91902434</v>
      </c>
      <c r="D143" s="50">
        <f>D144+D145</f>
        <v>90288134</v>
      </c>
      <c r="E143" s="50">
        <f>E144+E145</f>
        <v>44330585</v>
      </c>
      <c r="F143" s="50">
        <f>F144+F145</f>
        <v>4100560</v>
      </c>
      <c r="G143" s="50">
        <f>G144+G145</f>
        <v>1614300</v>
      </c>
      <c r="H143" s="50">
        <f>H144+H145+H156+H155</f>
        <v>4736874</v>
      </c>
      <c r="I143" s="50">
        <f>I144+I145+I156+I155</f>
        <v>2543204</v>
      </c>
      <c r="J143" s="50">
        <f>J144+J145+J156+J155</f>
        <v>1200</v>
      </c>
      <c r="K143" s="50">
        <f>K144+K145+K156+K155</f>
        <v>0</v>
      </c>
      <c r="L143" s="50">
        <f>L144+L145+L156+L155</f>
        <v>2193670</v>
      </c>
      <c r="M143" s="50">
        <f>M144+M145+M156+M155+M158</f>
        <v>1575000</v>
      </c>
      <c r="N143" s="49">
        <f t="shared" si="17"/>
        <v>96639308</v>
      </c>
      <c r="O143" s="51"/>
      <c r="P143" s="51"/>
    </row>
    <row r="144" spans="1:16" s="7" customFormat="1" ht="12.75">
      <c r="A144" s="15" t="s">
        <v>10</v>
      </c>
      <c r="B144" s="17" t="s">
        <v>11</v>
      </c>
      <c r="C144" s="43">
        <f aca="true" t="shared" si="20" ref="C144:C154">D144+G144</f>
        <v>402134</v>
      </c>
      <c r="D144" s="43">
        <f>283086+18589+100459</f>
        <v>402134</v>
      </c>
      <c r="E144" s="43">
        <f>170177+13649+73759</f>
        <v>257585</v>
      </c>
      <c r="F144" s="43">
        <v>21448</v>
      </c>
      <c r="G144" s="43"/>
      <c r="H144" s="43">
        <f aca="true" t="shared" si="21" ref="H144:H159">I144+L144</f>
        <v>0</v>
      </c>
      <c r="I144" s="43"/>
      <c r="J144" s="43"/>
      <c r="K144" s="43"/>
      <c r="L144" s="43"/>
      <c r="M144" s="43"/>
      <c r="N144" s="42">
        <f t="shared" si="17"/>
        <v>402134</v>
      </c>
      <c r="O144" s="44"/>
      <c r="P144" s="44"/>
    </row>
    <row r="145" spans="1:16" s="5" customFormat="1" ht="12.75">
      <c r="A145" s="16" t="s">
        <v>20</v>
      </c>
      <c r="B145" s="28" t="s">
        <v>21</v>
      </c>
      <c r="C145" s="43">
        <f t="shared" si="20"/>
        <v>91500300</v>
      </c>
      <c r="D145" s="43">
        <f>D146+D147+D148+D149+D150+D151+D152+D153+D154</f>
        <v>89886000</v>
      </c>
      <c r="E145" s="43">
        <f>E146+E147+E148+E149+E150+E151+E152+E153+E154</f>
        <v>44073000</v>
      </c>
      <c r="F145" s="43">
        <f>F146+F147+F148+F149+F150+F151+F152+F153+F154</f>
        <v>4079112</v>
      </c>
      <c r="G145" s="43">
        <f>G146+G147+G148+G149+G150+G151+G152+G153+G154</f>
        <v>1614300</v>
      </c>
      <c r="H145" s="43">
        <f t="shared" si="21"/>
        <v>450534</v>
      </c>
      <c r="I145" s="43">
        <f>I146+I147+I148+I149+I150+I151+I152+I153+I154</f>
        <v>381534</v>
      </c>
      <c r="J145" s="43">
        <f>J146+J147+J148+J149+J150+J151+J152+J153+J154</f>
        <v>1200</v>
      </c>
      <c r="K145" s="43">
        <f>K146+K147+K148+K149+K150+K151+K152+K153+K154</f>
        <v>0</v>
      </c>
      <c r="L145" s="43">
        <f>L146+L147+L148+L149+L150+L151+L152+L153+L154</f>
        <v>69000</v>
      </c>
      <c r="M145" s="43">
        <f>M146+M147+M148+M149+M150+M151+M152+M153+M154</f>
        <v>0</v>
      </c>
      <c r="N145" s="42">
        <f t="shared" si="17"/>
        <v>91950834</v>
      </c>
      <c r="O145" s="47"/>
      <c r="P145" s="47"/>
    </row>
    <row r="146" spans="1:16" s="7" customFormat="1" ht="12.75">
      <c r="A146" s="15" t="s">
        <v>22</v>
      </c>
      <c r="B146" s="11" t="s">
        <v>23</v>
      </c>
      <c r="C146" s="43">
        <f t="shared" si="20"/>
        <v>69843100</v>
      </c>
      <c r="D146" s="43">
        <f>68781000+17200+77800+98000+100000-65200</f>
        <v>69008800</v>
      </c>
      <c r="E146" s="43">
        <v>40966100</v>
      </c>
      <c r="F146" s="43">
        <v>3743042</v>
      </c>
      <c r="G146" s="43">
        <f>98000+295000+441300</f>
        <v>834300</v>
      </c>
      <c r="H146" s="43">
        <f t="shared" si="21"/>
        <v>255534</v>
      </c>
      <c r="I146" s="43">
        <v>216534</v>
      </c>
      <c r="J146" s="43">
        <v>1200</v>
      </c>
      <c r="K146" s="43"/>
      <c r="L146" s="43">
        <v>39000</v>
      </c>
      <c r="M146" s="43"/>
      <c r="N146" s="42">
        <f t="shared" si="17"/>
        <v>70098634</v>
      </c>
      <c r="O146" s="44"/>
      <c r="P146" s="44"/>
    </row>
    <row r="147" spans="1:16" s="7" customFormat="1" ht="12.75">
      <c r="A147" s="15" t="s">
        <v>59</v>
      </c>
      <c r="B147" s="10" t="s">
        <v>60</v>
      </c>
      <c r="C147" s="43">
        <f t="shared" si="20"/>
        <v>2644300</v>
      </c>
      <c r="D147" s="43">
        <f>2585900+23000-4600</f>
        <v>2604300</v>
      </c>
      <c r="E147" s="43">
        <v>1535700</v>
      </c>
      <c r="F147" s="43">
        <v>285750</v>
      </c>
      <c r="G147" s="43">
        <f>40000</f>
        <v>40000</v>
      </c>
      <c r="H147" s="43">
        <f t="shared" si="21"/>
        <v>195000</v>
      </c>
      <c r="I147" s="43">
        <v>165000</v>
      </c>
      <c r="J147" s="43"/>
      <c r="K147" s="43"/>
      <c r="L147" s="43">
        <v>30000</v>
      </c>
      <c r="M147" s="43"/>
      <c r="N147" s="42">
        <f t="shared" si="17"/>
        <v>2839300</v>
      </c>
      <c r="O147" s="44"/>
      <c r="P147" s="44"/>
    </row>
    <row r="148" spans="1:16" s="7" customFormat="1" ht="51">
      <c r="A148" s="15" t="s">
        <v>24</v>
      </c>
      <c r="B148" s="11" t="s">
        <v>138</v>
      </c>
      <c r="C148" s="43">
        <f t="shared" si="20"/>
        <v>1186300</v>
      </c>
      <c r="D148" s="43">
        <v>1186300</v>
      </c>
      <c r="E148" s="43">
        <v>823100</v>
      </c>
      <c r="F148" s="43">
        <v>31200</v>
      </c>
      <c r="G148" s="43"/>
      <c r="H148" s="43">
        <f t="shared" si="21"/>
        <v>0</v>
      </c>
      <c r="I148" s="43"/>
      <c r="J148" s="43"/>
      <c r="K148" s="43"/>
      <c r="L148" s="43"/>
      <c r="M148" s="43"/>
      <c r="N148" s="42">
        <f t="shared" si="17"/>
        <v>1186300</v>
      </c>
      <c r="O148" s="44"/>
      <c r="P148" s="44"/>
    </row>
    <row r="149" spans="1:16" s="7" customFormat="1" ht="25.5">
      <c r="A149" s="15" t="s">
        <v>25</v>
      </c>
      <c r="B149" s="6" t="s">
        <v>26</v>
      </c>
      <c r="C149" s="43">
        <f t="shared" si="20"/>
        <v>846400</v>
      </c>
      <c r="D149" s="43">
        <v>816400</v>
      </c>
      <c r="E149" s="43">
        <v>560700</v>
      </c>
      <c r="F149" s="43">
        <v>19120</v>
      </c>
      <c r="G149" s="43">
        <f>40000-10000</f>
        <v>30000</v>
      </c>
      <c r="H149" s="43">
        <f t="shared" si="21"/>
        <v>0</v>
      </c>
      <c r="I149" s="43"/>
      <c r="J149" s="43"/>
      <c r="K149" s="43"/>
      <c r="L149" s="43"/>
      <c r="M149" s="43"/>
      <c r="N149" s="42">
        <f t="shared" si="17"/>
        <v>846400</v>
      </c>
      <c r="O149" s="44"/>
      <c r="P149" s="44"/>
    </row>
    <row r="150" spans="1:16" s="7" customFormat="1" ht="25.5">
      <c r="A150" s="15" t="s">
        <v>27</v>
      </c>
      <c r="B150" s="11" t="s">
        <v>88</v>
      </c>
      <c r="C150" s="43">
        <f t="shared" si="20"/>
        <v>88900</v>
      </c>
      <c r="D150" s="43">
        <v>88900</v>
      </c>
      <c r="E150" s="43">
        <v>58600</v>
      </c>
      <c r="F150" s="43"/>
      <c r="G150" s="43"/>
      <c r="H150" s="43">
        <f t="shared" si="21"/>
        <v>0</v>
      </c>
      <c r="I150" s="43"/>
      <c r="J150" s="43"/>
      <c r="K150" s="43"/>
      <c r="L150" s="43"/>
      <c r="M150" s="43"/>
      <c r="N150" s="42">
        <f t="shared" si="17"/>
        <v>88900</v>
      </c>
      <c r="O150" s="44"/>
      <c r="P150" s="44"/>
    </row>
    <row r="151" spans="1:16" s="7" customFormat="1" ht="12.75">
      <c r="A151" s="15" t="s">
        <v>28</v>
      </c>
      <c r="B151" s="11" t="s">
        <v>139</v>
      </c>
      <c r="C151" s="43">
        <f t="shared" si="20"/>
        <v>15951400</v>
      </c>
      <c r="D151" s="43">
        <f>3659500+300000-250000-311000-90000+11942900</f>
        <v>15251400</v>
      </c>
      <c r="E151" s="43"/>
      <c r="F151" s="43"/>
      <c r="G151" s="43">
        <v>700000</v>
      </c>
      <c r="H151" s="43">
        <f t="shared" si="21"/>
        <v>0</v>
      </c>
      <c r="I151" s="43"/>
      <c r="J151" s="43"/>
      <c r="K151" s="43"/>
      <c r="L151" s="43"/>
      <c r="M151" s="43"/>
      <c r="N151" s="42">
        <f t="shared" si="17"/>
        <v>15951400</v>
      </c>
      <c r="O151" s="44"/>
      <c r="P151" s="44"/>
    </row>
    <row r="152" spans="1:16" s="7" customFormat="1" ht="38.25">
      <c r="A152" s="15" t="s">
        <v>29</v>
      </c>
      <c r="B152" s="11" t="s">
        <v>140</v>
      </c>
      <c r="C152" s="43">
        <f t="shared" si="20"/>
        <v>14200</v>
      </c>
      <c r="D152" s="43">
        <v>14200</v>
      </c>
      <c r="E152" s="43">
        <v>10400</v>
      </c>
      <c r="F152" s="43"/>
      <c r="G152" s="43"/>
      <c r="H152" s="43">
        <f t="shared" si="21"/>
        <v>0</v>
      </c>
      <c r="I152" s="43"/>
      <c r="J152" s="43"/>
      <c r="K152" s="43"/>
      <c r="L152" s="43"/>
      <c r="M152" s="43"/>
      <c r="N152" s="42">
        <f t="shared" si="17"/>
        <v>14200</v>
      </c>
      <c r="O152" s="44"/>
      <c r="P152" s="44"/>
    </row>
    <row r="153" spans="1:16" s="7" customFormat="1" ht="12.75">
      <c r="A153" s="15" t="s">
        <v>30</v>
      </c>
      <c r="B153" s="11" t="s">
        <v>31</v>
      </c>
      <c r="C153" s="43">
        <f t="shared" si="20"/>
        <v>256300</v>
      </c>
      <c r="D153" s="43">
        <v>246300</v>
      </c>
      <c r="E153" s="43">
        <v>118400</v>
      </c>
      <c r="F153" s="43"/>
      <c r="G153" s="43">
        <v>10000</v>
      </c>
      <c r="H153" s="43">
        <f t="shared" si="21"/>
        <v>0</v>
      </c>
      <c r="I153" s="43"/>
      <c r="J153" s="43"/>
      <c r="K153" s="43"/>
      <c r="L153" s="43"/>
      <c r="M153" s="43"/>
      <c r="N153" s="42">
        <f t="shared" si="17"/>
        <v>256300</v>
      </c>
      <c r="O153" s="44"/>
      <c r="P153" s="44"/>
    </row>
    <row r="154" spans="1:16" s="7" customFormat="1" ht="38.25">
      <c r="A154" s="15" t="s">
        <v>95</v>
      </c>
      <c r="B154" s="32" t="s">
        <v>223</v>
      </c>
      <c r="C154" s="43">
        <f t="shared" si="20"/>
        <v>669400</v>
      </c>
      <c r="D154" s="43">
        <f>386400+283000</f>
        <v>669400</v>
      </c>
      <c r="E154" s="43"/>
      <c r="F154" s="43"/>
      <c r="G154" s="43"/>
      <c r="H154" s="43">
        <f t="shared" si="21"/>
        <v>0</v>
      </c>
      <c r="I154" s="43"/>
      <c r="J154" s="43"/>
      <c r="K154" s="43"/>
      <c r="L154" s="43"/>
      <c r="M154" s="43"/>
      <c r="N154" s="42">
        <f t="shared" si="17"/>
        <v>669400</v>
      </c>
      <c r="O154" s="44"/>
      <c r="P154" s="44"/>
    </row>
    <row r="155" spans="1:16" s="7" customFormat="1" ht="12.75">
      <c r="A155" s="15" t="s">
        <v>102</v>
      </c>
      <c r="B155" s="10" t="s">
        <v>103</v>
      </c>
      <c r="C155" s="43"/>
      <c r="D155" s="43"/>
      <c r="E155" s="43"/>
      <c r="F155" s="43"/>
      <c r="G155" s="43"/>
      <c r="H155" s="43">
        <f t="shared" si="21"/>
        <v>1575000</v>
      </c>
      <c r="I155" s="43"/>
      <c r="J155" s="43"/>
      <c r="K155" s="43"/>
      <c r="L155" s="43">
        <v>1575000</v>
      </c>
      <c r="M155" s="43">
        <v>1575000</v>
      </c>
      <c r="N155" s="42">
        <f>C155+H155</f>
        <v>1575000</v>
      </c>
      <c r="O155" s="44"/>
      <c r="P155" s="44"/>
    </row>
    <row r="156" spans="1:16" s="7" customFormat="1" ht="25.5">
      <c r="A156" s="15" t="s">
        <v>52</v>
      </c>
      <c r="B156" s="33" t="s">
        <v>92</v>
      </c>
      <c r="C156" s="43"/>
      <c r="D156" s="43"/>
      <c r="E156" s="43"/>
      <c r="F156" s="43"/>
      <c r="G156" s="43"/>
      <c r="H156" s="43">
        <f t="shared" si="21"/>
        <v>2711340</v>
      </c>
      <c r="I156" s="43">
        <f>177000+980700+118500+I158+I159+290000+417000</f>
        <v>2161670</v>
      </c>
      <c r="J156" s="43"/>
      <c r="K156" s="43"/>
      <c r="L156" s="43">
        <f>31500+53000+L158+L159</f>
        <v>549670</v>
      </c>
      <c r="M156" s="43"/>
      <c r="N156" s="42">
        <f t="shared" si="17"/>
        <v>2711340</v>
      </c>
      <c r="O156" s="44"/>
      <c r="P156" s="44"/>
    </row>
    <row r="157" spans="1:16" s="7" customFormat="1" ht="12.75">
      <c r="A157" s="9"/>
      <c r="B157" s="32" t="s">
        <v>93</v>
      </c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2"/>
      <c r="O157" s="44"/>
      <c r="P157" s="44"/>
    </row>
    <row r="158" spans="1:16" s="7" customFormat="1" ht="89.25">
      <c r="A158" s="9" t="s">
        <v>52</v>
      </c>
      <c r="B158" s="32" t="s">
        <v>197</v>
      </c>
      <c r="C158" s="43"/>
      <c r="D158" s="43"/>
      <c r="E158" s="43"/>
      <c r="F158" s="43"/>
      <c r="G158" s="43"/>
      <c r="H158" s="43">
        <f t="shared" si="21"/>
        <v>341700</v>
      </c>
      <c r="I158" s="43">
        <f>45700+10000</f>
        <v>55700</v>
      </c>
      <c r="J158" s="43"/>
      <c r="K158" s="43"/>
      <c r="L158" s="43">
        <f>296000-10000</f>
        <v>286000</v>
      </c>
      <c r="M158" s="43"/>
      <c r="N158" s="42">
        <f t="shared" si="17"/>
        <v>341700</v>
      </c>
      <c r="O158" s="44"/>
      <c r="P158" s="44"/>
    </row>
    <row r="159" spans="1:16" s="7" customFormat="1" ht="25.5">
      <c r="A159" s="9"/>
      <c r="B159" s="32" t="s">
        <v>228</v>
      </c>
      <c r="C159" s="43"/>
      <c r="D159" s="43"/>
      <c r="E159" s="43"/>
      <c r="F159" s="43"/>
      <c r="G159" s="43"/>
      <c r="H159" s="43">
        <f t="shared" si="21"/>
        <v>301940</v>
      </c>
      <c r="I159" s="43">
        <f>97170+20000+8600-3000</f>
        <v>122770</v>
      </c>
      <c r="J159" s="43"/>
      <c r="K159" s="43"/>
      <c r="L159" s="43">
        <f>204770-20000-8600+3000</f>
        <v>179170</v>
      </c>
      <c r="M159" s="43"/>
      <c r="N159" s="42">
        <f t="shared" si="17"/>
        <v>301940</v>
      </c>
      <c r="O159" s="44"/>
      <c r="P159" s="44"/>
    </row>
    <row r="160" spans="1:16" s="38" customFormat="1" ht="38.25">
      <c r="A160" s="37" t="s">
        <v>123</v>
      </c>
      <c r="B160" s="39" t="s">
        <v>73</v>
      </c>
      <c r="C160" s="50">
        <f>C161+C162</f>
        <v>5650600</v>
      </c>
      <c r="D160" s="50">
        <f>D161+D162</f>
        <v>5167300</v>
      </c>
      <c r="E160" s="50">
        <f>E161+E162</f>
        <v>2309633</v>
      </c>
      <c r="F160" s="50">
        <f>F161+F162</f>
        <v>418475</v>
      </c>
      <c r="G160" s="50">
        <f>G161+G162</f>
        <v>483300</v>
      </c>
      <c r="H160" s="50">
        <f>H161+H162+H168</f>
        <v>180850</v>
      </c>
      <c r="I160" s="50">
        <f>I161+I162+I168</f>
        <v>178650</v>
      </c>
      <c r="J160" s="50">
        <f>J161+J162+J168</f>
        <v>38708</v>
      </c>
      <c r="K160" s="50">
        <f>K161+K162+K168</f>
        <v>10600</v>
      </c>
      <c r="L160" s="50">
        <f>L161+L162+L168</f>
        <v>2200</v>
      </c>
      <c r="M160" s="50">
        <f>M161+M162+M170</f>
        <v>0</v>
      </c>
      <c r="N160" s="49">
        <f t="shared" si="17"/>
        <v>5831450</v>
      </c>
      <c r="O160" s="51"/>
      <c r="P160" s="51"/>
    </row>
    <row r="161" spans="1:16" s="7" customFormat="1" ht="12.75">
      <c r="A161" s="15" t="s">
        <v>10</v>
      </c>
      <c r="B161" s="17" t="s">
        <v>11</v>
      </c>
      <c r="C161" s="43">
        <f aca="true" t="shared" si="22" ref="C161:C167">D161+G161</f>
        <v>380890</v>
      </c>
      <c r="D161" s="43">
        <f>241501+1100+17754+117235</f>
        <v>377590</v>
      </c>
      <c r="E161" s="43">
        <f>156126+13035+86076</f>
        <v>255237</v>
      </c>
      <c r="F161" s="43">
        <v>9652</v>
      </c>
      <c r="G161" s="43">
        <v>3300</v>
      </c>
      <c r="H161" s="43">
        <f aca="true" t="shared" si="23" ref="H161:H170">I161+L161</f>
        <v>0</v>
      </c>
      <c r="I161" s="43"/>
      <c r="J161" s="43"/>
      <c r="K161" s="43"/>
      <c r="L161" s="43"/>
      <c r="M161" s="43"/>
      <c r="N161" s="42">
        <f t="shared" si="17"/>
        <v>380890</v>
      </c>
      <c r="O161" s="44"/>
      <c r="P161" s="44"/>
    </row>
    <row r="162" spans="1:16" s="7" customFormat="1" ht="12.75">
      <c r="A162" s="15">
        <v>130000</v>
      </c>
      <c r="B162" s="11" t="s">
        <v>44</v>
      </c>
      <c r="C162" s="43">
        <f t="shared" si="22"/>
        <v>5269710</v>
      </c>
      <c r="D162" s="43">
        <f>D163+D164+D165+D166+D167</f>
        <v>4789710</v>
      </c>
      <c r="E162" s="43">
        <f>E163+E164+E165+E166+E167</f>
        <v>2054396</v>
      </c>
      <c r="F162" s="43">
        <f>F163+F164+F165+F166+F167</f>
        <v>408823</v>
      </c>
      <c r="G162" s="43">
        <f>G163+G164+G165+G166+G167</f>
        <v>480000</v>
      </c>
      <c r="H162" s="43">
        <f t="shared" si="23"/>
        <v>174850</v>
      </c>
      <c r="I162" s="43">
        <f>I163+I164+I165+I166+I167</f>
        <v>172650</v>
      </c>
      <c r="J162" s="43">
        <f>J163+J164+J165+J166+J167</f>
        <v>38708</v>
      </c>
      <c r="K162" s="43">
        <f>K163+K164+K165+K166+K167</f>
        <v>10600</v>
      </c>
      <c r="L162" s="43">
        <f>L163+L164+L165+L166+L167</f>
        <v>2200</v>
      </c>
      <c r="M162" s="43">
        <f>M163+M164+M165+M166+M167</f>
        <v>0</v>
      </c>
      <c r="N162" s="42">
        <f t="shared" si="17"/>
        <v>5444560</v>
      </c>
      <c r="O162" s="48"/>
      <c r="P162" s="44"/>
    </row>
    <row r="163" spans="1:16" s="7" customFormat="1" ht="25.5">
      <c r="A163" s="15">
        <v>130102</v>
      </c>
      <c r="B163" s="33" t="s">
        <v>45</v>
      </c>
      <c r="C163" s="43">
        <f t="shared" si="22"/>
        <v>250000</v>
      </c>
      <c r="D163" s="43">
        <f>200000+50000</f>
        <v>250000</v>
      </c>
      <c r="E163" s="43"/>
      <c r="F163" s="43"/>
      <c r="G163" s="43"/>
      <c r="H163" s="43">
        <f t="shared" si="23"/>
        <v>0</v>
      </c>
      <c r="I163" s="43"/>
      <c r="J163" s="43"/>
      <c r="K163" s="43"/>
      <c r="L163" s="43"/>
      <c r="M163" s="43"/>
      <c r="N163" s="42">
        <f t="shared" si="17"/>
        <v>250000</v>
      </c>
      <c r="O163" s="44"/>
      <c r="P163" s="44"/>
    </row>
    <row r="164" spans="1:16" s="7" customFormat="1" ht="38.25">
      <c r="A164" s="15">
        <v>130107</v>
      </c>
      <c r="B164" s="33" t="s">
        <v>46</v>
      </c>
      <c r="C164" s="43">
        <f t="shared" si="22"/>
        <v>2684365</v>
      </c>
      <c r="D164" s="43">
        <f>2559365-20000+65000</f>
        <v>2604365</v>
      </c>
      <c r="E164" s="43">
        <v>1590232</v>
      </c>
      <c r="F164" s="43">
        <v>213700</v>
      </c>
      <c r="G164" s="43">
        <f>20000+60000</f>
        <v>80000</v>
      </c>
      <c r="H164" s="43">
        <f t="shared" si="23"/>
        <v>120000</v>
      </c>
      <c r="I164" s="43">
        <v>120000</v>
      </c>
      <c r="J164" s="43">
        <v>27000</v>
      </c>
      <c r="K164" s="43"/>
      <c r="L164" s="43"/>
      <c r="M164" s="43"/>
      <c r="N164" s="42">
        <f t="shared" si="17"/>
        <v>2804365</v>
      </c>
      <c r="O164" s="44"/>
      <c r="P164" s="44"/>
    </row>
    <row r="165" spans="1:16" s="7" customFormat="1" ht="25.5">
      <c r="A165" s="15">
        <v>130110</v>
      </c>
      <c r="B165" s="33" t="s">
        <v>47</v>
      </c>
      <c r="C165" s="43">
        <f t="shared" si="22"/>
        <v>1937878</v>
      </c>
      <c r="D165" s="43">
        <f>937878+1000000-400000</f>
        <v>1537878</v>
      </c>
      <c r="E165" s="43">
        <v>337706</v>
      </c>
      <c r="F165" s="43">
        <v>180820</v>
      </c>
      <c r="G165" s="43">
        <f>400000</f>
        <v>400000</v>
      </c>
      <c r="H165" s="43">
        <f t="shared" si="23"/>
        <v>33000</v>
      </c>
      <c r="I165" s="43">
        <v>33000</v>
      </c>
      <c r="J165" s="43">
        <v>3000</v>
      </c>
      <c r="K165" s="43">
        <v>8500</v>
      </c>
      <c r="L165" s="43"/>
      <c r="M165" s="43"/>
      <c r="N165" s="42">
        <f t="shared" si="17"/>
        <v>1970878</v>
      </c>
      <c r="O165" s="44"/>
      <c r="P165" s="44"/>
    </row>
    <row r="166" spans="1:16" s="7" customFormat="1" ht="12.75">
      <c r="A166" s="15" t="s">
        <v>106</v>
      </c>
      <c r="B166" s="33" t="s">
        <v>54</v>
      </c>
      <c r="C166" s="43">
        <f t="shared" si="22"/>
        <v>323575</v>
      </c>
      <c r="D166" s="43">
        <f>125475+198100</f>
        <v>323575</v>
      </c>
      <c r="E166" s="43">
        <v>80713</v>
      </c>
      <c r="F166" s="43">
        <v>14303</v>
      </c>
      <c r="G166" s="43"/>
      <c r="H166" s="43">
        <f t="shared" si="23"/>
        <v>21850</v>
      </c>
      <c r="I166" s="43">
        <f>21850-2200</f>
        <v>19650</v>
      </c>
      <c r="J166" s="43">
        <v>8708</v>
      </c>
      <c r="K166" s="43">
        <v>2100</v>
      </c>
      <c r="L166" s="43">
        <v>2200</v>
      </c>
      <c r="M166" s="43"/>
      <c r="N166" s="42">
        <f t="shared" si="17"/>
        <v>345425</v>
      </c>
      <c r="O166" s="44"/>
      <c r="P166" s="44"/>
    </row>
    <row r="167" spans="1:16" s="7" customFormat="1" ht="12.75">
      <c r="A167" s="15">
        <v>130113</v>
      </c>
      <c r="B167" s="11" t="s">
        <v>31</v>
      </c>
      <c r="C167" s="43">
        <f t="shared" si="22"/>
        <v>73892</v>
      </c>
      <c r="D167" s="43">
        <v>73892</v>
      </c>
      <c r="E167" s="43">
        <v>45745</v>
      </c>
      <c r="F167" s="43"/>
      <c r="G167" s="43"/>
      <c r="H167" s="43">
        <f t="shared" si="23"/>
        <v>0</v>
      </c>
      <c r="I167" s="43"/>
      <c r="J167" s="43"/>
      <c r="K167" s="43"/>
      <c r="L167" s="43"/>
      <c r="M167" s="43"/>
      <c r="N167" s="42">
        <f t="shared" si="17"/>
        <v>73892</v>
      </c>
      <c r="O167" s="44"/>
      <c r="P167" s="44"/>
    </row>
    <row r="168" spans="1:16" s="7" customFormat="1" ht="38.25">
      <c r="A168" s="9" t="s">
        <v>52</v>
      </c>
      <c r="B168" s="33" t="s">
        <v>210</v>
      </c>
      <c r="C168" s="43"/>
      <c r="D168" s="43"/>
      <c r="E168" s="43"/>
      <c r="F168" s="43"/>
      <c r="G168" s="43"/>
      <c r="H168" s="43">
        <f t="shared" si="23"/>
        <v>6000</v>
      </c>
      <c r="I168" s="43">
        <v>6000</v>
      </c>
      <c r="J168" s="43"/>
      <c r="K168" s="43"/>
      <c r="L168" s="43"/>
      <c r="M168" s="43"/>
      <c r="N168" s="42">
        <f t="shared" si="17"/>
        <v>6000</v>
      </c>
      <c r="O168" s="44"/>
      <c r="P168" s="44"/>
    </row>
    <row r="169" spans="1:16" s="7" customFormat="1" ht="12.75">
      <c r="A169" s="9"/>
      <c r="B169" s="32" t="s">
        <v>93</v>
      </c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2"/>
      <c r="O169" s="44"/>
      <c r="P169" s="44"/>
    </row>
    <row r="170" spans="1:16" s="7" customFormat="1" ht="89.25">
      <c r="A170" s="9"/>
      <c r="B170" s="32" t="s">
        <v>197</v>
      </c>
      <c r="C170" s="43"/>
      <c r="D170" s="43"/>
      <c r="E170" s="43"/>
      <c r="F170" s="43"/>
      <c r="G170" s="43"/>
      <c r="H170" s="43">
        <f t="shared" si="23"/>
        <v>6000</v>
      </c>
      <c r="I170" s="43">
        <v>6000</v>
      </c>
      <c r="J170" s="43"/>
      <c r="K170" s="43"/>
      <c r="L170" s="43"/>
      <c r="M170" s="43"/>
      <c r="N170" s="42">
        <f t="shared" si="17"/>
        <v>6000</v>
      </c>
      <c r="O170" s="44"/>
      <c r="P170" s="44"/>
    </row>
    <row r="171" spans="1:16" s="38" customFormat="1" ht="25.5">
      <c r="A171" s="37" t="s">
        <v>124</v>
      </c>
      <c r="B171" s="39" t="s">
        <v>74</v>
      </c>
      <c r="C171" s="50">
        <f>C172+C173+C174+C175+C176+C177</f>
        <v>747636</v>
      </c>
      <c r="D171" s="50">
        <f>D172+D173+D174+D175+D176+D177</f>
        <v>717420</v>
      </c>
      <c r="E171" s="50">
        <f>E172+E173+E174+E175+E176</f>
        <v>306902.88</v>
      </c>
      <c r="F171" s="50">
        <f>F172+F173+F174+F175+F176</f>
        <v>0</v>
      </c>
      <c r="G171" s="50">
        <f>G172+G173+G174+G175+G176</f>
        <v>30216</v>
      </c>
      <c r="H171" s="50">
        <f aca="true" t="shared" si="24" ref="H171:M171">H172+H173+H174+H175+H176+H178</f>
        <v>5500</v>
      </c>
      <c r="I171" s="50">
        <f t="shared" si="24"/>
        <v>5500</v>
      </c>
      <c r="J171" s="50">
        <f t="shared" si="24"/>
        <v>0</v>
      </c>
      <c r="K171" s="50">
        <f t="shared" si="24"/>
        <v>0</v>
      </c>
      <c r="L171" s="50">
        <f t="shared" si="24"/>
        <v>0</v>
      </c>
      <c r="M171" s="50">
        <f t="shared" si="24"/>
        <v>0</v>
      </c>
      <c r="N171" s="49">
        <f t="shared" si="17"/>
        <v>753136</v>
      </c>
      <c r="O171" s="51"/>
      <c r="P171" s="51"/>
    </row>
    <row r="172" spans="1:16" s="7" customFormat="1" ht="12.75">
      <c r="A172" s="15" t="s">
        <v>10</v>
      </c>
      <c r="B172" s="17" t="s">
        <v>11</v>
      </c>
      <c r="C172" s="43">
        <f>D172+G172</f>
        <v>151136</v>
      </c>
      <c r="D172" s="43">
        <f>103645+7309+36882</f>
        <v>147836</v>
      </c>
      <c r="E172" s="43">
        <f>70120+5366+27079</f>
        <v>102565</v>
      </c>
      <c r="F172" s="43"/>
      <c r="G172" s="43">
        <v>3300</v>
      </c>
      <c r="H172" s="43">
        <f aca="true" t="shared" si="25" ref="H172:H180">I172+L172</f>
        <v>0</v>
      </c>
      <c r="I172" s="43"/>
      <c r="J172" s="43"/>
      <c r="K172" s="43"/>
      <c r="L172" s="43"/>
      <c r="M172" s="43"/>
      <c r="N172" s="42">
        <f t="shared" si="17"/>
        <v>151136</v>
      </c>
      <c r="O172" s="44"/>
      <c r="P172" s="44"/>
    </row>
    <row r="173" spans="1:16" s="7" customFormat="1" ht="25.5">
      <c r="A173" s="15" t="s">
        <v>130</v>
      </c>
      <c r="B173" s="33" t="s">
        <v>177</v>
      </c>
      <c r="C173" s="43">
        <f>D173+G173</f>
        <v>327800</v>
      </c>
      <c r="D173" s="43">
        <f>269800-20216+58000</f>
        <v>307584</v>
      </c>
      <c r="E173" s="43">
        <f>159900+42958</f>
        <v>202858</v>
      </c>
      <c r="F173" s="43"/>
      <c r="G173" s="43">
        <v>20216</v>
      </c>
      <c r="H173" s="43">
        <f t="shared" si="25"/>
        <v>0</v>
      </c>
      <c r="I173" s="43"/>
      <c r="J173" s="43"/>
      <c r="K173" s="43"/>
      <c r="L173" s="43"/>
      <c r="M173" s="43"/>
      <c r="N173" s="42">
        <f t="shared" si="17"/>
        <v>327800</v>
      </c>
      <c r="O173" s="44"/>
      <c r="P173" s="44"/>
    </row>
    <row r="174" spans="1:16" s="7" customFormat="1" ht="25.5">
      <c r="A174" s="15" t="s">
        <v>131</v>
      </c>
      <c r="B174" s="33" t="s">
        <v>194</v>
      </c>
      <c r="C174" s="43">
        <f>D174+G174</f>
        <v>63700</v>
      </c>
      <c r="D174" s="43">
        <f>26900+30100</f>
        <v>57000</v>
      </c>
      <c r="E174" s="64">
        <f>1479.88</f>
        <v>1479.88</v>
      </c>
      <c r="F174" s="43"/>
      <c r="G174" s="43">
        <v>6700</v>
      </c>
      <c r="H174" s="43">
        <f t="shared" si="25"/>
        <v>0</v>
      </c>
      <c r="I174" s="43"/>
      <c r="J174" s="43"/>
      <c r="K174" s="43"/>
      <c r="L174" s="43"/>
      <c r="M174" s="43"/>
      <c r="N174" s="42">
        <f t="shared" si="17"/>
        <v>63700</v>
      </c>
      <c r="O174" s="44"/>
      <c r="P174" s="44"/>
    </row>
    <row r="175" spans="1:16" s="7" customFormat="1" ht="38.25">
      <c r="A175" s="15" t="s">
        <v>33</v>
      </c>
      <c r="B175" s="33" t="s">
        <v>178</v>
      </c>
      <c r="C175" s="43">
        <f>D175+G175</f>
        <v>205000</v>
      </c>
      <c r="D175" s="43">
        <v>205000</v>
      </c>
      <c r="E175" s="43"/>
      <c r="F175" s="43"/>
      <c r="G175" s="43"/>
      <c r="H175" s="43">
        <f t="shared" si="25"/>
        <v>0</v>
      </c>
      <c r="I175" s="43"/>
      <c r="J175" s="43"/>
      <c r="K175" s="43"/>
      <c r="L175" s="43"/>
      <c r="M175" s="43"/>
      <c r="N175" s="42">
        <f t="shared" si="17"/>
        <v>205000</v>
      </c>
      <c r="O175" s="44"/>
      <c r="P175" s="44"/>
    </row>
    <row r="176" spans="1:16" s="7" customFormat="1" ht="38.25" hidden="1">
      <c r="A176" s="15" t="s">
        <v>132</v>
      </c>
      <c r="B176" s="11" t="s">
        <v>133</v>
      </c>
      <c r="C176" s="43"/>
      <c r="D176" s="43"/>
      <c r="E176" s="43"/>
      <c r="F176" s="43"/>
      <c r="G176" s="43"/>
      <c r="H176" s="43">
        <f t="shared" si="25"/>
        <v>0</v>
      </c>
      <c r="I176" s="43"/>
      <c r="J176" s="43"/>
      <c r="K176" s="43"/>
      <c r="L176" s="43"/>
      <c r="M176" s="43"/>
      <c r="N176" s="42">
        <f t="shared" si="17"/>
        <v>0</v>
      </c>
      <c r="O176" s="44"/>
      <c r="P176" s="44"/>
    </row>
    <row r="177" spans="1:16" s="7" customFormat="1" ht="63.75" hidden="1">
      <c r="A177" s="15" t="s">
        <v>171</v>
      </c>
      <c r="B177" s="11" t="s">
        <v>172</v>
      </c>
      <c r="C177" s="43">
        <f>D177+G177</f>
        <v>0</v>
      </c>
      <c r="D177" s="43">
        <f>21500-21500</f>
        <v>0</v>
      </c>
      <c r="E177" s="43"/>
      <c r="F177" s="43"/>
      <c r="G177" s="43"/>
      <c r="H177" s="43">
        <f t="shared" si="25"/>
        <v>0</v>
      </c>
      <c r="I177" s="43"/>
      <c r="J177" s="43"/>
      <c r="K177" s="43"/>
      <c r="L177" s="43"/>
      <c r="M177" s="43"/>
      <c r="N177" s="42">
        <f t="shared" si="17"/>
        <v>0</v>
      </c>
      <c r="O177" s="44"/>
      <c r="P177" s="44"/>
    </row>
    <row r="178" spans="1:16" s="7" customFormat="1" ht="25.5">
      <c r="A178" s="9" t="s">
        <v>52</v>
      </c>
      <c r="B178" s="33" t="s">
        <v>92</v>
      </c>
      <c r="C178" s="43"/>
      <c r="D178" s="43"/>
      <c r="E178" s="43"/>
      <c r="F178" s="43"/>
      <c r="G178" s="43"/>
      <c r="H178" s="43">
        <f t="shared" si="25"/>
        <v>5500</v>
      </c>
      <c r="I178" s="43">
        <v>5500</v>
      </c>
      <c r="J178" s="43">
        <f>J180</f>
        <v>0</v>
      </c>
      <c r="K178" s="43">
        <f>K180</f>
        <v>0</v>
      </c>
      <c r="L178" s="43">
        <f>L180</f>
        <v>0</v>
      </c>
      <c r="M178" s="43">
        <f>M180</f>
        <v>0</v>
      </c>
      <c r="N178" s="42">
        <f>C178+H178</f>
        <v>5500</v>
      </c>
      <c r="O178" s="44"/>
      <c r="P178" s="44"/>
    </row>
    <row r="179" spans="1:16" s="7" customFormat="1" ht="12.75">
      <c r="A179" s="9"/>
      <c r="B179" s="32" t="s">
        <v>93</v>
      </c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2"/>
      <c r="O179" s="44"/>
      <c r="P179" s="44"/>
    </row>
    <row r="180" spans="1:16" s="7" customFormat="1" ht="89.25">
      <c r="A180" s="9"/>
      <c r="B180" s="32" t="s">
        <v>197</v>
      </c>
      <c r="C180" s="43"/>
      <c r="D180" s="43"/>
      <c r="E180" s="43"/>
      <c r="F180" s="43"/>
      <c r="G180" s="43"/>
      <c r="H180" s="43">
        <f t="shared" si="25"/>
        <v>5500</v>
      </c>
      <c r="I180" s="43">
        <v>5500</v>
      </c>
      <c r="J180" s="43"/>
      <c r="K180" s="43"/>
      <c r="L180" s="43"/>
      <c r="M180" s="43"/>
      <c r="N180" s="42">
        <f>C180+H180</f>
        <v>5500</v>
      </c>
      <c r="O180" s="44"/>
      <c r="P180" s="44"/>
    </row>
    <row r="181" spans="1:16" s="38" customFormat="1" ht="25.5">
      <c r="A181" s="37" t="s">
        <v>99</v>
      </c>
      <c r="B181" s="39" t="s">
        <v>75</v>
      </c>
      <c r="C181" s="50">
        <f aca="true" t="shared" si="26" ref="C181:M181">C182</f>
        <v>452754</v>
      </c>
      <c r="D181" s="50">
        <f t="shared" si="26"/>
        <v>452754</v>
      </c>
      <c r="E181" s="50">
        <f t="shared" si="26"/>
        <v>296021</v>
      </c>
      <c r="F181" s="50">
        <f t="shared" si="26"/>
        <v>0</v>
      </c>
      <c r="G181" s="50">
        <f t="shared" si="26"/>
        <v>0</v>
      </c>
      <c r="H181" s="50">
        <f t="shared" si="26"/>
        <v>0</v>
      </c>
      <c r="I181" s="50">
        <f t="shared" si="26"/>
        <v>0</v>
      </c>
      <c r="J181" s="50">
        <f t="shared" si="26"/>
        <v>0</v>
      </c>
      <c r="K181" s="50">
        <f t="shared" si="26"/>
        <v>0</v>
      </c>
      <c r="L181" s="50">
        <f t="shared" si="26"/>
        <v>0</v>
      </c>
      <c r="M181" s="50">
        <f t="shared" si="26"/>
        <v>0</v>
      </c>
      <c r="N181" s="49">
        <f t="shared" si="17"/>
        <v>452754</v>
      </c>
      <c r="O181" s="51"/>
      <c r="P181" s="51"/>
    </row>
    <row r="182" spans="1:16" s="7" customFormat="1" ht="12.75">
      <c r="A182" s="15" t="s">
        <v>10</v>
      </c>
      <c r="B182" s="17" t="s">
        <v>11</v>
      </c>
      <c r="C182" s="43">
        <f>D182+G182</f>
        <v>452754</v>
      </c>
      <c r="D182" s="43">
        <f>311937+21211+119606</f>
        <v>452754</v>
      </c>
      <c r="E182" s="43">
        <f>192634+15573+87814</f>
        <v>296021</v>
      </c>
      <c r="F182" s="43"/>
      <c r="G182" s="43"/>
      <c r="H182" s="43">
        <f>I182+L182</f>
        <v>0</v>
      </c>
      <c r="I182" s="43"/>
      <c r="J182" s="43"/>
      <c r="K182" s="43"/>
      <c r="L182" s="43"/>
      <c r="M182" s="43"/>
      <c r="N182" s="42">
        <f t="shared" si="17"/>
        <v>452754</v>
      </c>
      <c r="O182" s="44"/>
      <c r="P182" s="44"/>
    </row>
    <row r="183" spans="1:16" s="38" customFormat="1" ht="25.5">
      <c r="A183" s="37" t="s">
        <v>100</v>
      </c>
      <c r="B183" s="39" t="s">
        <v>76</v>
      </c>
      <c r="C183" s="50">
        <f aca="true" t="shared" si="27" ref="C183:M183">C184</f>
        <v>487656</v>
      </c>
      <c r="D183" s="50">
        <f t="shared" si="27"/>
        <v>477856</v>
      </c>
      <c r="E183" s="50">
        <f t="shared" si="27"/>
        <v>306500</v>
      </c>
      <c r="F183" s="50">
        <f t="shared" si="27"/>
        <v>0</v>
      </c>
      <c r="G183" s="50">
        <f t="shared" si="27"/>
        <v>9800</v>
      </c>
      <c r="H183" s="50">
        <f t="shared" si="27"/>
        <v>0</v>
      </c>
      <c r="I183" s="50">
        <f t="shared" si="27"/>
        <v>0</v>
      </c>
      <c r="J183" s="50">
        <f t="shared" si="27"/>
        <v>0</v>
      </c>
      <c r="K183" s="50">
        <f t="shared" si="27"/>
        <v>0</v>
      </c>
      <c r="L183" s="50">
        <f t="shared" si="27"/>
        <v>0</v>
      </c>
      <c r="M183" s="50">
        <f t="shared" si="27"/>
        <v>0</v>
      </c>
      <c r="N183" s="49">
        <f t="shared" si="17"/>
        <v>487656</v>
      </c>
      <c r="O183" s="51"/>
      <c r="P183" s="51"/>
    </row>
    <row r="184" spans="1:16" s="7" customFormat="1" ht="12.75">
      <c r="A184" s="15" t="s">
        <v>10</v>
      </c>
      <c r="B184" s="17" t="s">
        <v>11</v>
      </c>
      <c r="C184" s="43">
        <f>D184+G184</f>
        <v>487656</v>
      </c>
      <c r="D184" s="43">
        <f>311182+15100+22303+129271</f>
        <v>477856</v>
      </c>
      <c r="E184" s="43">
        <f>195212+16375+94913</f>
        <v>306500</v>
      </c>
      <c r="F184" s="43"/>
      <c r="G184" s="43">
        <v>9800</v>
      </c>
      <c r="H184" s="43">
        <f>I184+L184</f>
        <v>0</v>
      </c>
      <c r="I184" s="43"/>
      <c r="J184" s="43"/>
      <c r="K184" s="43"/>
      <c r="L184" s="43"/>
      <c r="M184" s="43"/>
      <c r="N184" s="42">
        <f t="shared" si="17"/>
        <v>487656</v>
      </c>
      <c r="O184" s="44"/>
      <c r="P184" s="44"/>
    </row>
    <row r="185" spans="1:16" s="38" customFormat="1" ht="25.5">
      <c r="A185" s="37" t="s">
        <v>125</v>
      </c>
      <c r="B185" s="39" t="s">
        <v>77</v>
      </c>
      <c r="C185" s="50">
        <f aca="true" t="shared" si="28" ref="C185:M185">C186</f>
        <v>954029</v>
      </c>
      <c r="D185" s="50">
        <f t="shared" si="28"/>
        <v>950529</v>
      </c>
      <c r="E185" s="50">
        <f t="shared" si="28"/>
        <v>338878</v>
      </c>
      <c r="F185" s="50">
        <f t="shared" si="28"/>
        <v>16337</v>
      </c>
      <c r="G185" s="50">
        <f t="shared" si="28"/>
        <v>3500</v>
      </c>
      <c r="H185" s="50">
        <f t="shared" si="28"/>
        <v>0</v>
      </c>
      <c r="I185" s="50">
        <f t="shared" si="28"/>
        <v>0</v>
      </c>
      <c r="J185" s="50">
        <f t="shared" si="28"/>
        <v>0</v>
      </c>
      <c r="K185" s="50">
        <f t="shared" si="28"/>
        <v>0</v>
      </c>
      <c r="L185" s="50">
        <f t="shared" si="28"/>
        <v>0</v>
      </c>
      <c r="M185" s="50">
        <f t="shared" si="28"/>
        <v>0</v>
      </c>
      <c r="N185" s="49">
        <f t="shared" si="17"/>
        <v>954029</v>
      </c>
      <c r="O185" s="51"/>
      <c r="P185" s="51"/>
    </row>
    <row r="186" spans="1:16" s="7" customFormat="1" ht="12.75">
      <c r="A186" s="15" t="s">
        <v>10</v>
      </c>
      <c r="B186" s="17" t="s">
        <v>11</v>
      </c>
      <c r="C186" s="43">
        <f>D186+G186</f>
        <v>954029</v>
      </c>
      <c r="D186" s="43">
        <f>735654+50000+23440+141435</f>
        <v>950529</v>
      </c>
      <c r="E186" s="43">
        <f>217824+17210+103844</f>
        <v>338878</v>
      </c>
      <c r="F186" s="43">
        <v>16337</v>
      </c>
      <c r="G186" s="43">
        <v>3500</v>
      </c>
      <c r="H186" s="43">
        <f>I186+L186</f>
        <v>0</v>
      </c>
      <c r="I186" s="43"/>
      <c r="J186" s="43"/>
      <c r="K186" s="43"/>
      <c r="L186" s="43"/>
      <c r="M186" s="43"/>
      <c r="N186" s="42">
        <f t="shared" si="17"/>
        <v>954029</v>
      </c>
      <c r="O186" s="44"/>
      <c r="P186" s="44"/>
    </row>
    <row r="187" spans="1:16" s="38" customFormat="1" ht="38.25">
      <c r="A187" s="37" t="s">
        <v>126</v>
      </c>
      <c r="B187" s="39" t="s">
        <v>78</v>
      </c>
      <c r="C187" s="50">
        <f aca="true" t="shared" si="29" ref="C187:M187">C188+C189</f>
        <v>3694929</v>
      </c>
      <c r="D187" s="50">
        <f t="shared" si="29"/>
        <v>3322079</v>
      </c>
      <c r="E187" s="50">
        <f t="shared" si="29"/>
        <v>2216229</v>
      </c>
      <c r="F187" s="50">
        <f t="shared" si="29"/>
        <v>22527</v>
      </c>
      <c r="G187" s="50">
        <f t="shared" si="29"/>
        <v>372850</v>
      </c>
      <c r="H187" s="50">
        <f t="shared" si="29"/>
        <v>72480</v>
      </c>
      <c r="I187" s="50">
        <f t="shared" si="29"/>
        <v>62587</v>
      </c>
      <c r="J187" s="50">
        <f t="shared" si="29"/>
        <v>9485</v>
      </c>
      <c r="K187" s="50">
        <f t="shared" si="29"/>
        <v>0</v>
      </c>
      <c r="L187" s="50">
        <f t="shared" si="29"/>
        <v>9893</v>
      </c>
      <c r="M187" s="50">
        <f t="shared" si="29"/>
        <v>0</v>
      </c>
      <c r="N187" s="49">
        <f t="shared" si="17"/>
        <v>3767409</v>
      </c>
      <c r="O187" s="51"/>
      <c r="P187" s="51"/>
    </row>
    <row r="188" spans="1:16" s="7" customFormat="1" ht="12.75">
      <c r="A188" s="15" t="s">
        <v>10</v>
      </c>
      <c r="B188" s="17" t="s">
        <v>11</v>
      </c>
      <c r="C188" s="43">
        <f>D188+G188</f>
        <v>697929</v>
      </c>
      <c r="D188" s="43">
        <f>443139+33643+217847</f>
        <v>694629</v>
      </c>
      <c r="E188" s="43">
        <f>295166+24701+159947</f>
        <v>479814</v>
      </c>
      <c r="F188" s="43">
        <v>5500</v>
      </c>
      <c r="G188" s="43">
        <v>3300</v>
      </c>
      <c r="H188" s="43">
        <f>I188+L188</f>
        <v>0</v>
      </c>
      <c r="I188" s="43"/>
      <c r="J188" s="43"/>
      <c r="K188" s="43"/>
      <c r="L188" s="43"/>
      <c r="M188" s="43"/>
      <c r="N188" s="42">
        <f t="shared" si="17"/>
        <v>697929</v>
      </c>
      <c r="O188" s="44"/>
      <c r="P188" s="44"/>
    </row>
    <row r="189" spans="1:16" s="7" customFormat="1" ht="38.25">
      <c r="A189" s="15">
        <v>210000</v>
      </c>
      <c r="B189" s="33" t="s">
        <v>147</v>
      </c>
      <c r="C189" s="43">
        <f>D189+G189</f>
        <v>2997000</v>
      </c>
      <c r="D189" s="43">
        <f>SUM(D190:D192)</f>
        <v>2627450</v>
      </c>
      <c r="E189" s="43">
        <f>SUM(E190:E192)</f>
        <v>1736415</v>
      </c>
      <c r="F189" s="43">
        <f>SUM(F190:F192)</f>
        <v>17027</v>
      </c>
      <c r="G189" s="43">
        <f>SUM(G190:G192)</f>
        <v>369550</v>
      </c>
      <c r="H189" s="43">
        <f>I189+L189</f>
        <v>72480</v>
      </c>
      <c r="I189" s="43">
        <f>SUM(I190:I192)</f>
        <v>62587</v>
      </c>
      <c r="J189" s="43">
        <f>SUM(J190:J192)</f>
        <v>9485</v>
      </c>
      <c r="K189" s="43">
        <f>SUM(K190:K192)</f>
        <v>0</v>
      </c>
      <c r="L189" s="43">
        <f>SUM(L190:L192)</f>
        <v>9893</v>
      </c>
      <c r="M189" s="43">
        <f>SUM(M190:M192)</f>
        <v>0</v>
      </c>
      <c r="N189" s="42">
        <f t="shared" si="17"/>
        <v>3069480</v>
      </c>
      <c r="O189" s="44"/>
      <c r="P189" s="44"/>
    </row>
    <row r="190" spans="1:16" s="7" customFormat="1" ht="38.25">
      <c r="A190" s="15" t="s">
        <v>50</v>
      </c>
      <c r="B190" s="33" t="s">
        <v>148</v>
      </c>
      <c r="C190" s="43">
        <f>D190+G190</f>
        <v>500000</v>
      </c>
      <c r="D190" s="43">
        <v>130450</v>
      </c>
      <c r="E190" s="43"/>
      <c r="F190" s="43"/>
      <c r="G190" s="43">
        <v>369550</v>
      </c>
      <c r="H190" s="43">
        <f>I190+L190</f>
        <v>0</v>
      </c>
      <c r="I190" s="43"/>
      <c r="J190" s="43"/>
      <c r="K190" s="43"/>
      <c r="L190" s="43"/>
      <c r="M190" s="43"/>
      <c r="N190" s="42">
        <f t="shared" si="17"/>
        <v>500000</v>
      </c>
      <c r="O190" s="44"/>
      <c r="P190" s="44"/>
    </row>
    <row r="191" spans="1:16" s="7" customFormat="1" ht="38.25">
      <c r="A191" s="15" t="s">
        <v>50</v>
      </c>
      <c r="B191" s="33" t="s">
        <v>114</v>
      </c>
      <c r="C191" s="43">
        <f>D191+G191</f>
        <v>1174000</v>
      </c>
      <c r="D191" s="43">
        <v>1174000</v>
      </c>
      <c r="E191" s="43">
        <v>798484</v>
      </c>
      <c r="F191" s="43">
        <v>2220</v>
      </c>
      <c r="G191" s="43"/>
      <c r="H191" s="43">
        <f>I191+L191</f>
        <v>54000</v>
      </c>
      <c r="I191" s="43">
        <v>54000</v>
      </c>
      <c r="J191" s="43">
        <v>9485</v>
      </c>
      <c r="K191" s="43"/>
      <c r="L191" s="43"/>
      <c r="M191" s="43"/>
      <c r="N191" s="42">
        <f t="shared" si="17"/>
        <v>1228000</v>
      </c>
      <c r="O191" s="44"/>
      <c r="P191" s="44"/>
    </row>
    <row r="192" spans="1:16" s="7" customFormat="1" ht="25.5">
      <c r="A192" s="15">
        <v>210110</v>
      </c>
      <c r="B192" s="33" t="s">
        <v>51</v>
      </c>
      <c r="C192" s="43">
        <f>D192+G192</f>
        <v>1323000</v>
      </c>
      <c r="D192" s="43">
        <v>1323000</v>
      </c>
      <c r="E192" s="43">
        <v>937931</v>
      </c>
      <c r="F192" s="43">
        <v>14807</v>
      </c>
      <c r="G192" s="43"/>
      <c r="H192" s="43">
        <f>I192+L192</f>
        <v>18480</v>
      </c>
      <c r="I192" s="43">
        <v>8587</v>
      </c>
      <c r="J192" s="43"/>
      <c r="K192" s="43"/>
      <c r="L192" s="43">
        <v>9893</v>
      </c>
      <c r="M192" s="43"/>
      <c r="N192" s="42">
        <f t="shared" si="17"/>
        <v>1341480</v>
      </c>
      <c r="O192" s="44"/>
      <c r="P192" s="44"/>
    </row>
    <row r="193" spans="1:16" s="38" customFormat="1" ht="25.5">
      <c r="A193" s="37" t="s">
        <v>127</v>
      </c>
      <c r="B193" s="41" t="s">
        <v>81</v>
      </c>
      <c r="C193" s="50">
        <f>C194+C196</f>
        <v>442979</v>
      </c>
      <c r="D193" s="50">
        <f>D194+D196</f>
        <v>439679</v>
      </c>
      <c r="E193" s="50">
        <f>E194+E196</f>
        <v>279356</v>
      </c>
      <c r="F193" s="50">
        <f>F194+F196</f>
        <v>5652</v>
      </c>
      <c r="G193" s="50">
        <f>G194+G196</f>
        <v>3300</v>
      </c>
      <c r="H193" s="50">
        <f>H194+H196+H195+H197</f>
        <v>23855900</v>
      </c>
      <c r="I193" s="50">
        <f>I194+I196+I195+I197</f>
        <v>5003000</v>
      </c>
      <c r="J193" s="50">
        <f>J194+J196+J195+J197</f>
        <v>0</v>
      </c>
      <c r="K193" s="50">
        <f>K194+K196+K195+K197</f>
        <v>0</v>
      </c>
      <c r="L193" s="50">
        <f>L194+L196+L195+L197</f>
        <v>18852900</v>
      </c>
      <c r="M193" s="50">
        <f>M194+M196+M195</f>
        <v>15375900</v>
      </c>
      <c r="N193" s="49">
        <f t="shared" si="17"/>
        <v>24298879</v>
      </c>
      <c r="O193" s="51"/>
      <c r="P193" s="51"/>
    </row>
    <row r="194" spans="1:16" s="7" customFormat="1" ht="12.75">
      <c r="A194" s="15" t="s">
        <v>10</v>
      </c>
      <c r="B194" s="17" t="s">
        <v>11</v>
      </c>
      <c r="C194" s="43">
        <f>D194+G194</f>
        <v>442979</v>
      </c>
      <c r="D194" s="43">
        <f>308648+4613+19805+106613</f>
        <v>439679</v>
      </c>
      <c r="E194" s="43">
        <f>186538+14541+78277</f>
        <v>279356</v>
      </c>
      <c r="F194" s="43">
        <v>5652</v>
      </c>
      <c r="G194" s="43">
        <v>3300</v>
      </c>
      <c r="H194" s="43">
        <f>I194+L194</f>
        <v>0</v>
      </c>
      <c r="I194" s="43"/>
      <c r="J194" s="43"/>
      <c r="K194" s="43"/>
      <c r="L194" s="43"/>
      <c r="M194" s="43"/>
      <c r="N194" s="42">
        <f t="shared" si="17"/>
        <v>442979</v>
      </c>
      <c r="O194" s="44"/>
      <c r="P194" s="44"/>
    </row>
    <row r="195" spans="1:16" s="7" customFormat="1" ht="12.75" hidden="1">
      <c r="A195" s="15" t="s">
        <v>102</v>
      </c>
      <c r="B195" s="10" t="s">
        <v>103</v>
      </c>
      <c r="C195" s="43"/>
      <c r="D195" s="43"/>
      <c r="E195" s="43"/>
      <c r="F195" s="43"/>
      <c r="G195" s="43"/>
      <c r="H195" s="43">
        <f>I195+L195</f>
        <v>0</v>
      </c>
      <c r="I195" s="43"/>
      <c r="J195" s="43"/>
      <c r="K195" s="43"/>
      <c r="L195" s="43"/>
      <c r="M195" s="43"/>
      <c r="N195" s="42">
        <f>C195+H195</f>
        <v>0</v>
      </c>
      <c r="O195" s="44"/>
      <c r="P195" s="44"/>
    </row>
    <row r="196" spans="1:16" s="7" customFormat="1" ht="38.25">
      <c r="A196" s="15" t="s">
        <v>160</v>
      </c>
      <c r="B196" s="11" t="s">
        <v>161</v>
      </c>
      <c r="C196" s="43">
        <f>D196+G196</f>
        <v>0</v>
      </c>
      <c r="D196" s="43"/>
      <c r="E196" s="43"/>
      <c r="F196" s="43"/>
      <c r="G196" s="43"/>
      <c r="H196" s="43">
        <f>I196+L196</f>
        <v>15375900</v>
      </c>
      <c r="I196" s="43"/>
      <c r="J196" s="43"/>
      <c r="K196" s="43"/>
      <c r="L196" s="43">
        <f>14000000+6500000+3250000-9500000+1125900</f>
        <v>15375900</v>
      </c>
      <c r="M196" s="43">
        <f>14000000+6500000+3250000-9500000+1125900</f>
        <v>15375900</v>
      </c>
      <c r="N196" s="42">
        <f aca="true" t="shared" si="30" ref="N196:N226">C196+H196</f>
        <v>15375900</v>
      </c>
      <c r="O196" s="44"/>
      <c r="P196" s="44"/>
    </row>
    <row r="197" spans="1:16" s="7" customFormat="1" ht="25.5">
      <c r="A197" s="15" t="s">
        <v>52</v>
      </c>
      <c r="B197" s="11" t="s">
        <v>92</v>
      </c>
      <c r="C197" s="43"/>
      <c r="D197" s="43"/>
      <c r="E197" s="43"/>
      <c r="F197" s="43"/>
      <c r="G197" s="43"/>
      <c r="H197" s="43">
        <f>I197+L197</f>
        <v>8480000</v>
      </c>
      <c r="I197" s="43">
        <f>3000000+350000+1653000</f>
        <v>5003000</v>
      </c>
      <c r="J197" s="43"/>
      <c r="K197" s="43"/>
      <c r="L197" s="43">
        <f>9100000+1400000-1000000-1000000-3370000-1653000</f>
        <v>3477000</v>
      </c>
      <c r="M197" s="43"/>
      <c r="N197" s="42">
        <f t="shared" si="30"/>
        <v>8480000</v>
      </c>
      <c r="O197" s="44"/>
      <c r="P197" s="44"/>
    </row>
    <row r="198" spans="1:16" s="38" customFormat="1" ht="12.75">
      <c r="A198" s="37" t="s">
        <v>128</v>
      </c>
      <c r="B198" s="39" t="s">
        <v>79</v>
      </c>
      <c r="C198" s="50">
        <f>C199+C200+C201+C202+C203+C205+C204+C206</f>
        <v>406180179</v>
      </c>
      <c r="D198" s="50">
        <f>D199+D200+D201+D202+D203+D205+D204+D206</f>
        <v>402916179</v>
      </c>
      <c r="E198" s="50">
        <f>E199+E200+E201+E202+E203+E205+E204+E206</f>
        <v>572284</v>
      </c>
      <c r="F198" s="50">
        <f>F199+F200+F201+F202+F203+F205+F204+F206</f>
        <v>10492</v>
      </c>
      <c r="G198" s="50">
        <f>G199+G200+G201+G202+G203+G205+G204+G206</f>
        <v>3264000</v>
      </c>
      <c r="H198" s="60">
        <f aca="true" t="shared" si="31" ref="H198:M198">H199+H200+H201+H202+H203+H205</f>
        <v>29922.74</v>
      </c>
      <c r="I198" s="60">
        <f t="shared" si="31"/>
        <v>29922.74</v>
      </c>
      <c r="J198" s="50">
        <f t="shared" si="31"/>
        <v>0</v>
      </c>
      <c r="K198" s="50">
        <f t="shared" si="31"/>
        <v>0</v>
      </c>
      <c r="L198" s="50">
        <f t="shared" si="31"/>
        <v>0</v>
      </c>
      <c r="M198" s="50">
        <f t="shared" si="31"/>
        <v>0</v>
      </c>
      <c r="N198" s="61">
        <f t="shared" si="30"/>
        <v>406210101.74</v>
      </c>
      <c r="O198" s="51"/>
      <c r="P198" s="51"/>
    </row>
    <row r="199" spans="1:16" s="7" customFormat="1" ht="12.75">
      <c r="A199" s="15" t="s">
        <v>10</v>
      </c>
      <c r="B199" s="17" t="s">
        <v>11</v>
      </c>
      <c r="C199" s="43">
        <f aca="true" t="shared" si="32" ref="C199:C206">D199+G199</f>
        <v>931332</v>
      </c>
      <c r="D199" s="43">
        <f>594715+585+41747+277285+3000</f>
        <v>917332</v>
      </c>
      <c r="E199" s="43">
        <f>338044+30653+203587</f>
        <v>572284</v>
      </c>
      <c r="F199" s="43">
        <v>10492</v>
      </c>
      <c r="G199" s="43">
        <f>13000+1000</f>
        <v>14000</v>
      </c>
      <c r="H199" s="43">
        <f aca="true" t="shared" si="33" ref="H199:H205">I199+L199</f>
        <v>0</v>
      </c>
      <c r="I199" s="43"/>
      <c r="J199" s="43"/>
      <c r="K199" s="43"/>
      <c r="L199" s="43"/>
      <c r="M199" s="43"/>
      <c r="N199" s="42">
        <f t="shared" si="30"/>
        <v>931332</v>
      </c>
      <c r="O199" s="44"/>
      <c r="P199" s="44"/>
    </row>
    <row r="200" spans="1:14" s="5" customFormat="1" ht="89.25">
      <c r="A200" s="36" t="s">
        <v>206</v>
      </c>
      <c r="B200" s="26" t="s">
        <v>207</v>
      </c>
      <c r="C200" s="46">
        <f t="shared" si="32"/>
        <v>0</v>
      </c>
      <c r="D200" s="46"/>
      <c r="E200" s="46"/>
      <c r="F200" s="46"/>
      <c r="G200" s="46"/>
      <c r="H200" s="58">
        <f t="shared" si="33"/>
        <v>29922.74</v>
      </c>
      <c r="I200" s="58">
        <v>29922.74</v>
      </c>
      <c r="J200" s="46"/>
      <c r="K200" s="46"/>
      <c r="L200" s="46"/>
      <c r="M200" s="46"/>
      <c r="N200" s="59">
        <f t="shared" si="30"/>
        <v>29922.74</v>
      </c>
    </row>
    <row r="201" spans="1:16" s="7" customFormat="1" ht="25.5">
      <c r="A201" s="15" t="s">
        <v>55</v>
      </c>
      <c r="B201" s="11" t="s">
        <v>56</v>
      </c>
      <c r="C201" s="43">
        <f t="shared" si="32"/>
        <v>81725000</v>
      </c>
      <c r="D201" s="43">
        <v>81725000</v>
      </c>
      <c r="E201" s="43"/>
      <c r="F201" s="43"/>
      <c r="G201" s="43"/>
      <c r="H201" s="43">
        <f t="shared" si="33"/>
        <v>0</v>
      </c>
      <c r="I201" s="43"/>
      <c r="J201" s="43"/>
      <c r="K201" s="43"/>
      <c r="L201" s="43"/>
      <c r="M201" s="43"/>
      <c r="N201" s="42">
        <f t="shared" si="30"/>
        <v>81725000</v>
      </c>
      <c r="O201" s="44"/>
      <c r="P201" s="44"/>
    </row>
    <row r="202" spans="1:16" s="7" customFormat="1" ht="25.5">
      <c r="A202" s="15" t="s">
        <v>104</v>
      </c>
      <c r="B202" s="33" t="s">
        <v>150</v>
      </c>
      <c r="C202" s="43">
        <f t="shared" si="32"/>
        <v>43300</v>
      </c>
      <c r="D202" s="43">
        <f>40000+3300</f>
        <v>43300</v>
      </c>
      <c r="E202" s="43"/>
      <c r="F202" s="43"/>
      <c r="G202" s="43"/>
      <c r="H202" s="43">
        <f t="shared" si="33"/>
        <v>0</v>
      </c>
      <c r="I202" s="43"/>
      <c r="J202" s="43"/>
      <c r="K202" s="43"/>
      <c r="L202" s="43"/>
      <c r="M202" s="43"/>
      <c r="N202" s="42">
        <f t="shared" si="30"/>
        <v>43300</v>
      </c>
      <c r="O202" s="44"/>
      <c r="P202" s="44"/>
    </row>
    <row r="203" spans="1:16" s="7" customFormat="1" ht="12.75">
      <c r="A203" s="15" t="s">
        <v>115</v>
      </c>
      <c r="B203" s="57" t="s">
        <v>151</v>
      </c>
      <c r="C203" s="43">
        <f t="shared" si="32"/>
        <v>320214210</v>
      </c>
      <c r="D203" s="43">
        <f>310225088-50000+1334356+8462966+300000+10000-113200+45000</f>
        <v>320214210</v>
      </c>
      <c r="E203" s="43"/>
      <c r="F203" s="43"/>
      <c r="G203" s="43"/>
      <c r="H203" s="43">
        <f t="shared" si="33"/>
        <v>0</v>
      </c>
      <c r="I203" s="43"/>
      <c r="J203" s="43"/>
      <c r="K203" s="43"/>
      <c r="L203" s="43"/>
      <c r="M203" s="43"/>
      <c r="N203" s="42">
        <f t="shared" si="30"/>
        <v>320214210</v>
      </c>
      <c r="O203" s="44"/>
      <c r="P203" s="44"/>
    </row>
    <row r="204" spans="1:16" s="7" customFormat="1" ht="12.75" hidden="1">
      <c r="A204" s="15" t="s">
        <v>53</v>
      </c>
      <c r="B204" s="57" t="s">
        <v>80</v>
      </c>
      <c r="C204" s="43">
        <f t="shared" si="32"/>
        <v>0</v>
      </c>
      <c r="D204" s="43"/>
      <c r="E204" s="43"/>
      <c r="F204" s="43"/>
      <c r="G204" s="43">
        <f>3000000-100000-2900000</f>
        <v>0</v>
      </c>
      <c r="H204" s="43"/>
      <c r="I204" s="43"/>
      <c r="J204" s="43"/>
      <c r="K204" s="43"/>
      <c r="L204" s="43"/>
      <c r="M204" s="43"/>
      <c r="N204" s="42">
        <f t="shared" si="30"/>
        <v>0</v>
      </c>
      <c r="O204" s="44"/>
      <c r="P204" s="44"/>
    </row>
    <row r="205" spans="1:16" s="7" customFormat="1" ht="38.25">
      <c r="A205" s="15" t="s">
        <v>105</v>
      </c>
      <c r="B205" s="33" t="s">
        <v>86</v>
      </c>
      <c r="C205" s="43">
        <f t="shared" si="32"/>
        <v>3250000</v>
      </c>
      <c r="D205" s="43"/>
      <c r="E205" s="43"/>
      <c r="F205" s="43"/>
      <c r="G205" s="43">
        <v>3250000</v>
      </c>
      <c r="H205" s="43">
        <f t="shared" si="33"/>
        <v>0</v>
      </c>
      <c r="I205" s="43"/>
      <c r="J205" s="43"/>
      <c r="K205" s="43"/>
      <c r="L205" s="43"/>
      <c r="M205" s="43"/>
      <c r="N205" s="42">
        <f t="shared" si="30"/>
        <v>3250000</v>
      </c>
      <c r="O205" s="44"/>
      <c r="P205" s="44"/>
    </row>
    <row r="206" spans="1:16" s="7" customFormat="1" ht="76.5">
      <c r="A206" s="15" t="s">
        <v>225</v>
      </c>
      <c r="B206" s="33" t="s">
        <v>226</v>
      </c>
      <c r="C206" s="43">
        <f t="shared" si="32"/>
        <v>16337</v>
      </c>
      <c r="D206" s="43">
        <v>16337</v>
      </c>
      <c r="E206" s="43"/>
      <c r="F206" s="43"/>
      <c r="G206" s="43"/>
      <c r="H206" s="43"/>
      <c r="I206" s="43"/>
      <c r="J206" s="43"/>
      <c r="K206" s="43"/>
      <c r="L206" s="43"/>
      <c r="M206" s="43"/>
      <c r="N206" s="42">
        <f t="shared" si="30"/>
        <v>16337</v>
      </c>
      <c r="O206" s="44"/>
      <c r="P206" s="44"/>
    </row>
    <row r="207" spans="1:16" s="38" customFormat="1" ht="25.5">
      <c r="A207" s="37" t="s">
        <v>129</v>
      </c>
      <c r="B207" s="39" t="s">
        <v>107</v>
      </c>
      <c r="C207" s="50">
        <f>C208+C210+C213+C214+C215+C216+C218+C209+C211+C217+C219+C223</f>
        <v>21596734</v>
      </c>
      <c r="D207" s="50">
        <f>D208+D210+D213+D214+D215+D216+D218+D209+D211+D217+D219+D223</f>
        <v>16583734</v>
      </c>
      <c r="E207" s="50">
        <f>E208+E210+E213+E214+E215+E216+E218+E209+E211+E217+E219+E223</f>
        <v>515360</v>
      </c>
      <c r="F207" s="50">
        <f>F208+F210+F213+F214+F215+F216+F218+F209+F211+F217+F219+F223</f>
        <v>0</v>
      </c>
      <c r="G207" s="50">
        <f>G208+G210+G213+G214+G215+G216+G218+G209+G211+G217+G219+G223</f>
        <v>5013000</v>
      </c>
      <c r="H207" s="50">
        <f aca="true" t="shared" si="34" ref="H207:M207">H208+H210+H213+H214+H215+H216+H220+H212</f>
        <v>272422448</v>
      </c>
      <c r="I207" s="50">
        <f t="shared" si="34"/>
        <v>931667</v>
      </c>
      <c r="J207" s="50">
        <f t="shared" si="34"/>
        <v>0</v>
      </c>
      <c r="K207" s="50">
        <f t="shared" si="34"/>
        <v>0</v>
      </c>
      <c r="L207" s="50">
        <f t="shared" si="34"/>
        <v>271490781</v>
      </c>
      <c r="M207" s="50">
        <f t="shared" si="34"/>
        <v>252326448</v>
      </c>
      <c r="N207" s="49">
        <f t="shared" si="30"/>
        <v>294019182</v>
      </c>
      <c r="O207" s="51"/>
      <c r="P207" s="51"/>
    </row>
    <row r="208" spans="1:16" s="7" customFormat="1" ht="12.75">
      <c r="A208" s="15" t="s">
        <v>10</v>
      </c>
      <c r="B208" s="17" t="s">
        <v>11</v>
      </c>
      <c r="C208" s="43">
        <f aca="true" t="shared" si="35" ref="C208:C219">D208+G208</f>
        <v>749802</v>
      </c>
      <c r="D208" s="43">
        <f>490159+37747+208896</f>
        <v>736802</v>
      </c>
      <c r="E208" s="43">
        <f>334271+27714+153375</f>
        <v>515360</v>
      </c>
      <c r="F208" s="43"/>
      <c r="G208" s="43">
        <v>13000</v>
      </c>
      <c r="H208" s="43">
        <f aca="true" t="shared" si="36" ref="H208:H222">I208+L208</f>
        <v>0</v>
      </c>
      <c r="I208" s="43"/>
      <c r="J208" s="43"/>
      <c r="K208" s="43"/>
      <c r="L208" s="43"/>
      <c r="M208" s="43"/>
      <c r="N208" s="42">
        <f t="shared" si="30"/>
        <v>749802</v>
      </c>
      <c r="O208" s="44"/>
      <c r="P208" s="44"/>
    </row>
    <row r="209" spans="1:16" s="7" customFormat="1" ht="38.25" hidden="1">
      <c r="A209" s="15" t="s">
        <v>189</v>
      </c>
      <c r="B209" s="17" t="s">
        <v>200</v>
      </c>
      <c r="C209" s="43">
        <f t="shared" si="35"/>
        <v>0</v>
      </c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2">
        <f t="shared" si="30"/>
        <v>0</v>
      </c>
      <c r="O209" s="44"/>
      <c r="P209" s="44"/>
    </row>
    <row r="210" spans="1:16" s="7" customFormat="1" ht="12.75">
      <c r="A210" s="15" t="s">
        <v>102</v>
      </c>
      <c r="B210" s="11" t="s">
        <v>103</v>
      </c>
      <c r="C210" s="43">
        <f t="shared" si="35"/>
        <v>0</v>
      </c>
      <c r="D210" s="43"/>
      <c r="E210" s="43"/>
      <c r="F210" s="43"/>
      <c r="G210" s="43"/>
      <c r="H210" s="43">
        <f t="shared" si="36"/>
        <v>251796448</v>
      </c>
      <c r="I210" s="43"/>
      <c r="J210" s="43"/>
      <c r="K210" s="43"/>
      <c r="L210" s="43">
        <f>M210</f>
        <v>251796448</v>
      </c>
      <c r="M210" s="43">
        <f>251696448+100000</f>
        <v>251796448</v>
      </c>
      <c r="N210" s="42">
        <f t="shared" si="30"/>
        <v>251796448</v>
      </c>
      <c r="O210" s="44"/>
      <c r="P210" s="44"/>
    </row>
    <row r="211" spans="1:16" s="7" customFormat="1" ht="204" hidden="1">
      <c r="A211" s="15" t="s">
        <v>198</v>
      </c>
      <c r="B211" s="10" t="s">
        <v>199</v>
      </c>
      <c r="C211" s="43">
        <f t="shared" si="35"/>
        <v>0</v>
      </c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2">
        <f t="shared" si="30"/>
        <v>0</v>
      </c>
      <c r="O211" s="44"/>
      <c r="P211" s="44"/>
    </row>
    <row r="212" spans="1:16" s="7" customFormat="1" ht="38.25" hidden="1">
      <c r="A212" s="15" t="s">
        <v>201</v>
      </c>
      <c r="B212" s="10" t="s">
        <v>202</v>
      </c>
      <c r="C212" s="43"/>
      <c r="D212" s="43"/>
      <c r="E212" s="43"/>
      <c r="F212" s="43"/>
      <c r="G212" s="43"/>
      <c r="H212" s="43">
        <f t="shared" si="36"/>
        <v>0</v>
      </c>
      <c r="I212" s="43"/>
      <c r="J212" s="43"/>
      <c r="K212" s="43"/>
      <c r="L212" s="43"/>
      <c r="M212" s="43"/>
      <c r="N212" s="42">
        <f t="shared" si="30"/>
        <v>0</v>
      </c>
      <c r="O212" s="44"/>
      <c r="P212" s="44"/>
    </row>
    <row r="213" spans="1:16" s="7" customFormat="1" ht="63.75" hidden="1">
      <c r="A213" s="15" t="s">
        <v>152</v>
      </c>
      <c r="B213" s="4" t="s">
        <v>153</v>
      </c>
      <c r="C213" s="43">
        <f t="shared" si="35"/>
        <v>0</v>
      </c>
      <c r="D213" s="43"/>
      <c r="E213" s="43"/>
      <c r="F213" s="43"/>
      <c r="G213" s="43"/>
      <c r="H213" s="43">
        <f t="shared" si="36"/>
        <v>0</v>
      </c>
      <c r="I213" s="43"/>
      <c r="J213" s="43"/>
      <c r="K213" s="43"/>
      <c r="L213" s="43"/>
      <c r="M213" s="43"/>
      <c r="N213" s="42">
        <f t="shared" si="30"/>
        <v>0</v>
      </c>
      <c r="O213" s="44"/>
      <c r="P213" s="44"/>
    </row>
    <row r="214" spans="1:16" s="7" customFormat="1" ht="12.75">
      <c r="A214" s="15" t="s">
        <v>164</v>
      </c>
      <c r="B214" s="4" t="s">
        <v>165</v>
      </c>
      <c r="C214" s="43">
        <f t="shared" si="35"/>
        <v>0</v>
      </c>
      <c r="D214" s="43"/>
      <c r="E214" s="43"/>
      <c r="F214" s="43"/>
      <c r="G214" s="43"/>
      <c r="H214" s="43">
        <f t="shared" si="36"/>
        <v>530000</v>
      </c>
      <c r="I214" s="43"/>
      <c r="J214" s="43"/>
      <c r="K214" s="43"/>
      <c r="L214" s="43">
        <f>500000+30000</f>
        <v>530000</v>
      </c>
      <c r="M214" s="43">
        <f>500000+30000</f>
        <v>530000</v>
      </c>
      <c r="N214" s="42">
        <f t="shared" si="30"/>
        <v>530000</v>
      </c>
      <c r="O214" s="44"/>
      <c r="P214" s="44"/>
    </row>
    <row r="215" spans="1:16" s="7" customFormat="1" ht="25.5" hidden="1">
      <c r="A215" s="15" t="s">
        <v>48</v>
      </c>
      <c r="B215" s="11" t="s">
        <v>49</v>
      </c>
      <c r="C215" s="43">
        <f t="shared" si="35"/>
        <v>0</v>
      </c>
      <c r="D215" s="43"/>
      <c r="E215" s="43"/>
      <c r="F215" s="43"/>
      <c r="G215" s="43"/>
      <c r="H215" s="43">
        <f t="shared" si="36"/>
        <v>0</v>
      </c>
      <c r="I215" s="43"/>
      <c r="J215" s="43"/>
      <c r="K215" s="43"/>
      <c r="L215" s="43"/>
      <c r="M215" s="43"/>
      <c r="N215" s="42">
        <f t="shared" si="30"/>
        <v>0</v>
      </c>
      <c r="O215" s="44"/>
      <c r="P215" s="44"/>
    </row>
    <row r="216" spans="1:16" s="7" customFormat="1" ht="38.25" hidden="1">
      <c r="A216" s="15" t="s">
        <v>160</v>
      </c>
      <c r="B216" s="11" t="s">
        <v>161</v>
      </c>
      <c r="C216" s="43">
        <f t="shared" si="35"/>
        <v>0</v>
      </c>
      <c r="D216" s="43"/>
      <c r="E216" s="43"/>
      <c r="F216" s="43"/>
      <c r="G216" s="43"/>
      <c r="H216" s="43">
        <f t="shared" si="36"/>
        <v>0</v>
      </c>
      <c r="I216" s="43"/>
      <c r="J216" s="43"/>
      <c r="K216" s="43"/>
      <c r="L216" s="43"/>
      <c r="M216" s="43"/>
      <c r="N216" s="42">
        <f t="shared" si="30"/>
        <v>0</v>
      </c>
      <c r="O216" s="44"/>
      <c r="P216" s="44"/>
    </row>
    <row r="217" spans="1:16" s="7" customFormat="1" ht="51" hidden="1">
      <c r="A217" s="15" t="s">
        <v>195</v>
      </c>
      <c r="B217" s="11" t="s">
        <v>227</v>
      </c>
      <c r="C217" s="43">
        <f t="shared" si="35"/>
        <v>0</v>
      </c>
      <c r="D217" s="43"/>
      <c r="E217" s="43"/>
      <c r="F217" s="43"/>
      <c r="G217" s="43"/>
      <c r="H217" s="43">
        <f t="shared" si="36"/>
        <v>0</v>
      </c>
      <c r="I217" s="43"/>
      <c r="J217" s="43"/>
      <c r="K217" s="43"/>
      <c r="L217" s="43"/>
      <c r="M217" s="43"/>
      <c r="N217" s="42">
        <f t="shared" si="30"/>
        <v>0</v>
      </c>
      <c r="O217" s="44"/>
      <c r="P217" s="44"/>
    </row>
    <row r="218" spans="1:16" s="7" customFormat="1" ht="12.75">
      <c r="A218" s="15" t="s">
        <v>111</v>
      </c>
      <c r="B218" s="33" t="s">
        <v>96</v>
      </c>
      <c r="C218" s="43">
        <f t="shared" si="35"/>
        <v>15846932</v>
      </c>
      <c r="D218" s="43">
        <f>15846932</f>
        <v>15846932</v>
      </c>
      <c r="E218" s="43"/>
      <c r="F218" s="43"/>
      <c r="G218" s="43"/>
      <c r="H218" s="43">
        <f t="shared" si="36"/>
        <v>0</v>
      </c>
      <c r="I218" s="43"/>
      <c r="J218" s="43"/>
      <c r="K218" s="43"/>
      <c r="L218" s="43"/>
      <c r="M218" s="43"/>
      <c r="N218" s="42">
        <f>C218+H218</f>
        <v>15846932</v>
      </c>
      <c r="O218" s="44"/>
      <c r="P218" s="44"/>
    </row>
    <row r="219" spans="1:16" s="7" customFormat="1" ht="51" hidden="1">
      <c r="A219" s="9"/>
      <c r="B219" s="33" t="s">
        <v>219</v>
      </c>
      <c r="C219" s="43">
        <f t="shared" si="35"/>
        <v>0</v>
      </c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2">
        <f>C219+H219</f>
        <v>0</v>
      </c>
      <c r="O219" s="44"/>
      <c r="P219" s="44"/>
    </row>
    <row r="220" spans="1:16" s="7" customFormat="1" ht="38.25">
      <c r="A220" s="9" t="s">
        <v>52</v>
      </c>
      <c r="B220" s="33" t="s">
        <v>210</v>
      </c>
      <c r="C220" s="43"/>
      <c r="D220" s="43"/>
      <c r="E220" s="43"/>
      <c r="F220" s="43"/>
      <c r="G220" s="43"/>
      <c r="H220" s="43">
        <f t="shared" si="36"/>
        <v>20096000</v>
      </c>
      <c r="I220" s="43">
        <f>841441+90226</f>
        <v>931667</v>
      </c>
      <c r="J220" s="43"/>
      <c r="K220" s="43"/>
      <c r="L220" s="43">
        <f>22164333-1000000-2000000</f>
        <v>19164333</v>
      </c>
      <c r="M220" s="43">
        <f>M222</f>
        <v>0</v>
      </c>
      <c r="N220" s="42">
        <f>C220+H220</f>
        <v>20096000</v>
      </c>
      <c r="O220" s="44"/>
      <c r="P220" s="44"/>
    </row>
    <row r="221" spans="1:16" s="7" customFormat="1" ht="12.75">
      <c r="A221" s="9"/>
      <c r="B221" s="32" t="s">
        <v>93</v>
      </c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2"/>
      <c r="O221" s="44"/>
      <c r="P221" s="44"/>
    </row>
    <row r="222" spans="1:16" s="7" customFormat="1" ht="90" customHeight="1">
      <c r="A222" s="9"/>
      <c r="B222" s="32" t="s">
        <v>197</v>
      </c>
      <c r="C222" s="43"/>
      <c r="D222" s="43"/>
      <c r="E222" s="43"/>
      <c r="F222" s="43"/>
      <c r="G222" s="43"/>
      <c r="H222" s="43">
        <f t="shared" si="36"/>
        <v>46000</v>
      </c>
      <c r="I222" s="43"/>
      <c r="J222" s="43"/>
      <c r="K222" s="43"/>
      <c r="L222" s="43">
        <v>46000</v>
      </c>
      <c r="M222" s="43"/>
      <c r="N222" s="42">
        <f>C222+H222</f>
        <v>46000</v>
      </c>
      <c r="O222" s="44"/>
      <c r="P222" s="44"/>
    </row>
    <row r="223" spans="1:16" s="7" customFormat="1" ht="51">
      <c r="A223" s="15" t="s">
        <v>195</v>
      </c>
      <c r="B223" s="11" t="s">
        <v>227</v>
      </c>
      <c r="C223" s="43">
        <f>D223+G223</f>
        <v>5000000</v>
      </c>
      <c r="D223" s="43"/>
      <c r="E223" s="43"/>
      <c r="F223" s="43"/>
      <c r="G223" s="43">
        <v>5000000</v>
      </c>
      <c r="H223" s="43">
        <f>I223+L223</f>
        <v>0</v>
      </c>
      <c r="I223" s="43"/>
      <c r="J223" s="43"/>
      <c r="K223" s="43"/>
      <c r="L223" s="43"/>
      <c r="M223" s="43"/>
      <c r="N223" s="42">
        <f>C223+H223</f>
        <v>5000000</v>
      </c>
      <c r="O223" s="44"/>
      <c r="P223" s="44"/>
    </row>
    <row r="224" spans="1:16" s="38" customFormat="1" ht="25.5">
      <c r="A224" s="37" t="s">
        <v>116</v>
      </c>
      <c r="B224" s="39" t="s">
        <v>0</v>
      </c>
      <c r="C224" s="50">
        <f>C225</f>
        <v>370274</v>
      </c>
      <c r="D224" s="50">
        <f>D225</f>
        <v>288574</v>
      </c>
      <c r="E224" s="50">
        <f>E225</f>
        <v>114163.5</v>
      </c>
      <c r="F224" s="50">
        <f>F225</f>
        <v>12950</v>
      </c>
      <c r="G224" s="50">
        <f>G225</f>
        <v>81700</v>
      </c>
      <c r="H224" s="50"/>
      <c r="I224" s="50"/>
      <c r="J224" s="50"/>
      <c r="K224" s="50"/>
      <c r="L224" s="50"/>
      <c r="M224" s="50"/>
      <c r="N224" s="49">
        <f>C224+H224</f>
        <v>370274</v>
      </c>
      <c r="O224" s="51"/>
      <c r="P224" s="51"/>
    </row>
    <row r="225" spans="1:16" s="7" customFormat="1" ht="12.75">
      <c r="A225" s="9" t="s">
        <v>10</v>
      </c>
      <c r="B225" s="17" t="s">
        <v>11</v>
      </c>
      <c r="C225" s="43">
        <f>D225+G225</f>
        <v>370274</v>
      </c>
      <c r="D225" s="43">
        <f>212641+69331-7200+8186+5616</f>
        <v>288574</v>
      </c>
      <c r="E225" s="43">
        <f>104030+6010+4123.5</f>
        <v>114163.5</v>
      </c>
      <c r="F225" s="43">
        <v>12950</v>
      </c>
      <c r="G225" s="43">
        <f>74500+7200</f>
        <v>81700</v>
      </c>
      <c r="H225" s="43"/>
      <c r="I225" s="43"/>
      <c r="J225" s="43"/>
      <c r="K225" s="43"/>
      <c r="L225" s="43"/>
      <c r="M225" s="43"/>
      <c r="N225" s="42">
        <f>C225+H225</f>
        <v>370274</v>
      </c>
      <c r="O225" s="44"/>
      <c r="P225" s="44"/>
    </row>
    <row r="226" spans="1:16" s="7" customFormat="1" ht="15">
      <c r="A226" s="15"/>
      <c r="B226" s="34" t="s">
        <v>87</v>
      </c>
      <c r="C226" s="43">
        <f aca="true" t="shared" si="37" ref="C226:M226">C9+C29+C34+C54+C75+C79+C84+C105+C129+C143+C160+C171+C181+C183+C185+C187+C193+C198+C207+C224</f>
        <v>661835578</v>
      </c>
      <c r="D226" s="43">
        <f t="shared" si="37"/>
        <v>635509212</v>
      </c>
      <c r="E226" s="43">
        <f t="shared" si="37"/>
        <v>83821135.38</v>
      </c>
      <c r="F226" s="43">
        <f t="shared" si="37"/>
        <v>14676103</v>
      </c>
      <c r="G226" s="43">
        <f t="shared" si="37"/>
        <v>26326366</v>
      </c>
      <c r="H226" s="64">
        <f t="shared" si="37"/>
        <v>397868774.74</v>
      </c>
      <c r="I226" s="64">
        <f t="shared" si="37"/>
        <v>55188316.36</v>
      </c>
      <c r="J226" s="43">
        <f t="shared" si="37"/>
        <v>1205356</v>
      </c>
      <c r="K226" s="43">
        <f t="shared" si="37"/>
        <v>6561884</v>
      </c>
      <c r="L226" s="43">
        <f t="shared" si="37"/>
        <v>342680458.38</v>
      </c>
      <c r="M226" s="43">
        <f t="shared" si="37"/>
        <v>303725704</v>
      </c>
      <c r="N226" s="65">
        <f t="shared" si="30"/>
        <v>1059704352.74</v>
      </c>
      <c r="O226" s="44"/>
      <c r="P226" s="44"/>
    </row>
    <row r="227" spans="1:14" s="7" customFormat="1" ht="15">
      <c r="A227" s="29"/>
      <c r="B227" s="30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20"/>
    </row>
    <row r="228" spans="1:13" s="7" customFormat="1" ht="12.75">
      <c r="A228" s="21"/>
      <c r="B228" s="22"/>
      <c r="C228" s="23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="7" customFormat="1" ht="12.75">
      <c r="A229" s="24"/>
    </row>
    <row r="230" spans="1:10" s="14" customFormat="1" ht="15" customHeight="1">
      <c r="A230" s="14" t="s">
        <v>98</v>
      </c>
      <c r="B230" s="66"/>
      <c r="C230" s="66"/>
      <c r="D230" s="66"/>
      <c r="E230" s="66"/>
      <c r="J230" s="14" t="s">
        <v>237</v>
      </c>
    </row>
    <row r="231" s="7" customFormat="1" ht="12.75">
      <c r="A231" s="24"/>
    </row>
    <row r="232" spans="1:14" s="7" customFormat="1" ht="12.75">
      <c r="A232" s="24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="7" customFormat="1" ht="12.75">
      <c r="A233" s="24"/>
    </row>
    <row r="234" spans="1:8" s="7" customFormat="1" ht="12.75">
      <c r="A234" s="24"/>
      <c r="C234" s="19">
        <f>C232-C233</f>
        <v>0</v>
      </c>
      <c r="H234" s="19"/>
    </row>
    <row r="235" spans="1:8" s="7" customFormat="1" ht="12.75">
      <c r="A235" s="24"/>
      <c r="H235" s="19"/>
    </row>
    <row r="236" spans="1:3" s="7" customFormat="1" ht="12.75">
      <c r="A236" s="24"/>
      <c r="C236" s="19"/>
    </row>
    <row r="237" s="7" customFormat="1" ht="12.75">
      <c r="A237" s="24"/>
    </row>
    <row r="238" s="7" customFormat="1" ht="12.75">
      <c r="A238" s="24"/>
    </row>
    <row r="239" s="7" customFormat="1" ht="12.75">
      <c r="A239" s="24"/>
    </row>
    <row r="240" s="7" customFormat="1" ht="12.75">
      <c r="A240" s="24"/>
    </row>
    <row r="241" s="7" customFormat="1" ht="12.75">
      <c r="A241" s="24"/>
    </row>
    <row r="242" s="7" customFormat="1" ht="12.75">
      <c r="A242" s="24"/>
    </row>
    <row r="243" s="7" customFormat="1" ht="12.75">
      <c r="A243" s="24"/>
    </row>
    <row r="244" s="7" customFormat="1" ht="12.75">
      <c r="A244" s="24"/>
    </row>
    <row r="245" s="7" customFormat="1" ht="12.75">
      <c r="A245" s="24"/>
    </row>
    <row r="246" s="7" customFormat="1" ht="12.75">
      <c r="A246" s="24"/>
    </row>
    <row r="247" s="7" customFormat="1" ht="12.75">
      <c r="A247" s="24"/>
    </row>
    <row r="248" s="7" customFormat="1" ht="12.75">
      <c r="A248" s="24"/>
    </row>
    <row r="249" s="7" customFormat="1" ht="12.75">
      <c r="A249" s="24"/>
    </row>
    <row r="250" s="7" customFormat="1" ht="12.75">
      <c r="A250" s="24"/>
    </row>
    <row r="251" s="7" customFormat="1" ht="12.75">
      <c r="A251" s="24"/>
    </row>
    <row r="252" s="7" customFormat="1" ht="12.75">
      <c r="A252" s="24"/>
    </row>
    <row r="253" s="7" customFormat="1" ht="12.75">
      <c r="A253" s="24"/>
    </row>
    <row r="254" s="7" customFormat="1" ht="12.75">
      <c r="A254" s="24"/>
    </row>
    <row r="255" s="7" customFormat="1" ht="12.75">
      <c r="A255" s="24"/>
    </row>
    <row r="256" s="7" customFormat="1" ht="12.75">
      <c r="A256" s="24"/>
    </row>
    <row r="257" s="7" customFormat="1" ht="12.75">
      <c r="A257" s="24"/>
    </row>
    <row r="258" s="7" customFormat="1" ht="12.75">
      <c r="A258" s="24"/>
    </row>
    <row r="259" s="7" customFormat="1" ht="12.75">
      <c r="A259" s="24"/>
    </row>
    <row r="260" s="7" customFormat="1" ht="12.75">
      <c r="A260" s="24"/>
    </row>
    <row r="261" s="7" customFormat="1" ht="12.75">
      <c r="A261" s="24"/>
    </row>
    <row r="262" s="7" customFormat="1" ht="12.75">
      <c r="A262" s="24"/>
    </row>
    <row r="263" s="7" customFormat="1" ht="12.75">
      <c r="A263" s="24"/>
    </row>
    <row r="264" s="7" customFormat="1" ht="12.75">
      <c r="A264" s="24"/>
    </row>
    <row r="265" s="7" customFormat="1" ht="12.75">
      <c r="A265" s="24"/>
    </row>
    <row r="266" s="7" customFormat="1" ht="12.75">
      <c r="A266" s="24"/>
    </row>
    <row r="267" s="7" customFormat="1" ht="12.75">
      <c r="A267" s="24"/>
    </row>
    <row r="268" s="7" customFormat="1" ht="12.75">
      <c r="A268" s="24"/>
    </row>
    <row r="269" s="7" customFormat="1" ht="12.75">
      <c r="A269" s="24"/>
    </row>
    <row r="270" s="7" customFormat="1" ht="12.75">
      <c r="A270" s="24"/>
    </row>
    <row r="271" s="7" customFormat="1" ht="12.75">
      <c r="A271" s="24"/>
    </row>
    <row r="272" s="7" customFormat="1" ht="12.75">
      <c r="A272" s="24"/>
    </row>
    <row r="273" s="7" customFormat="1" ht="12.75">
      <c r="A273" s="24"/>
    </row>
    <row r="274" s="7" customFormat="1" ht="12.75">
      <c r="A274" s="24"/>
    </row>
    <row r="275" s="7" customFormat="1" ht="12.75">
      <c r="A275" s="24"/>
    </row>
    <row r="276" s="7" customFormat="1" ht="12.75">
      <c r="A276" s="24"/>
    </row>
    <row r="277" s="7" customFormat="1" ht="12.75">
      <c r="A277" s="24"/>
    </row>
    <row r="278" s="7" customFormat="1" ht="12.75">
      <c r="A278" s="24"/>
    </row>
    <row r="279" s="7" customFormat="1" ht="12.75">
      <c r="A279" s="24"/>
    </row>
    <row r="280" s="7" customFormat="1" ht="12.75">
      <c r="A280" s="24"/>
    </row>
    <row r="281" s="7" customFormat="1" ht="12.75">
      <c r="A281" s="24"/>
    </row>
    <row r="282" s="7" customFormat="1" ht="12.75">
      <c r="A282" s="24"/>
    </row>
    <row r="283" s="7" customFormat="1" ht="12.75">
      <c r="A283" s="24"/>
    </row>
    <row r="284" s="7" customFormat="1" ht="12.75">
      <c r="A284" s="24"/>
    </row>
    <row r="285" s="7" customFormat="1" ht="12.75">
      <c r="A285" s="24"/>
    </row>
    <row r="286" s="7" customFormat="1" ht="12.75">
      <c r="A286" s="24"/>
    </row>
    <row r="287" s="7" customFormat="1" ht="12.75">
      <c r="A287" s="24"/>
    </row>
    <row r="288" s="7" customFormat="1" ht="12.75">
      <c r="A288" s="24"/>
    </row>
    <row r="289" s="7" customFormat="1" ht="12.75">
      <c r="A289" s="24"/>
    </row>
    <row r="290" s="7" customFormat="1" ht="12.75">
      <c r="A290" s="24"/>
    </row>
    <row r="291" s="7" customFormat="1" ht="12.75">
      <c r="A291" s="24"/>
    </row>
    <row r="292" s="7" customFormat="1" ht="12.75">
      <c r="A292" s="24"/>
    </row>
    <row r="293" s="7" customFormat="1" ht="12.75">
      <c r="A293" s="24"/>
    </row>
    <row r="294" s="7" customFormat="1" ht="12.75">
      <c r="A294" s="24"/>
    </row>
    <row r="295" s="7" customFormat="1" ht="12.75">
      <c r="A295" s="24"/>
    </row>
    <row r="296" s="7" customFormat="1" ht="12.75">
      <c r="A296" s="24"/>
    </row>
    <row r="297" s="7" customFormat="1" ht="12.75">
      <c r="A297" s="24"/>
    </row>
    <row r="298" s="7" customFormat="1" ht="12.75">
      <c r="A298" s="24"/>
    </row>
    <row r="299" s="7" customFormat="1" ht="12.75">
      <c r="A299" s="24"/>
    </row>
    <row r="300" s="7" customFormat="1" ht="12.75">
      <c r="A300" s="24"/>
    </row>
    <row r="301" s="7" customFormat="1" ht="12.75">
      <c r="A301" s="24"/>
    </row>
    <row r="302" s="7" customFormat="1" ht="12.75">
      <c r="A302" s="24"/>
    </row>
    <row r="303" s="7" customFormat="1" ht="12.75">
      <c r="A303" s="24"/>
    </row>
    <row r="304" s="7" customFormat="1" ht="12.75">
      <c r="A304" s="24"/>
    </row>
    <row r="305" s="7" customFormat="1" ht="12.75">
      <c r="A305" s="24"/>
    </row>
    <row r="306" s="7" customFormat="1" ht="12.75">
      <c r="A306" s="24"/>
    </row>
    <row r="307" s="7" customFormat="1" ht="12.75">
      <c r="A307" s="24"/>
    </row>
    <row r="308" s="7" customFormat="1" ht="12.75">
      <c r="A308" s="24"/>
    </row>
    <row r="309" s="7" customFormat="1" ht="12.75">
      <c r="A309" s="24"/>
    </row>
    <row r="310" s="7" customFormat="1" ht="12.75">
      <c r="A310" s="24"/>
    </row>
    <row r="311" s="7" customFormat="1" ht="12.75">
      <c r="A311" s="24"/>
    </row>
    <row r="312" s="7" customFormat="1" ht="12.75">
      <c r="A312" s="24"/>
    </row>
    <row r="313" s="7" customFormat="1" ht="12.75">
      <c r="A313" s="24"/>
    </row>
    <row r="314" s="7" customFormat="1" ht="12.75">
      <c r="A314" s="24"/>
    </row>
    <row r="315" s="7" customFormat="1" ht="12.75">
      <c r="A315" s="24"/>
    </row>
    <row r="316" s="7" customFormat="1" ht="12.75">
      <c r="A316" s="24"/>
    </row>
    <row r="317" s="7" customFormat="1" ht="12.75">
      <c r="A317" s="24"/>
    </row>
    <row r="318" s="7" customFormat="1" ht="12.75">
      <c r="A318" s="24"/>
    </row>
    <row r="319" s="7" customFormat="1" ht="12.75">
      <c r="A319" s="24"/>
    </row>
    <row r="320" s="7" customFormat="1" ht="12.75">
      <c r="A320" s="24"/>
    </row>
    <row r="321" s="7" customFormat="1" ht="12.75">
      <c r="A321" s="24"/>
    </row>
    <row r="322" s="7" customFormat="1" ht="12.75">
      <c r="A322" s="24"/>
    </row>
    <row r="323" s="7" customFormat="1" ht="12.75">
      <c r="A323" s="24"/>
    </row>
    <row r="324" s="7" customFormat="1" ht="12.75">
      <c r="A324" s="24"/>
    </row>
    <row r="325" s="7" customFormat="1" ht="12.75">
      <c r="A325" s="24"/>
    </row>
    <row r="326" s="7" customFormat="1" ht="12.75">
      <c r="A326" s="24"/>
    </row>
    <row r="327" s="7" customFormat="1" ht="12.75">
      <c r="A327" s="24"/>
    </row>
    <row r="328" s="7" customFormat="1" ht="12.75">
      <c r="A328" s="24"/>
    </row>
    <row r="329" s="7" customFormat="1" ht="12.75">
      <c r="A329" s="24"/>
    </row>
    <row r="330" s="7" customFormat="1" ht="12.75">
      <c r="A330" s="24"/>
    </row>
    <row r="331" s="7" customFormat="1" ht="12.75">
      <c r="A331" s="24"/>
    </row>
    <row r="332" s="7" customFormat="1" ht="12.75">
      <c r="A332" s="24"/>
    </row>
    <row r="333" s="7" customFormat="1" ht="12.75">
      <c r="A333" s="24"/>
    </row>
    <row r="334" s="7" customFormat="1" ht="12.75">
      <c r="A334" s="24"/>
    </row>
    <row r="335" s="7" customFormat="1" ht="12.75">
      <c r="A335" s="24"/>
    </row>
    <row r="336" s="7" customFormat="1" ht="12.75">
      <c r="A336" s="24"/>
    </row>
    <row r="337" s="7" customFormat="1" ht="12.75">
      <c r="A337" s="24"/>
    </row>
    <row r="338" s="7" customFormat="1" ht="12.75">
      <c r="A338" s="24"/>
    </row>
    <row r="339" s="7" customFormat="1" ht="12.75">
      <c r="A339" s="24"/>
    </row>
    <row r="340" s="7" customFormat="1" ht="12.75">
      <c r="A340" s="24"/>
    </row>
    <row r="341" s="7" customFormat="1" ht="12.75">
      <c r="A341" s="24"/>
    </row>
    <row r="342" s="7" customFormat="1" ht="12.75">
      <c r="A342" s="24"/>
    </row>
    <row r="343" s="7" customFormat="1" ht="12.75">
      <c r="A343" s="24"/>
    </row>
    <row r="344" s="7" customFormat="1" ht="12.75">
      <c r="A344" s="24"/>
    </row>
    <row r="345" s="7" customFormat="1" ht="12.75">
      <c r="A345" s="24"/>
    </row>
    <row r="346" s="7" customFormat="1" ht="12.75">
      <c r="A346" s="24"/>
    </row>
    <row r="347" s="7" customFormat="1" ht="12.75">
      <c r="A347" s="24"/>
    </row>
    <row r="348" s="7" customFormat="1" ht="12.75">
      <c r="A348" s="24"/>
    </row>
    <row r="349" s="7" customFormat="1" ht="12.75">
      <c r="A349" s="24"/>
    </row>
    <row r="350" s="7" customFormat="1" ht="12.75">
      <c r="A350" s="24"/>
    </row>
    <row r="351" s="7" customFormat="1" ht="12.75">
      <c r="A351" s="24"/>
    </row>
    <row r="352" s="7" customFormat="1" ht="12.75">
      <c r="A352" s="24"/>
    </row>
    <row r="353" s="7" customFormat="1" ht="12.75">
      <c r="A353" s="24"/>
    </row>
    <row r="354" s="7" customFormat="1" ht="12.75">
      <c r="A354" s="24"/>
    </row>
    <row r="355" s="7" customFormat="1" ht="12.75">
      <c r="A355" s="24"/>
    </row>
    <row r="356" s="7" customFormat="1" ht="12.75">
      <c r="A356" s="24"/>
    </row>
    <row r="357" s="7" customFormat="1" ht="12.75">
      <c r="A357" s="24"/>
    </row>
    <row r="358" s="7" customFormat="1" ht="12.75">
      <c r="A358" s="24"/>
    </row>
    <row r="359" s="7" customFormat="1" ht="12.75">
      <c r="A359" s="24"/>
    </row>
    <row r="360" s="7" customFormat="1" ht="12.75">
      <c r="A360" s="24"/>
    </row>
    <row r="361" s="7" customFormat="1" ht="12.75">
      <c r="A361" s="24"/>
    </row>
    <row r="362" s="7" customFormat="1" ht="12.75">
      <c r="A362" s="24"/>
    </row>
    <row r="363" s="7" customFormat="1" ht="12.75">
      <c r="A363" s="24"/>
    </row>
    <row r="364" s="7" customFormat="1" ht="12.75">
      <c r="A364" s="24"/>
    </row>
    <row r="365" s="7" customFormat="1" ht="12.75">
      <c r="A365" s="24"/>
    </row>
    <row r="366" s="7" customFormat="1" ht="12.75">
      <c r="A366" s="24"/>
    </row>
    <row r="367" s="7" customFormat="1" ht="12.75">
      <c r="A367" s="24"/>
    </row>
    <row r="368" s="7" customFormat="1" ht="12.75">
      <c r="A368" s="24"/>
    </row>
    <row r="369" s="7" customFormat="1" ht="12.75">
      <c r="A369" s="24"/>
    </row>
    <row r="370" s="7" customFormat="1" ht="12.75">
      <c r="A370" s="24"/>
    </row>
    <row r="371" s="7" customFormat="1" ht="12.75">
      <c r="A371" s="24"/>
    </row>
    <row r="372" s="7" customFormat="1" ht="12.75">
      <c r="A372" s="24"/>
    </row>
    <row r="373" s="7" customFormat="1" ht="12.75">
      <c r="A373" s="24"/>
    </row>
    <row r="374" s="7" customFormat="1" ht="12.75">
      <c r="A374" s="24"/>
    </row>
    <row r="375" s="7" customFormat="1" ht="12.75">
      <c r="A375" s="24"/>
    </row>
    <row r="376" s="7" customFormat="1" ht="12.75">
      <c r="A376" s="24"/>
    </row>
    <row r="377" s="7" customFormat="1" ht="12.75">
      <c r="A377" s="24"/>
    </row>
    <row r="378" s="7" customFormat="1" ht="12.75">
      <c r="A378" s="24"/>
    </row>
    <row r="379" s="7" customFormat="1" ht="12.75">
      <c r="A379" s="24"/>
    </row>
    <row r="380" s="7" customFormat="1" ht="12.75">
      <c r="A380" s="24"/>
    </row>
    <row r="381" s="7" customFormat="1" ht="12.75">
      <c r="A381" s="24"/>
    </row>
    <row r="382" s="7" customFormat="1" ht="12.75">
      <c r="A382" s="24"/>
    </row>
    <row r="383" s="7" customFormat="1" ht="12.75">
      <c r="A383" s="24"/>
    </row>
    <row r="384" s="7" customFormat="1" ht="12.75">
      <c r="A384" s="24"/>
    </row>
    <row r="385" s="7" customFormat="1" ht="12.75">
      <c r="A385" s="24"/>
    </row>
    <row r="386" s="7" customFormat="1" ht="12.75">
      <c r="A386" s="24"/>
    </row>
    <row r="387" s="7" customFormat="1" ht="12.75">
      <c r="A387" s="24"/>
    </row>
    <row r="388" s="7" customFormat="1" ht="12.75">
      <c r="A388" s="24"/>
    </row>
    <row r="389" s="7" customFormat="1" ht="12.75">
      <c r="A389" s="24"/>
    </row>
    <row r="390" s="7" customFormat="1" ht="12.75">
      <c r="A390" s="24"/>
    </row>
    <row r="391" s="7" customFormat="1" ht="12.75">
      <c r="A391" s="24"/>
    </row>
    <row r="392" s="7" customFormat="1" ht="12.75">
      <c r="A392" s="24"/>
    </row>
    <row r="393" s="7" customFormat="1" ht="12.75">
      <c r="A393" s="24"/>
    </row>
    <row r="394" s="7" customFormat="1" ht="12.75">
      <c r="A394" s="24"/>
    </row>
    <row r="395" s="7" customFormat="1" ht="12.75">
      <c r="A395" s="24"/>
    </row>
    <row r="396" s="7" customFormat="1" ht="12.75">
      <c r="A396" s="24"/>
    </row>
    <row r="397" s="7" customFormat="1" ht="12.75">
      <c r="A397" s="24"/>
    </row>
    <row r="398" s="7" customFormat="1" ht="12.75">
      <c r="A398" s="24"/>
    </row>
    <row r="399" s="7" customFormat="1" ht="12.75">
      <c r="A399" s="24"/>
    </row>
    <row r="400" s="7" customFormat="1" ht="12.75">
      <c r="A400" s="24"/>
    </row>
    <row r="401" s="7" customFormat="1" ht="12.75">
      <c r="A401" s="24"/>
    </row>
    <row r="402" s="7" customFormat="1" ht="12.75">
      <c r="A402" s="24"/>
    </row>
    <row r="403" s="7" customFormat="1" ht="12.75">
      <c r="A403" s="24"/>
    </row>
    <row r="404" s="7" customFormat="1" ht="12.75">
      <c r="A404" s="24"/>
    </row>
    <row r="405" s="7" customFormat="1" ht="12.75">
      <c r="A405" s="24"/>
    </row>
    <row r="406" s="7" customFormat="1" ht="12.75">
      <c r="A406" s="24"/>
    </row>
    <row r="407" s="7" customFormat="1" ht="12.75">
      <c r="A407" s="24"/>
    </row>
    <row r="408" s="7" customFormat="1" ht="12.75">
      <c r="A408" s="24"/>
    </row>
    <row r="409" s="7" customFormat="1" ht="12.75">
      <c r="A409" s="24"/>
    </row>
    <row r="410" s="7" customFormat="1" ht="12.75">
      <c r="A410" s="24"/>
    </row>
    <row r="411" s="7" customFormat="1" ht="12.75">
      <c r="A411" s="24"/>
    </row>
    <row r="412" s="7" customFormat="1" ht="12.75">
      <c r="A412" s="24"/>
    </row>
    <row r="413" s="7" customFormat="1" ht="12.75">
      <c r="A413" s="24"/>
    </row>
    <row r="414" s="7" customFormat="1" ht="12.75">
      <c r="A414" s="24"/>
    </row>
    <row r="415" s="7" customFormat="1" ht="12.75">
      <c r="A415" s="24"/>
    </row>
    <row r="416" s="7" customFormat="1" ht="12.75">
      <c r="A416" s="24"/>
    </row>
    <row r="417" s="7" customFormat="1" ht="12.75">
      <c r="A417" s="24"/>
    </row>
    <row r="418" s="7" customFormat="1" ht="12.75">
      <c r="A418" s="24"/>
    </row>
    <row r="419" s="7" customFormat="1" ht="12.75">
      <c r="A419" s="24"/>
    </row>
    <row r="420" s="7" customFormat="1" ht="12.75">
      <c r="A420" s="24"/>
    </row>
    <row r="421" s="7" customFormat="1" ht="12.75">
      <c r="A421" s="24"/>
    </row>
    <row r="422" s="7" customFormat="1" ht="12.75">
      <c r="A422" s="24"/>
    </row>
    <row r="423" s="7" customFormat="1" ht="12.75">
      <c r="A423" s="24"/>
    </row>
    <row r="424" s="7" customFormat="1" ht="12.75">
      <c r="A424" s="24"/>
    </row>
    <row r="425" s="7" customFormat="1" ht="12.75">
      <c r="A425" s="24"/>
    </row>
    <row r="426" s="7" customFormat="1" ht="12.75">
      <c r="A426" s="24"/>
    </row>
    <row r="427" s="7" customFormat="1" ht="12.75">
      <c r="A427" s="24"/>
    </row>
    <row r="428" s="7" customFormat="1" ht="12.75">
      <c r="A428" s="24"/>
    </row>
    <row r="429" s="7" customFormat="1" ht="12.75">
      <c r="A429" s="24"/>
    </row>
    <row r="430" s="7" customFormat="1" ht="12.75">
      <c r="A430" s="24"/>
    </row>
    <row r="431" s="7" customFormat="1" ht="12.75">
      <c r="A431" s="24"/>
    </row>
    <row r="432" s="7" customFormat="1" ht="12.75">
      <c r="A432" s="24"/>
    </row>
    <row r="433" s="7" customFormat="1" ht="12.75">
      <c r="A433" s="24"/>
    </row>
    <row r="434" s="7" customFormat="1" ht="12.75">
      <c r="A434" s="24"/>
    </row>
    <row r="435" s="7" customFormat="1" ht="12.75">
      <c r="A435" s="24"/>
    </row>
    <row r="436" s="7" customFormat="1" ht="12.75">
      <c r="A436" s="24"/>
    </row>
    <row r="437" s="7" customFormat="1" ht="12.75">
      <c r="A437" s="24"/>
    </row>
    <row r="438" s="7" customFormat="1" ht="12.75">
      <c r="A438" s="24"/>
    </row>
    <row r="439" s="7" customFormat="1" ht="12.75">
      <c r="A439" s="24"/>
    </row>
    <row r="440" s="7" customFormat="1" ht="12.75">
      <c r="A440" s="24"/>
    </row>
    <row r="441" s="7" customFormat="1" ht="12.75">
      <c r="A441" s="24"/>
    </row>
    <row r="442" s="7" customFormat="1" ht="12.75">
      <c r="A442" s="24"/>
    </row>
    <row r="443" s="7" customFormat="1" ht="12.75">
      <c r="A443" s="24"/>
    </row>
    <row r="444" s="7" customFormat="1" ht="12.75">
      <c r="A444" s="24"/>
    </row>
    <row r="445" s="7" customFormat="1" ht="12.75">
      <c r="A445" s="24"/>
    </row>
    <row r="446" s="7" customFormat="1" ht="12.75">
      <c r="A446" s="24"/>
    </row>
    <row r="447" s="7" customFormat="1" ht="12.75">
      <c r="A447" s="24"/>
    </row>
    <row r="448" s="7" customFormat="1" ht="12.75">
      <c r="A448" s="24"/>
    </row>
    <row r="449" s="7" customFormat="1" ht="12.75">
      <c r="A449" s="24"/>
    </row>
    <row r="450" s="7" customFormat="1" ht="12.75">
      <c r="A450" s="24"/>
    </row>
    <row r="451" s="7" customFormat="1" ht="12.75">
      <c r="A451" s="24"/>
    </row>
    <row r="452" s="7" customFormat="1" ht="12.75">
      <c r="A452" s="24"/>
    </row>
    <row r="453" s="7" customFormat="1" ht="12.75">
      <c r="A453" s="24"/>
    </row>
    <row r="454" s="7" customFormat="1" ht="12.75">
      <c r="A454" s="24"/>
    </row>
    <row r="455" s="7" customFormat="1" ht="12.75">
      <c r="A455" s="24"/>
    </row>
    <row r="456" s="7" customFormat="1" ht="12.75">
      <c r="A456" s="24"/>
    </row>
    <row r="457" s="7" customFormat="1" ht="12.75">
      <c r="A457" s="24"/>
    </row>
    <row r="458" s="7" customFormat="1" ht="12.75">
      <c r="A458" s="24"/>
    </row>
    <row r="459" s="7" customFormat="1" ht="12.75">
      <c r="A459" s="24"/>
    </row>
    <row r="460" s="7" customFormat="1" ht="12.75">
      <c r="A460" s="24"/>
    </row>
    <row r="461" s="7" customFormat="1" ht="12.75">
      <c r="A461" s="24"/>
    </row>
    <row r="462" s="7" customFormat="1" ht="12.75">
      <c r="A462" s="24"/>
    </row>
    <row r="463" s="7" customFormat="1" ht="12.75">
      <c r="A463" s="24"/>
    </row>
    <row r="464" s="7" customFormat="1" ht="12.75">
      <c r="A464" s="24"/>
    </row>
    <row r="465" s="7" customFormat="1" ht="12.75">
      <c r="A465" s="24"/>
    </row>
    <row r="466" s="7" customFormat="1" ht="12.75">
      <c r="A466" s="24"/>
    </row>
    <row r="467" s="7" customFormat="1" ht="12.75">
      <c r="A467" s="24"/>
    </row>
    <row r="468" s="7" customFormat="1" ht="12.75">
      <c r="A468" s="24"/>
    </row>
    <row r="469" s="7" customFormat="1" ht="12.75">
      <c r="A469" s="24"/>
    </row>
    <row r="470" s="7" customFormat="1" ht="12.75">
      <c r="A470" s="24"/>
    </row>
    <row r="471" s="7" customFormat="1" ht="12.75">
      <c r="A471" s="24"/>
    </row>
    <row r="472" s="7" customFormat="1" ht="12.75">
      <c r="A472" s="24"/>
    </row>
    <row r="473" s="7" customFormat="1" ht="12.75">
      <c r="A473" s="24"/>
    </row>
    <row r="474" s="7" customFormat="1" ht="12.75">
      <c r="A474" s="24"/>
    </row>
    <row r="475" s="7" customFormat="1" ht="12.75">
      <c r="A475" s="24"/>
    </row>
    <row r="476" s="7" customFormat="1" ht="12.75">
      <c r="A476" s="24"/>
    </row>
    <row r="477" s="7" customFormat="1" ht="12.75">
      <c r="A477" s="24"/>
    </row>
    <row r="478" s="7" customFormat="1" ht="12.75">
      <c r="A478" s="24"/>
    </row>
    <row r="479" s="7" customFormat="1" ht="12.75">
      <c r="A479" s="24"/>
    </row>
    <row r="480" s="7" customFormat="1" ht="12.75">
      <c r="A480" s="24"/>
    </row>
    <row r="481" s="7" customFormat="1" ht="12.75">
      <c r="A481" s="24"/>
    </row>
    <row r="482" s="7" customFormat="1" ht="12.75">
      <c r="A482" s="24"/>
    </row>
    <row r="483" s="7" customFormat="1" ht="12.75">
      <c r="A483" s="24"/>
    </row>
    <row r="484" s="7" customFormat="1" ht="12.75">
      <c r="A484" s="24"/>
    </row>
    <row r="485" s="7" customFormat="1" ht="12.75">
      <c r="A485" s="24"/>
    </row>
    <row r="486" s="7" customFormat="1" ht="12.75">
      <c r="A486" s="24"/>
    </row>
    <row r="487" s="7" customFormat="1" ht="12.75">
      <c r="A487" s="24"/>
    </row>
    <row r="488" s="7" customFormat="1" ht="12.75">
      <c r="A488" s="24"/>
    </row>
    <row r="489" s="7" customFormat="1" ht="12.75">
      <c r="A489" s="24"/>
    </row>
    <row r="490" s="7" customFormat="1" ht="12.75">
      <c r="A490" s="24"/>
    </row>
    <row r="491" s="7" customFormat="1" ht="12.75">
      <c r="A491" s="24"/>
    </row>
    <row r="492" s="7" customFormat="1" ht="12.75">
      <c r="A492" s="24"/>
    </row>
    <row r="493" s="7" customFormat="1" ht="12.75">
      <c r="A493" s="24"/>
    </row>
    <row r="494" s="7" customFormat="1" ht="12.75">
      <c r="A494" s="24"/>
    </row>
    <row r="495" s="7" customFormat="1" ht="12.75">
      <c r="A495" s="24"/>
    </row>
    <row r="496" s="7" customFormat="1" ht="12.75">
      <c r="A496" s="24"/>
    </row>
    <row r="497" s="7" customFormat="1" ht="12.75">
      <c r="A497" s="24"/>
    </row>
    <row r="498" s="7" customFormat="1" ht="12.75">
      <c r="A498" s="24"/>
    </row>
    <row r="499" s="7" customFormat="1" ht="12.75">
      <c r="A499" s="24"/>
    </row>
    <row r="500" s="7" customFormat="1" ht="12.75">
      <c r="A500" s="24"/>
    </row>
    <row r="501" s="7" customFormat="1" ht="12.75">
      <c r="A501" s="24"/>
    </row>
    <row r="502" s="7" customFormat="1" ht="12.75">
      <c r="A502" s="24"/>
    </row>
    <row r="503" s="7" customFormat="1" ht="12.75">
      <c r="A503" s="24"/>
    </row>
    <row r="504" s="7" customFormat="1" ht="12.75">
      <c r="A504" s="24"/>
    </row>
    <row r="505" s="7" customFormat="1" ht="12.75">
      <c r="A505" s="24"/>
    </row>
    <row r="506" s="7" customFormat="1" ht="12.75">
      <c r="A506" s="24"/>
    </row>
    <row r="507" s="7" customFormat="1" ht="12.75">
      <c r="A507" s="24"/>
    </row>
    <row r="508" s="7" customFormat="1" ht="12.75">
      <c r="A508" s="24"/>
    </row>
    <row r="509" s="7" customFormat="1" ht="12.75">
      <c r="A509" s="24"/>
    </row>
    <row r="510" s="7" customFormat="1" ht="12.75">
      <c r="A510" s="24"/>
    </row>
    <row r="511" s="7" customFormat="1" ht="12.75">
      <c r="A511" s="24"/>
    </row>
    <row r="512" s="7" customFormat="1" ht="12.75">
      <c r="A512" s="24"/>
    </row>
    <row r="513" s="7" customFormat="1" ht="12.75">
      <c r="A513" s="24"/>
    </row>
    <row r="514" s="7" customFormat="1" ht="12.75">
      <c r="A514" s="24"/>
    </row>
    <row r="515" s="7" customFormat="1" ht="12.75">
      <c r="A515" s="24"/>
    </row>
    <row r="516" s="7" customFormat="1" ht="12.75">
      <c r="A516" s="24"/>
    </row>
    <row r="517" s="7" customFormat="1" ht="12.75">
      <c r="A517" s="24"/>
    </row>
    <row r="518" s="7" customFormat="1" ht="12.75">
      <c r="A518" s="24"/>
    </row>
    <row r="519" s="7" customFormat="1" ht="12.75">
      <c r="A519" s="24"/>
    </row>
    <row r="520" s="7" customFormat="1" ht="12.75">
      <c r="A520" s="24"/>
    </row>
    <row r="521" s="7" customFormat="1" ht="12.75">
      <c r="A521" s="24"/>
    </row>
    <row r="522" s="7" customFormat="1" ht="12.75">
      <c r="A522" s="24"/>
    </row>
    <row r="523" s="7" customFormat="1" ht="12.75">
      <c r="A523" s="24"/>
    </row>
    <row r="524" s="7" customFormat="1" ht="12.75">
      <c r="A524" s="24"/>
    </row>
    <row r="525" s="7" customFormat="1" ht="12.75">
      <c r="A525" s="24"/>
    </row>
    <row r="526" s="7" customFormat="1" ht="12.75">
      <c r="A526" s="24"/>
    </row>
    <row r="527" s="7" customFormat="1" ht="12.75">
      <c r="A527" s="24"/>
    </row>
    <row r="528" s="7" customFormat="1" ht="12.75">
      <c r="A528" s="24"/>
    </row>
    <row r="529" s="7" customFormat="1" ht="12.75">
      <c r="A529" s="24"/>
    </row>
    <row r="530" s="7" customFormat="1" ht="12.75">
      <c r="A530" s="24"/>
    </row>
    <row r="531" s="7" customFormat="1" ht="12.75">
      <c r="A531" s="24"/>
    </row>
    <row r="532" s="7" customFormat="1" ht="12.75">
      <c r="A532" s="24"/>
    </row>
    <row r="533" s="7" customFormat="1" ht="12.75">
      <c r="A533" s="24"/>
    </row>
    <row r="534" s="7" customFormat="1" ht="12.75">
      <c r="A534" s="24"/>
    </row>
    <row r="535" s="7" customFormat="1" ht="12.75">
      <c r="A535" s="24"/>
    </row>
    <row r="536" s="7" customFormat="1" ht="12.75">
      <c r="A536" s="24"/>
    </row>
    <row r="537" s="7" customFormat="1" ht="12.75">
      <c r="A537" s="24"/>
    </row>
    <row r="538" s="7" customFormat="1" ht="12.75">
      <c r="A538" s="24"/>
    </row>
    <row r="539" s="7" customFormat="1" ht="12.75">
      <c r="A539" s="24"/>
    </row>
    <row r="540" s="7" customFormat="1" ht="12.75">
      <c r="A540" s="24"/>
    </row>
    <row r="541" s="7" customFormat="1" ht="12.75">
      <c r="A541" s="24"/>
    </row>
    <row r="542" s="7" customFormat="1" ht="12.75">
      <c r="A542" s="24"/>
    </row>
    <row r="543" s="7" customFormat="1" ht="12.75">
      <c r="A543" s="24"/>
    </row>
    <row r="544" s="7" customFormat="1" ht="12.75">
      <c r="A544" s="24"/>
    </row>
    <row r="545" s="7" customFormat="1" ht="12.75">
      <c r="A545" s="24"/>
    </row>
    <row r="546" s="7" customFormat="1" ht="12.75">
      <c r="A546" s="24"/>
    </row>
    <row r="547" s="7" customFormat="1" ht="12.75">
      <c r="A547" s="24"/>
    </row>
    <row r="548" s="7" customFormat="1" ht="12.75">
      <c r="A548" s="24"/>
    </row>
    <row r="549" s="7" customFormat="1" ht="12.75">
      <c r="A549" s="24"/>
    </row>
  </sheetData>
  <mergeCells count="12">
    <mergeCell ref="G1:I1"/>
    <mergeCell ref="A4:M4"/>
    <mergeCell ref="L1:N1"/>
    <mergeCell ref="L2:N2"/>
    <mergeCell ref="G2:I2"/>
    <mergeCell ref="G3:I3"/>
    <mergeCell ref="M5:N5"/>
    <mergeCell ref="A6:A7"/>
    <mergeCell ref="B6:B7"/>
    <mergeCell ref="H6:M6"/>
    <mergeCell ref="N6:N7"/>
    <mergeCell ref="C6:G6"/>
  </mergeCells>
  <printOptions/>
  <pageMargins left="0.9055118110236221" right="0.34" top="0.49" bottom="0.31" header="0.41" footer="0.29"/>
  <pageSetup fitToHeight="22" horizontalDpi="300" verticalDpi="300" orientation="landscape" paperSize="9" scale="7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Ткачук С.В.</cp:lastModifiedBy>
  <cp:lastPrinted>2006-07-25T06:28:38Z</cp:lastPrinted>
  <dcterms:created xsi:type="dcterms:W3CDTF">2002-01-02T08:54:19Z</dcterms:created>
  <dcterms:modified xsi:type="dcterms:W3CDTF">2006-08-15T13:21:42Z</dcterms:modified>
  <cp:category/>
  <cp:version/>
  <cp:contentType/>
  <cp:contentStatus/>
</cp:coreProperties>
</file>